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T:\Gits\Land_design_tool\scripts\SW\1.PC맨홀 조합 자동집계\"/>
    </mc:Choice>
  </mc:AlternateContent>
  <xr:revisionPtr revIDLastSave="0" documentId="13_ncr:1_{B7AA3004-9A25-4488-9014-A0363DBC3F00}" xr6:coauthVersionLast="47" xr6:coauthVersionMax="47" xr10:uidLastSave="{00000000-0000-0000-0000-000000000000}"/>
  <bookViews>
    <workbookView xWindow="28680" yWindow="-120" windowWidth="29040" windowHeight="15720" firstSheet="8" activeTab="8" xr2:uid="{00000000-000D-0000-FFFF-FFFF00000000}"/>
  </bookViews>
  <sheets>
    <sheet name="간지 (8)" sheetId="289" state="hidden" r:id="rId1"/>
    <sheet name="맨홀수량집계표" sheetId="209" state="hidden" r:id="rId2"/>
    <sheet name="수량집계표" sheetId="207" state="hidden" r:id="rId3"/>
    <sheet name="성토부 맨홀 잡석수량 집계표" sheetId="229" state="hidden" r:id="rId4"/>
    <sheet name="성토부 맨홀 수량" sheetId="220" state="hidden" r:id="rId5"/>
    <sheet name="오수원형맨홀1호(차도)" sheetId="282" state="hidden" r:id="rId6"/>
    <sheet name="오수원형맨홀1호(보도)" sheetId="243" state="hidden" r:id="rId7"/>
    <sheet name="오수원형맨홀3호(차도)" sheetId="262" state="hidden" r:id="rId8"/>
    <sheet name="오수원형맨홀2호(차도)" sheetId="287" r:id="rId9"/>
    <sheet name="오수원형맨홀2호(보도)" sheetId="286" state="hidden" r:id="rId10"/>
    <sheet name="1호맨홀단위수량" sheetId="244" state="hidden" r:id="rId11"/>
    <sheet name="2호맨홀단위수량" sheetId="245" state="hidden" r:id="rId12"/>
    <sheet name="3호맨홀단위수량" sheetId="263" state="hidden" r:id="rId13"/>
    <sheet name="오수각형맨홀2호(차도)" sheetId="258" state="hidden" r:id="rId14"/>
    <sheet name="오수각형맨홀3호(차도)" sheetId="267" state="hidden" r:id="rId15"/>
    <sheet name="특2호각형맨홀" sheetId="227" state="hidden" r:id="rId16"/>
    <sheet name="특2호맨홀단위수량" sheetId="228" state="hidden" r:id="rId17"/>
    <sheet name="특2호각형맨홀(차도측)" sheetId="254" state="hidden" r:id="rId18"/>
    <sheet name="특2호맨홀단위수량(차도측)" sheetId="255" state="hidden" r:id="rId19"/>
    <sheet name="특2호각형맨홀(보도측)" sheetId="256" state="hidden" r:id="rId20"/>
    <sheet name="특2호맨홀단위수량(보도측)" sheetId="257" state="hidden" r:id="rId21"/>
    <sheet name="특2호각형맨홀(차도측)집계" sheetId="275" state="hidden" r:id="rId22"/>
    <sheet name="특2호각형맨홀(차도측)단위수량" sheetId="276" state="hidden" r:id="rId23"/>
    <sheet name="각형맨홀2호삽도" sheetId="277" state="hidden" r:id="rId24"/>
    <sheet name="특3호각형맨홀(차도측)집계" sheetId="278" state="hidden" r:id="rId25"/>
    <sheet name="특3호각형맨홀(차도측)단위수량" sheetId="279" state="hidden" r:id="rId26"/>
    <sheet name="각형맨홀3호삽도" sheetId="280" state="hidden" r:id="rId27"/>
    <sheet name="인버트수량집계" sheetId="269" state="hidden" r:id="rId28"/>
    <sheet name="인버트콘크리트" sheetId="270" state="hidden" r:id="rId29"/>
    <sheet name="인버트몰탈" sheetId="271" state="hidden" r:id="rId30"/>
    <sheet name="오수인버트삽도" sheetId="273" state="hidden" r:id="rId31"/>
    <sheet name="오수인버트(각형2호)" sheetId="259" state="hidden" r:id="rId32"/>
    <sheet name="오수인버트(각형3호)" sheetId="268" state="hidden" r:id="rId33"/>
    <sheet name="평균유입유출관(각형인버트산출용)" sheetId="272" state="hidden" r:id="rId34"/>
    <sheet name="오수관 맨홀이음부 몰탈 수량집계" sheetId="235" state="hidden" r:id="rId35"/>
    <sheet name="관연결부 고무커넥터수량" sheetId="288" state="hidden" r:id="rId36"/>
    <sheet name="오수맨홀수량 및 평균높이" sheetId="265" state="hidden" r:id="rId37"/>
    <sheet name="맨홀유출입수량" sheetId="222" state="hidden" r:id="rId38"/>
    <sheet name="맨홀 평균 높이" sheetId="266" state="hidden" r:id="rId39"/>
    <sheet name="부관맨홀재료집계" sheetId="283" state="hidden" r:id="rId40"/>
    <sheet name="부관맨홀단위수량" sheetId="284" state="hidden" r:id="rId41"/>
    <sheet name="맨홀 유입관로 하부 잡석 포설수량 집계표" sheetId="251" state="hidden" r:id="rId42"/>
    <sheet name="유입부 하부잡석포설단위수량" sheetId="252" state="hidden" r:id="rId43"/>
    <sheet name="유입부 하부잡석포설산출조서" sheetId="253" state="hidden" r:id="rId44"/>
    <sheet name="부관맨홀 산출근거" sheetId="249" state="hidden" r:id="rId45"/>
    <sheet name="이후출력금지-----&gt;" sheetId="290" state="hidden" r:id="rId46"/>
    <sheet name="수리계산결과 붙여넣기" sheetId="291" state="hidden" r:id="rId47"/>
    <sheet name="Sheet1" sheetId="292" state="hidden" r:id="rId48"/>
    <sheet name="맨홀접속부 잡석수량 집계표" sheetId="223" state="hidden" r:id="rId49"/>
    <sheet name="맨홀유출입수량(성토부)" sheetId="224" state="hidden" r:id="rId50"/>
    <sheet name="맨홀접속부 잡석 단위수량" sheetId="225" state="hidden" r:id="rId51"/>
  </sheets>
  <definedNames>
    <definedName name="_____________________key2" localSheetId="5" hidden="1">#REF!</definedName>
    <definedName name="_____________________key2" localSheetId="9" hidden="1">#REF!</definedName>
    <definedName name="_____________________key2" localSheetId="8" hidden="1">#REF!</definedName>
    <definedName name="_____________________key2" hidden="1">#REF!</definedName>
    <definedName name="____________________key2" localSheetId="5" hidden="1">#REF!</definedName>
    <definedName name="____________________key2" localSheetId="9" hidden="1">#REF!</definedName>
    <definedName name="____________________key2" localSheetId="8" hidden="1">#REF!</definedName>
    <definedName name="____________________key2" hidden="1">#REF!</definedName>
    <definedName name="____________________key21" localSheetId="5" hidden="1">#REF!</definedName>
    <definedName name="____________________key21" localSheetId="9" hidden="1">#REF!</definedName>
    <definedName name="____________________key21" localSheetId="8" hidden="1">#REF!</definedName>
    <definedName name="____________________key21" hidden="1">#REF!</definedName>
    <definedName name="___________________key21" localSheetId="5" hidden="1">#REF!</definedName>
    <definedName name="___________________key21" localSheetId="9" hidden="1">#REF!</definedName>
    <definedName name="___________________key21" localSheetId="8" hidden="1">#REF!</definedName>
    <definedName name="___________________key21" hidden="1">#REF!</definedName>
    <definedName name="_______________key2" localSheetId="5" hidden="1">#REF!</definedName>
    <definedName name="_______________key2" localSheetId="9" hidden="1">#REF!</definedName>
    <definedName name="_______________key2" localSheetId="8" hidden="1">#REF!</definedName>
    <definedName name="_______________key2" hidden="1">#REF!</definedName>
    <definedName name="______________key21" localSheetId="5" hidden="1">#REF!</definedName>
    <definedName name="______________key21" localSheetId="9" hidden="1">#REF!</definedName>
    <definedName name="______________key21" localSheetId="8" hidden="1">#REF!</definedName>
    <definedName name="______________key21" hidden="1">#REF!</definedName>
    <definedName name="____________JHY2" localSheetId="49">[0]!_JHY2</definedName>
    <definedName name="____________LKS2" localSheetId="49">[0]!_LKS2</definedName>
    <definedName name="___________JHY2" localSheetId="49">[0]!_JHY2</definedName>
    <definedName name="___________LKS2" localSheetId="49">[0]!_LKS2</definedName>
    <definedName name="__________JHY2" localSheetId="49">[0]!_JHY2</definedName>
    <definedName name="__________LKS2" localSheetId="49">[0]!_LKS2</definedName>
    <definedName name="_________JHY2" localSheetId="49">[0]!_JHY2</definedName>
    <definedName name="_________LKS2" localSheetId="49">[0]!_LKS2</definedName>
    <definedName name="________JHY2" localSheetId="49">[0]!_JHY2</definedName>
    <definedName name="________LKS2" localSheetId="49">[0]!_LKS2</definedName>
    <definedName name="________P3" localSheetId="0" hidden="1">{#N/A,#N/A,FALSE,"배수1"}</definedName>
    <definedName name="________P3" hidden="1">{#N/A,#N/A,FALSE,"배수1"}</definedName>
    <definedName name="________P4" localSheetId="0" hidden="1">{#N/A,#N/A,FALSE,"혼합골재"}</definedName>
    <definedName name="________P4" hidden="1">{#N/A,#N/A,FALSE,"혼합골재"}</definedName>
    <definedName name="________P5" localSheetId="0" hidden="1">{#N/A,#N/A,FALSE,"배수1"}</definedName>
    <definedName name="________P5" hidden="1">{#N/A,#N/A,FALSE,"배수1"}</definedName>
    <definedName name="________P6" localSheetId="0" hidden="1">{#N/A,#N/A,FALSE,"2~8번"}</definedName>
    <definedName name="________P6" hidden="1">{#N/A,#N/A,FALSE,"2~8번"}</definedName>
    <definedName name="________S3" localSheetId="0" hidden="1">{#N/A,#N/A,FALSE,"포장2"}</definedName>
    <definedName name="________S3" hidden="1">{#N/A,#N/A,FALSE,"포장2"}</definedName>
    <definedName name="_______JHY2" localSheetId="49">[0]!_JHY2</definedName>
    <definedName name="_______LKS2" localSheetId="49">[0]!_LKS2</definedName>
    <definedName name="_______P3" localSheetId="0" hidden="1">{#N/A,#N/A,FALSE,"배수1"}</definedName>
    <definedName name="_______P3" hidden="1">{#N/A,#N/A,FALSE,"배수1"}</definedName>
    <definedName name="_______P4" localSheetId="0" hidden="1">{#N/A,#N/A,FALSE,"혼합골재"}</definedName>
    <definedName name="_______P4" hidden="1">{#N/A,#N/A,FALSE,"혼합골재"}</definedName>
    <definedName name="_______P5" localSheetId="0" hidden="1">{#N/A,#N/A,FALSE,"배수1"}</definedName>
    <definedName name="_______P5" hidden="1">{#N/A,#N/A,FALSE,"배수1"}</definedName>
    <definedName name="_______P6" localSheetId="0" hidden="1">{#N/A,#N/A,FALSE,"2~8번"}</definedName>
    <definedName name="_______P6" hidden="1">{#N/A,#N/A,FALSE,"2~8번"}</definedName>
    <definedName name="_______S3" localSheetId="0" hidden="1">{#N/A,#N/A,FALSE,"포장2"}</definedName>
    <definedName name="_______S3" hidden="1">{#N/A,#N/A,FALSE,"포장2"}</definedName>
    <definedName name="______E3" localSheetId="0" hidden="1">{#N/A,#N/A,FALSE,"조골재"}</definedName>
    <definedName name="______E3" hidden="1">{#N/A,#N/A,FALSE,"조골재"}</definedName>
    <definedName name="______GG1" localSheetId="0" hidden="1">{#N/A,#N/A,FALSE,"단가표지"}</definedName>
    <definedName name="______GG1" hidden="1">{#N/A,#N/A,FALSE,"단가표지"}</definedName>
    <definedName name="______JHY2" localSheetId="49">[0]!_JHY2</definedName>
    <definedName name="______LKS2" localSheetId="49">[0]!_LKS2</definedName>
    <definedName name="______W1" localSheetId="0" hidden="1">{#N/A,#N/A,FALSE,"2~8번"}</definedName>
    <definedName name="______W1" hidden="1">{#N/A,#N/A,FALSE,"2~8번"}</definedName>
    <definedName name="_____JHY2" localSheetId="49">[0]!_JHY2</definedName>
    <definedName name="_____LKS2" localSheetId="49">[0]!_LKS2</definedName>
    <definedName name="____JHY2" localSheetId="49">[0]!_JHY2</definedName>
    <definedName name="____key2" localSheetId="5" hidden="1">#REF!</definedName>
    <definedName name="____key2" localSheetId="9" hidden="1">#REF!</definedName>
    <definedName name="____key2" localSheetId="8" hidden="1">#REF!</definedName>
    <definedName name="____key2" hidden="1">#REF!</definedName>
    <definedName name="____LKS2" localSheetId="49">[0]!_LKS2</definedName>
    <definedName name="____P3" localSheetId="0" hidden="1">{#N/A,#N/A,FALSE,"배수1"}</definedName>
    <definedName name="____P3" hidden="1">{#N/A,#N/A,FALSE,"배수1"}</definedName>
    <definedName name="____P4" localSheetId="0" hidden="1">{#N/A,#N/A,FALSE,"혼합골재"}</definedName>
    <definedName name="____P4" hidden="1">{#N/A,#N/A,FALSE,"혼합골재"}</definedName>
    <definedName name="____P5" localSheetId="0" hidden="1">{#N/A,#N/A,FALSE,"배수1"}</definedName>
    <definedName name="____P5" hidden="1">{#N/A,#N/A,FALSE,"배수1"}</definedName>
    <definedName name="____P6" localSheetId="0" hidden="1">{#N/A,#N/A,FALSE,"2~8번"}</definedName>
    <definedName name="____P6" hidden="1">{#N/A,#N/A,FALSE,"2~8번"}</definedName>
    <definedName name="____S3" localSheetId="0" hidden="1">{#N/A,#N/A,FALSE,"포장2"}</definedName>
    <definedName name="____S3" hidden="1">{#N/A,#N/A,FALSE,"포장2"}</definedName>
    <definedName name="___E3" localSheetId="0" hidden="1">{#N/A,#N/A,FALSE,"조골재"}</definedName>
    <definedName name="___E3" hidden="1">{#N/A,#N/A,FALSE,"조골재"}</definedName>
    <definedName name="___GG1" localSheetId="0" hidden="1">{#N/A,#N/A,FALSE,"단가표지"}</definedName>
    <definedName name="___GG1" hidden="1">{#N/A,#N/A,FALSE,"단가표지"}</definedName>
    <definedName name="___JHY2" localSheetId="49">[0]!_JHY2</definedName>
    <definedName name="___key2" localSheetId="5" hidden="1">#REF!</definedName>
    <definedName name="___key2" localSheetId="9" hidden="1">#REF!</definedName>
    <definedName name="___key2" localSheetId="8" hidden="1">#REF!</definedName>
    <definedName name="___key2" hidden="1">#REF!</definedName>
    <definedName name="___key21" localSheetId="5" hidden="1">#REF!</definedName>
    <definedName name="___key21" localSheetId="9" hidden="1">#REF!</definedName>
    <definedName name="___key21" localSheetId="8" hidden="1">#REF!</definedName>
    <definedName name="___key21" hidden="1">#REF!</definedName>
    <definedName name="___LKS2" localSheetId="49">[0]!_LKS2</definedName>
    <definedName name="___P3" localSheetId="0" hidden="1">{#N/A,#N/A,FALSE,"배수1"}</definedName>
    <definedName name="___P3" hidden="1">{#N/A,#N/A,FALSE,"배수1"}</definedName>
    <definedName name="___P4" localSheetId="0" hidden="1">{#N/A,#N/A,FALSE,"혼합골재"}</definedName>
    <definedName name="___P4" hidden="1">{#N/A,#N/A,FALSE,"혼합골재"}</definedName>
    <definedName name="___P5" localSheetId="0" hidden="1">{#N/A,#N/A,FALSE,"배수1"}</definedName>
    <definedName name="___P5" hidden="1">{#N/A,#N/A,FALSE,"배수1"}</definedName>
    <definedName name="___P6" localSheetId="0" hidden="1">{#N/A,#N/A,FALSE,"2~8번"}</definedName>
    <definedName name="___P6" hidden="1">{#N/A,#N/A,FALSE,"2~8번"}</definedName>
    <definedName name="___S3" localSheetId="0" hidden="1">{#N/A,#N/A,FALSE,"포장2"}</definedName>
    <definedName name="___S3" hidden="1">{#N/A,#N/A,FALSE,"포장2"}</definedName>
    <definedName name="___W1" localSheetId="0" hidden="1">{#N/A,#N/A,FALSE,"2~8번"}</definedName>
    <definedName name="___W1" hidden="1">{#N/A,#N/A,FALSE,"2~8번"}</definedName>
    <definedName name="__A22" localSheetId="0" hidden="1">{#N/A,#N/A,FALSE,"부대1"}</definedName>
    <definedName name="__A22" hidden="1">{#N/A,#N/A,FALSE,"부대1"}</definedName>
    <definedName name="__DemandLoad">TRUE</definedName>
    <definedName name="__E3" localSheetId="0" hidden="1">{#N/A,#N/A,FALSE,"조골재"}</definedName>
    <definedName name="__E3" hidden="1">{#N/A,#N/A,FALSE,"조골재"}</definedName>
    <definedName name="__GG1" localSheetId="0" hidden="1">{#N/A,#N/A,FALSE,"단가표지"}</definedName>
    <definedName name="__GG1" hidden="1">{#N/A,#N/A,FALSE,"단가표지"}</definedName>
    <definedName name="__IntlFixup" hidden="1">TRUE</definedName>
    <definedName name="__JHY2" localSheetId="49">[0]!_JHY2</definedName>
    <definedName name="__key2" localSheetId="5" hidden="1">#REF!</definedName>
    <definedName name="__key2" localSheetId="9" hidden="1">#REF!</definedName>
    <definedName name="__key2" localSheetId="8" hidden="1">#REF!</definedName>
    <definedName name="__key2" hidden="1">#REF!</definedName>
    <definedName name="__key21" localSheetId="5" hidden="1">#REF!</definedName>
    <definedName name="__key21" localSheetId="9" hidden="1">#REF!</definedName>
    <definedName name="__key21" localSheetId="8" hidden="1">#REF!</definedName>
    <definedName name="__key21" hidden="1">#REF!</definedName>
    <definedName name="__LKS2" localSheetId="49">[0]!_LKS2</definedName>
    <definedName name="__P3" localSheetId="0" hidden="1">{#N/A,#N/A,FALSE,"배수1"}</definedName>
    <definedName name="__P3" hidden="1">{#N/A,#N/A,FALSE,"배수1"}</definedName>
    <definedName name="__P4" localSheetId="0" hidden="1">{#N/A,#N/A,FALSE,"혼합골재"}</definedName>
    <definedName name="__P4" hidden="1">{#N/A,#N/A,FALSE,"혼합골재"}</definedName>
    <definedName name="__P5" localSheetId="0" hidden="1">{#N/A,#N/A,FALSE,"배수1"}</definedName>
    <definedName name="__P5" hidden="1">{#N/A,#N/A,FALSE,"배수1"}</definedName>
    <definedName name="__P6" localSheetId="0" hidden="1">{#N/A,#N/A,FALSE,"2~8번"}</definedName>
    <definedName name="__P6" hidden="1">{#N/A,#N/A,FALSE,"2~8번"}</definedName>
    <definedName name="__qa01" localSheetId="0" hidden="1">{#N/A,#N/A,FALSE,"2~8번"}</definedName>
    <definedName name="__qa01" hidden="1">{#N/A,#N/A,FALSE,"2~8번"}</definedName>
    <definedName name="__qa02" localSheetId="0" hidden="1">{#N/A,#N/A,FALSE,"골재소요량";#N/A,#N/A,FALSE,"골재소요량"}</definedName>
    <definedName name="__qa02" hidden="1">{#N/A,#N/A,FALSE,"골재소요량";#N/A,#N/A,FALSE,"골재소요량"}</definedName>
    <definedName name="__qa03" localSheetId="0" hidden="1">{#N/A,#N/A,FALSE,"구조2"}</definedName>
    <definedName name="__qa03" hidden="1">{#N/A,#N/A,FALSE,"구조2"}</definedName>
    <definedName name="__qa04" localSheetId="0" hidden="1">{#N/A,#N/A,FALSE,"단가표지"}</definedName>
    <definedName name="__qa04" hidden="1">{#N/A,#N/A,FALSE,"단가표지"}</definedName>
    <definedName name="__qa05" localSheetId="0" hidden="1">{#N/A,#N/A,FALSE,"배수1"}</definedName>
    <definedName name="__qa05" hidden="1">{#N/A,#N/A,FALSE,"배수1"}</definedName>
    <definedName name="__qa06" localSheetId="0" hidden="1">{#N/A,#N/A,FALSE,"배수2"}</definedName>
    <definedName name="__qa06" hidden="1">{#N/A,#N/A,FALSE,"배수2"}</definedName>
    <definedName name="__qa07" localSheetId="0" hidden="1">{#N/A,#N/A,FALSE,"부대1"}</definedName>
    <definedName name="__qa07" hidden="1">{#N/A,#N/A,FALSE,"부대1"}</definedName>
    <definedName name="__qa08" localSheetId="0" hidden="1">{#N/A,#N/A,FALSE,"부대2"}</definedName>
    <definedName name="__qa08" hidden="1">{#N/A,#N/A,FALSE,"부대2"}</definedName>
    <definedName name="__qa10" localSheetId="0" hidden="1">{#N/A,#N/A,FALSE,"속도"}</definedName>
    <definedName name="__qa10" hidden="1">{#N/A,#N/A,FALSE,"속도"}</definedName>
    <definedName name="__qa11" localSheetId="0" hidden="1">{#N/A,#N/A,FALSE,"운반시간"}</definedName>
    <definedName name="__qa11" hidden="1">{#N/A,#N/A,FALSE,"운반시간"}</definedName>
    <definedName name="__qa12" localSheetId="0" hidden="1">{#N/A,#N/A,FALSE,"이정표"}</definedName>
    <definedName name="__qa12" hidden="1">{#N/A,#N/A,FALSE,"이정표"}</definedName>
    <definedName name="__qa13" localSheetId="0" hidden="1">{#N/A,#N/A,FALSE,"조골재"}</definedName>
    <definedName name="__qa13" hidden="1">{#N/A,#N/A,FALSE,"조골재"}</definedName>
    <definedName name="__qa14" localSheetId="0" hidden="1">{#N/A,#N/A,FALSE,"구조1"}</definedName>
    <definedName name="__qa14" hidden="1">{#N/A,#N/A,FALSE,"구조1"}</definedName>
    <definedName name="__qa15" localSheetId="0" hidden="1">{#N/A,#N/A,FALSE,"토공2"}</definedName>
    <definedName name="__qa15" hidden="1">{#N/A,#N/A,FALSE,"토공2"}</definedName>
    <definedName name="__qa16" localSheetId="0" hidden="1">{#N/A,#N/A,FALSE,"포장1";#N/A,#N/A,FALSE,"포장1"}</definedName>
    <definedName name="__qa16" hidden="1">{#N/A,#N/A,FALSE,"포장1";#N/A,#N/A,FALSE,"포장1"}</definedName>
    <definedName name="__qa17" localSheetId="0" hidden="1">{#N/A,#N/A,FALSE,"포장2"}</definedName>
    <definedName name="__qa17" hidden="1">{#N/A,#N/A,FALSE,"포장2"}</definedName>
    <definedName name="__qa18" localSheetId="0" hidden="1">{#N/A,#N/A,FALSE,"표지목차"}</definedName>
    <definedName name="__qa18" hidden="1">{#N/A,#N/A,FALSE,"표지목차"}</definedName>
    <definedName name="__qa19" localSheetId="0" hidden="1">{#N/A,#N/A,FALSE,"혼합골재"}</definedName>
    <definedName name="__qa19" hidden="1">{#N/A,#N/A,FALSE,"혼합골재"}</definedName>
    <definedName name="__qa20" localSheetId="0" hidden="1">{#N/A,#N/A,FALSE,"운반시간"}</definedName>
    <definedName name="__qa20" hidden="1">{#N/A,#N/A,FALSE,"운반시간"}</definedName>
    <definedName name="__qx1" localSheetId="0" hidden="1">{#N/A,#N/A,FALSE,"운반시간"}</definedName>
    <definedName name="__qx1" hidden="1">{#N/A,#N/A,FALSE,"운반시간"}</definedName>
    <definedName name="__S3" localSheetId="0" hidden="1">{#N/A,#N/A,FALSE,"포장2"}</definedName>
    <definedName name="__S3" hidden="1">{#N/A,#N/A,FALSE,"포장2"}</definedName>
    <definedName name="__W1" localSheetId="0" hidden="1">{#N/A,#N/A,FALSE,"2~8번"}</definedName>
    <definedName name="__W1" hidden="1">{#N/A,#N/A,FALSE,"2~8번"}</definedName>
    <definedName name="_11P4_" localSheetId="0" hidden="1">{#N/A,#N/A,FALSE,"혼합골재"}</definedName>
    <definedName name="_11P4_" hidden="1">{#N/A,#N/A,FALSE,"혼합골재"}</definedName>
    <definedName name="_12S3_" localSheetId="0" hidden="1">{#N/A,#N/A,FALSE,"포장2"}</definedName>
    <definedName name="_12S3_" hidden="1">{#N/A,#N/A,FALSE,"포장2"}</definedName>
    <definedName name="_14_0_S" localSheetId="5" hidden="1">#REF!</definedName>
    <definedName name="_14_0_S" localSheetId="9" hidden="1">#REF!</definedName>
    <definedName name="_14_0_S" localSheetId="8" hidden="1">#REF!</definedName>
    <definedName name="_14_0_S" hidden="1">#REF!</definedName>
    <definedName name="_15_0_S" localSheetId="5" hidden="1">#REF!</definedName>
    <definedName name="_15_0_S" localSheetId="9" hidden="1">#REF!</definedName>
    <definedName name="_15_0_S" localSheetId="8" hidden="1">#REF!</definedName>
    <definedName name="_15_0_S" hidden="1">#REF!</definedName>
    <definedName name="_15P5_" localSheetId="0" hidden="1">{#N/A,#N/A,FALSE,"배수1"}</definedName>
    <definedName name="_15P5_" hidden="1">{#N/A,#N/A,FALSE,"배수1"}</definedName>
    <definedName name="_16___0_S" localSheetId="5" hidden="1">#REF!</definedName>
    <definedName name="_16___0_S" localSheetId="9" hidden="1">#REF!</definedName>
    <definedName name="_16___0_S" localSheetId="8" hidden="1">#REF!</definedName>
    <definedName name="_16___0_S" hidden="1">#REF!</definedName>
    <definedName name="_16P3_" hidden="1">{#N/A,#N/A,FALSE,"배수1"}</definedName>
    <definedName name="_17P4_" hidden="1">{#N/A,#N/A,FALSE,"혼합골재"}</definedName>
    <definedName name="_18P5_" hidden="1">{#N/A,#N/A,FALSE,"배수1"}</definedName>
    <definedName name="_19P6_" localSheetId="0" hidden="1">{#N/A,#N/A,FALSE,"2~8번"}</definedName>
    <definedName name="_19P6_" hidden="1">{#N/A,#N/A,FALSE,"2~8번"}</definedName>
    <definedName name="_20S3_" hidden="1">{#N/A,#N/A,FALSE,"포장2"}</definedName>
    <definedName name="_24S" localSheetId="5" hidden="1">#REF!</definedName>
    <definedName name="_24S" localSheetId="9" hidden="1">#REF!</definedName>
    <definedName name="_24S" localSheetId="8" hidden="1">#REF!</definedName>
    <definedName name="_24S" hidden="1">#REF!</definedName>
    <definedName name="_24S3_" localSheetId="0" hidden="1">{#N/A,#N/A,FALSE,"포장2"}</definedName>
    <definedName name="_24S3_" hidden="1">{#N/A,#N/A,FALSE,"포장2"}</definedName>
    <definedName name="_3_0__123Grap" localSheetId="0" hidden="1">#REF!</definedName>
    <definedName name="_3_0__123Grap" hidden="1">#REF!</definedName>
    <definedName name="_32_0_S" localSheetId="5" hidden="1">#REF!</definedName>
    <definedName name="_32_0_S" localSheetId="9" hidden="1">#REF!</definedName>
    <definedName name="_32_0_S" localSheetId="8" hidden="1">#REF!</definedName>
    <definedName name="_32_0_S" hidden="1">#REF!</definedName>
    <definedName name="_33a11_" hidden="1">{#N/A,#N/A,FALSE,"배수1"}</definedName>
    <definedName name="_34a2_" hidden="1">{#N/A,#N/A,FALSE,"배수1"}</definedName>
    <definedName name="_35a3_" hidden="1">{#N/A,#N/A,FALSE,"혼합골재"}</definedName>
    <definedName name="_36a4_" hidden="1">{#N/A,#N/A,FALSE,"배수1"}</definedName>
    <definedName name="_37a5_" hidden="1">{#N/A,#N/A,FALSE,"2~8번"}</definedName>
    <definedName name="_37P3_" hidden="1">{#N/A,#N/A,FALSE,"배수1"}</definedName>
    <definedName name="_38a65_" hidden="1">{#N/A,#N/A,FALSE,"포장2"}</definedName>
    <definedName name="_38P4_" hidden="1">{#N/A,#N/A,FALSE,"혼합골재"}</definedName>
    <definedName name="_39P3_" hidden="1">{#N/A,#N/A,FALSE,"배수1"}</definedName>
    <definedName name="_40P4_" hidden="1">{#N/A,#N/A,FALSE,"혼합골재"}</definedName>
    <definedName name="_41P5_" hidden="1">{#N/A,#N/A,FALSE,"배수1"}</definedName>
    <definedName name="_42P6_" hidden="1">{#N/A,#N/A,FALSE,"2~8번"}</definedName>
    <definedName name="_43S3_" hidden="1">{#N/A,#N/A,FALSE,"포장2"}</definedName>
    <definedName name="_44z111_" hidden="1">{#N/A,#N/A,FALSE,"혼합골재"}</definedName>
    <definedName name="_5S" localSheetId="5" hidden="1">#REF!</definedName>
    <definedName name="_5S" localSheetId="9" hidden="1">#REF!</definedName>
    <definedName name="_5S" localSheetId="8" hidden="1">#REF!</definedName>
    <definedName name="_5S" hidden="1">#REF!</definedName>
    <definedName name="_6P3_" localSheetId="0" hidden="1">{#N/A,#N/A,FALSE,"배수1"}</definedName>
    <definedName name="_6P3_" hidden="1">{#N/A,#N/A,FALSE,"배수1"}</definedName>
    <definedName name="_7P3_" localSheetId="0" hidden="1">{#N/A,#N/A,FALSE,"배수1"}</definedName>
    <definedName name="_7P3_" hidden="1">{#N/A,#N/A,FALSE,"배수1"}</definedName>
    <definedName name="_7P4_" localSheetId="0" hidden="1">{#N/A,#N/A,FALSE,"혼합골재"}</definedName>
    <definedName name="_7P4_" hidden="1">{#N/A,#N/A,FALSE,"혼합골재"}</definedName>
    <definedName name="_8_______________0_S" localSheetId="5" hidden="1">#REF!</definedName>
    <definedName name="_8_______________0_S" localSheetId="9" hidden="1">#REF!</definedName>
    <definedName name="_8_______________0_S" localSheetId="8" hidden="1">#REF!</definedName>
    <definedName name="_8_______________0_S" hidden="1">#REF!</definedName>
    <definedName name="_8P5_" localSheetId="0" hidden="1">{#N/A,#N/A,FALSE,"배수1"}</definedName>
    <definedName name="_8P5_" hidden="1">{#N/A,#N/A,FALSE,"배수1"}</definedName>
    <definedName name="_9P6_" localSheetId="0" hidden="1">{#N/A,#N/A,FALSE,"2~8번"}</definedName>
    <definedName name="_9P6_" hidden="1">{#N/A,#N/A,FALSE,"2~8번"}</definedName>
    <definedName name="_A22" localSheetId="0" hidden="1">{#N/A,#N/A,FALSE,"부대1"}</definedName>
    <definedName name="_A22" hidden="1">{#N/A,#N/A,FALSE,"부대1"}</definedName>
    <definedName name="_dist__bin" localSheetId="5" hidden="1">#REF!</definedName>
    <definedName name="_dist__bin" localSheetId="9" hidden="1">#REF!</definedName>
    <definedName name="_dist__bin" localSheetId="8" hidden="1">#REF!</definedName>
    <definedName name="_dist__bin" hidden="1">#REF!</definedName>
    <definedName name="_Dist_Bin" localSheetId="0" hidden="1">#REF!</definedName>
    <definedName name="_Dist_Bin" localSheetId="5" hidden="1">#REF!</definedName>
    <definedName name="_Dist_Bin" localSheetId="9" hidden="1">#REF!</definedName>
    <definedName name="_Dist_Bin" localSheetId="8" hidden="1">#REF!</definedName>
    <definedName name="_Dist_Bin" hidden="1">#REF!</definedName>
    <definedName name="_Dist_Values" localSheetId="0" hidden="1">#REF!</definedName>
    <definedName name="_Dist_Values" localSheetId="5" hidden="1">#REF!</definedName>
    <definedName name="_Dist_Values" localSheetId="9" hidden="1">#REF!</definedName>
    <definedName name="_Dist_Values" localSheetId="8" hidden="1">#REF!</definedName>
    <definedName name="_Dist_Values" hidden="1">#REF!</definedName>
    <definedName name="_Fill" localSheetId="0" hidden="1">#REF!</definedName>
    <definedName name="_Fill" localSheetId="5" hidden="1">#REF!</definedName>
    <definedName name="_Fill" localSheetId="9" hidden="1">#REF!</definedName>
    <definedName name="_Fill" localSheetId="8" hidden="1">#REF!</definedName>
    <definedName name="_Fill" hidden="1">#REF!</definedName>
    <definedName name="_xlnm._FilterDatabase" localSheetId="0" hidden="1">#REF!</definedName>
    <definedName name="_xlnm._FilterDatabase" localSheetId="38" hidden="1">'맨홀 평균 높이'!$A$1:$M$275</definedName>
    <definedName name="_xlnm._FilterDatabase" localSheetId="37" hidden="1">맨홀유출입수량!$A$3:$AF$304</definedName>
    <definedName name="_xlnm._FilterDatabase" localSheetId="49">'맨홀유출입수량(성토부)'!$AL$3:$BR$20</definedName>
    <definedName name="_xlnm._FilterDatabase" localSheetId="44" hidden="1">'부관맨홀 산출근거'!$A$2:$K$32</definedName>
    <definedName name="_xlnm._FilterDatabase" localSheetId="4">'성토부 맨홀 수량'!$A$2:$H$2</definedName>
    <definedName name="_xlnm._FilterDatabase" localSheetId="13" hidden="1">'오수각형맨홀2호(차도)'!$A$2:$J$10</definedName>
    <definedName name="_xlnm._FilterDatabase" localSheetId="14" hidden="1">'오수각형맨홀3호(차도)'!$A$2:$J$10</definedName>
    <definedName name="_xlnm._FilterDatabase" localSheetId="6" hidden="1">'오수원형맨홀1호(보도)'!$A$5:$WWM$166</definedName>
    <definedName name="_xlnm._FilterDatabase" localSheetId="5" hidden="1">'오수원형맨홀1호(차도)'!$A$5:$WWM$62</definedName>
    <definedName name="_xlnm._FilterDatabase" localSheetId="9" hidden="1">'오수원형맨홀2호(보도)'!$A$5:$WWJ$74</definedName>
    <definedName name="_xlnm._FilterDatabase" localSheetId="8" hidden="1">'오수원형맨홀2호(차도)'!$A$5:$WWJ$52</definedName>
    <definedName name="_xlnm._FilterDatabase" localSheetId="7" hidden="1">'오수원형맨홀3호(차도)'!$A$2:$U$10</definedName>
    <definedName name="_xlnm._FilterDatabase" localSheetId="31" hidden="1">#REF!</definedName>
    <definedName name="_xlnm._FilterDatabase" localSheetId="32" hidden="1">#REF!</definedName>
    <definedName name="_xlnm._FilterDatabase" hidden="1">#REF!</definedName>
    <definedName name="_JHY2">#N/A</definedName>
    <definedName name="_Key1" localSheetId="0" hidden="1">#REF!</definedName>
    <definedName name="_Key1" localSheetId="5" hidden="1">#REF!</definedName>
    <definedName name="_Key1" localSheetId="9" hidden="1">#REF!</definedName>
    <definedName name="_Key1" localSheetId="8" hidden="1">#REF!</definedName>
    <definedName name="_Key1" hidden="1">#REF!</definedName>
    <definedName name="_Key2" localSheetId="0" hidden="1">#REF!</definedName>
    <definedName name="_Key2" localSheetId="5" hidden="1">#REF!</definedName>
    <definedName name="_Key2" localSheetId="9" hidden="1">#REF!</definedName>
    <definedName name="_Key2" localSheetId="8" hidden="1">#REF!</definedName>
    <definedName name="_Key2" hidden="1">#REF!</definedName>
    <definedName name="_key21" localSheetId="5" hidden="1">#REF!</definedName>
    <definedName name="_key21" localSheetId="9" hidden="1">#REF!</definedName>
    <definedName name="_key21" localSheetId="8" hidden="1">#REF!</definedName>
    <definedName name="_key21" hidden="1">#REF!</definedName>
    <definedName name="_Key3" localSheetId="5" hidden="1">#REF!</definedName>
    <definedName name="_Key3" localSheetId="9" hidden="1">#REF!</definedName>
    <definedName name="_Key3" localSheetId="8" hidden="1">#REF!</definedName>
    <definedName name="_Key3" hidden="1">#REF!</definedName>
    <definedName name="_kfkf" localSheetId="0" hidden="1">#REF!</definedName>
    <definedName name="_kfkf" localSheetId="5" hidden="1">#REF!</definedName>
    <definedName name="_kfkf" localSheetId="9" hidden="1">#REF!</definedName>
    <definedName name="_kfkf" localSheetId="8" hidden="1">#REF!</definedName>
    <definedName name="_kfkf" hidden="1">#REF!</definedName>
    <definedName name="_LKS2">#N/A</definedName>
    <definedName name="_Order1">0</definedName>
    <definedName name="_Order2">0</definedName>
    <definedName name="_P3" localSheetId="0" hidden="1">{#N/A,#N/A,FALSE,"배수1"}</definedName>
    <definedName name="_P3" hidden="1">{#N/A,#N/A,FALSE,"배수1"}</definedName>
    <definedName name="_P4" localSheetId="0" hidden="1">{#N/A,#N/A,FALSE,"혼합골재"}</definedName>
    <definedName name="_P4" hidden="1">{#N/A,#N/A,FALSE,"혼합골재"}</definedName>
    <definedName name="_P5" localSheetId="0" hidden="1">{#N/A,#N/A,FALSE,"배수1"}</definedName>
    <definedName name="_P5" hidden="1">{#N/A,#N/A,FALSE,"배수1"}</definedName>
    <definedName name="_P6" localSheetId="0" hidden="1">{#N/A,#N/A,FALSE,"2~8번"}</definedName>
    <definedName name="_P6" hidden="1">{#N/A,#N/A,FALSE,"2~8번"}</definedName>
    <definedName name="_Parse_In" localSheetId="0" hidden="1">#REF!</definedName>
    <definedName name="_Parse_In" hidden="1">#REF!</definedName>
    <definedName name="_Parse_Out" localSheetId="5" hidden="1">#REF!</definedName>
    <definedName name="_Parse_Out" localSheetId="9" hidden="1">#REF!</definedName>
    <definedName name="_Parse_Out" localSheetId="8" hidden="1">#REF!</definedName>
    <definedName name="_Parse_Out" hidden="1">#REF!</definedName>
    <definedName name="_qa01" localSheetId="0" hidden="1">{#N/A,#N/A,FALSE,"2~8번"}</definedName>
    <definedName name="_qa01" hidden="1">{#N/A,#N/A,FALSE,"2~8번"}</definedName>
    <definedName name="_qa02" localSheetId="0" hidden="1">{#N/A,#N/A,FALSE,"골재소요량";#N/A,#N/A,FALSE,"골재소요량"}</definedName>
    <definedName name="_qa02" hidden="1">{#N/A,#N/A,FALSE,"골재소요량";#N/A,#N/A,FALSE,"골재소요량"}</definedName>
    <definedName name="_qa03" localSheetId="0" hidden="1">{#N/A,#N/A,FALSE,"구조2"}</definedName>
    <definedName name="_qa03" hidden="1">{#N/A,#N/A,FALSE,"구조2"}</definedName>
    <definedName name="_qa04" localSheetId="0" hidden="1">{#N/A,#N/A,FALSE,"단가표지"}</definedName>
    <definedName name="_qa04" hidden="1">{#N/A,#N/A,FALSE,"단가표지"}</definedName>
    <definedName name="_qa05" localSheetId="0" hidden="1">{#N/A,#N/A,FALSE,"배수1"}</definedName>
    <definedName name="_qa05" hidden="1">{#N/A,#N/A,FALSE,"배수1"}</definedName>
    <definedName name="_qa06" localSheetId="0" hidden="1">{#N/A,#N/A,FALSE,"배수2"}</definedName>
    <definedName name="_qa06" hidden="1">{#N/A,#N/A,FALSE,"배수2"}</definedName>
    <definedName name="_qa07" localSheetId="0" hidden="1">{#N/A,#N/A,FALSE,"부대1"}</definedName>
    <definedName name="_qa07" hidden="1">{#N/A,#N/A,FALSE,"부대1"}</definedName>
    <definedName name="_qa08" localSheetId="0" hidden="1">{#N/A,#N/A,FALSE,"부대2"}</definedName>
    <definedName name="_qa08" hidden="1">{#N/A,#N/A,FALSE,"부대2"}</definedName>
    <definedName name="_qa10" localSheetId="0" hidden="1">{#N/A,#N/A,FALSE,"속도"}</definedName>
    <definedName name="_qa10" hidden="1">{#N/A,#N/A,FALSE,"속도"}</definedName>
    <definedName name="_qa11" localSheetId="0" hidden="1">{#N/A,#N/A,FALSE,"운반시간"}</definedName>
    <definedName name="_qa11" hidden="1">{#N/A,#N/A,FALSE,"운반시간"}</definedName>
    <definedName name="_qa12" localSheetId="0" hidden="1">{#N/A,#N/A,FALSE,"이정표"}</definedName>
    <definedName name="_qa12" hidden="1">{#N/A,#N/A,FALSE,"이정표"}</definedName>
    <definedName name="_qa13" localSheetId="0" hidden="1">{#N/A,#N/A,FALSE,"조골재"}</definedName>
    <definedName name="_qa13" hidden="1">{#N/A,#N/A,FALSE,"조골재"}</definedName>
    <definedName name="_qa14" localSheetId="0" hidden="1">{#N/A,#N/A,FALSE,"구조1"}</definedName>
    <definedName name="_qa14" hidden="1">{#N/A,#N/A,FALSE,"구조1"}</definedName>
    <definedName name="_qa15" localSheetId="0" hidden="1">{#N/A,#N/A,FALSE,"토공2"}</definedName>
    <definedName name="_qa15" hidden="1">{#N/A,#N/A,FALSE,"토공2"}</definedName>
    <definedName name="_qa16" localSheetId="0" hidden="1">{#N/A,#N/A,FALSE,"포장1";#N/A,#N/A,FALSE,"포장1"}</definedName>
    <definedName name="_qa16" hidden="1">{#N/A,#N/A,FALSE,"포장1";#N/A,#N/A,FALSE,"포장1"}</definedName>
    <definedName name="_qa17" localSheetId="0" hidden="1">{#N/A,#N/A,FALSE,"포장2"}</definedName>
    <definedName name="_qa17" hidden="1">{#N/A,#N/A,FALSE,"포장2"}</definedName>
    <definedName name="_qa18" localSheetId="0" hidden="1">{#N/A,#N/A,FALSE,"표지목차"}</definedName>
    <definedName name="_qa18" hidden="1">{#N/A,#N/A,FALSE,"표지목차"}</definedName>
    <definedName name="_qa19" localSheetId="0" hidden="1">{#N/A,#N/A,FALSE,"혼합골재"}</definedName>
    <definedName name="_qa19" hidden="1">{#N/A,#N/A,FALSE,"혼합골재"}</definedName>
    <definedName name="_qa20" localSheetId="0" hidden="1">{#N/A,#N/A,FALSE,"운반시간"}</definedName>
    <definedName name="_qa20" hidden="1">{#N/A,#N/A,FALSE,"운반시간"}</definedName>
    <definedName name="_qx1" localSheetId="0" hidden="1">{#N/A,#N/A,FALSE,"운반시간"}</definedName>
    <definedName name="_qx1" hidden="1">{#N/A,#N/A,FALSE,"운반시간"}</definedName>
    <definedName name="_Regression_Int" hidden="1">1</definedName>
    <definedName name="_Regression_Out" localSheetId="0" hidden="1">#REF!</definedName>
    <definedName name="_Regression_Out" localSheetId="5" hidden="1">#REF!</definedName>
    <definedName name="_Regression_Out" localSheetId="9" hidden="1">#REF!</definedName>
    <definedName name="_Regression_Out" localSheetId="8" hidden="1">#REF!</definedName>
    <definedName name="_Regression_Out" hidden="1">#REF!</definedName>
    <definedName name="_Regression_X" localSheetId="0" hidden="1">#REF!</definedName>
    <definedName name="_Regression_X" localSheetId="5" hidden="1">#REF!</definedName>
    <definedName name="_Regression_X" localSheetId="9" hidden="1">#REF!</definedName>
    <definedName name="_Regression_X" localSheetId="8" hidden="1">#REF!</definedName>
    <definedName name="_Regression_X" hidden="1">#REF!</definedName>
    <definedName name="_Regression_Y" localSheetId="0" hidden="1">#REF!</definedName>
    <definedName name="_Regression_Y" localSheetId="5" hidden="1">#REF!</definedName>
    <definedName name="_Regression_Y" localSheetId="9" hidden="1">#REF!</definedName>
    <definedName name="_Regression_Y" localSheetId="8" hidden="1">#REF!</definedName>
    <definedName name="_Regression_Y" hidden="1">#REF!</definedName>
    <definedName name="_S3" localSheetId="0" hidden="1">{#N/A,#N/A,FALSE,"포장2"}</definedName>
    <definedName name="_S3" hidden="1">{#N/A,#N/A,FALSE,"포장2"}</definedName>
    <definedName name="_Sort" localSheetId="0" hidden="1">#REF!</definedName>
    <definedName name="_Sort" localSheetId="5" hidden="1">#REF!</definedName>
    <definedName name="_Sort" localSheetId="9" hidden="1">#REF!</definedName>
    <definedName name="_Sort" localSheetId="8" hidden="1">#REF!</definedName>
    <definedName name="_Sort" hidden="1">#REF!</definedName>
    <definedName name="_SORT1" localSheetId="0" hidden="1">#REF!</definedName>
    <definedName name="_SORT1" localSheetId="5" hidden="1">#REF!</definedName>
    <definedName name="_SORT1" localSheetId="9" hidden="1">#REF!</definedName>
    <definedName name="_SORT1" localSheetId="8" hidden="1">#REF!</definedName>
    <definedName name="_SORT1" hidden="1">#REF!</definedName>
    <definedName name="_Sortt" localSheetId="5" hidden="1">#REF!</definedName>
    <definedName name="_Sortt" localSheetId="9" hidden="1">#REF!</definedName>
    <definedName name="_Sortt" localSheetId="8" hidden="1">#REF!</definedName>
    <definedName name="_Sortt" hidden="1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woogi" localSheetId="0" hidden="1">#REF!</definedName>
    <definedName name="_woogi" localSheetId="5" hidden="1">#REF!</definedName>
    <definedName name="_woogi" localSheetId="9" hidden="1">#REF!</definedName>
    <definedName name="_woogi" localSheetId="8" hidden="1">#REF!</definedName>
    <definedName name="_woogi" hidden="1">#REF!</definedName>
    <definedName name="_woogi2" localSheetId="0" hidden="1">#REF!</definedName>
    <definedName name="_woogi2" localSheetId="5" hidden="1">#REF!</definedName>
    <definedName name="_woogi2" localSheetId="9" hidden="1">#REF!</definedName>
    <definedName name="_woogi2" localSheetId="8" hidden="1">#REF!</definedName>
    <definedName name="_woogi2" hidden="1">#REF!</definedName>
    <definedName name="_woogi24" localSheetId="0" hidden="1">#REF!</definedName>
    <definedName name="_woogi24" localSheetId="5" hidden="1">#REF!</definedName>
    <definedName name="_woogi24" localSheetId="9" hidden="1">#REF!</definedName>
    <definedName name="_woogi24" localSheetId="8" hidden="1">#REF!</definedName>
    <definedName name="_woogi24" hidden="1">#REF!</definedName>
    <definedName name="_woogi3" localSheetId="0" hidden="1">#REF!</definedName>
    <definedName name="_woogi3" localSheetId="5" hidden="1">#REF!</definedName>
    <definedName name="_woogi3" localSheetId="9" hidden="1">#REF!</definedName>
    <definedName name="_woogi3" localSheetId="8" hidden="1">#REF!</definedName>
    <definedName name="_woogi3" hidden="1">#REF!</definedName>
    <definedName name="_재ㅐ햐" localSheetId="0" hidden="1">#REF!</definedName>
    <definedName name="_재ㅐ햐" localSheetId="5" hidden="1">#REF!</definedName>
    <definedName name="_재ㅐ햐" localSheetId="9" hidden="1">#REF!</definedName>
    <definedName name="_재ㅐ햐" localSheetId="8" hidden="1">#REF!</definedName>
    <definedName name="_재ㅐ햐" hidden="1">#REF!</definedName>
    <definedName name="aaaa" localSheetId="0" hidden="1">{#N/A,#N/A,FALSE,"조골재"}</definedName>
    <definedName name="aaaa" hidden="1">{#N/A,#N/A,FALSE,"조골재"}</definedName>
    <definedName name="aaaa_1" localSheetId="0" hidden="1">{#N/A,#N/A,FALSE,"조골재"}</definedName>
    <definedName name="aaaa_1" hidden="1">{#N/A,#N/A,FALSE,"조골재"}</definedName>
    <definedName name="aaaaa" localSheetId="0" hidden="1">{#N/A,#N/A,FALSE,"조골재"}</definedName>
    <definedName name="aaaaa" hidden="1">{#N/A,#N/A,FALSE,"조골재"}</definedName>
    <definedName name="aaaaa_1" localSheetId="0" hidden="1">{#N/A,#N/A,FALSE,"조골재"}</definedName>
    <definedName name="aaaaa_1" hidden="1">{#N/A,#N/A,FALSE,"조골재"}</definedName>
    <definedName name="aaaaaa" localSheetId="0" hidden="1">{#N/A,#N/A,FALSE,"속도"}</definedName>
    <definedName name="aaaaaa" hidden="1">{#N/A,#N/A,FALSE,"속도"}</definedName>
    <definedName name="aaaaaaaaaa" localSheetId="0" hidden="1">{#N/A,#N/A,FALSE,"운반시간"}</definedName>
    <definedName name="aaaaaaaaaa" hidden="1">{#N/A,#N/A,FALSE,"운반시간"}</definedName>
    <definedName name="aaaaaaaaaa_1" localSheetId="0" hidden="1">{#N/A,#N/A,FALSE,"운반시간"}</definedName>
    <definedName name="aaaaaaaaaa_1" hidden="1">{#N/A,#N/A,FALSE,"운반시간"}</definedName>
    <definedName name="aaas" localSheetId="0" hidden="1">#REF!</definedName>
    <definedName name="aaas" hidden="1">#REF!</definedName>
    <definedName name="abd" localSheetId="0" hidden="1">{#N/A,#N/A,FALSE,"골재소요량";#N/A,#N/A,FALSE,"골재소요량"}</definedName>
    <definedName name="abd" hidden="1">{#N/A,#N/A,FALSE,"골재소요량";#N/A,#N/A,FALSE,"골재소요량"}</definedName>
    <definedName name="Access_Button" hidden="1">"bo_sang_토지조서_List"</definedName>
    <definedName name="AccessDatabase" localSheetId="0" hidden="1">"C:\My Documents\Exc-data\bo_sang.mdb"</definedName>
    <definedName name="AccessDatabase" hidden="1">"D:\_genkou\excel97\sample\支店集計作業\本社合計2.mdb"</definedName>
    <definedName name="a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fdge" localSheetId="0" hidden="1">{#N/A,#N/A,FALSE,"2~8번"}</definedName>
    <definedName name="adfdge" hidden="1">{#N/A,#N/A,FALSE,"2~8번"}</definedName>
    <definedName name="a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scount">1</definedName>
    <definedName name="aq" localSheetId="0" hidden="1">#REF!</definedName>
    <definedName name="aq" hidden="1">#REF!</definedName>
    <definedName name="AQZSD">BlankMacro1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as">BlankMacro1</definedName>
    <definedName name="asd" localSheetId="0" hidden="1">{#N/A,#N/A,FALSE,"조골재"}</definedName>
    <definedName name="asd" hidden="1">{#N/A,#N/A,FALSE,"조골재"}</definedName>
    <definedName name="asda">BlankMacro1</definedName>
    <definedName name="asdas" localSheetId="0" hidden="1">{#N/A,#N/A,FALSE,"조골재"}</definedName>
    <definedName name="asdas" hidden="1">{#N/A,#N/A,FALSE,"조골재"}</definedName>
    <definedName name="asdasd">BlankMacro1</definedName>
    <definedName name="asddsfds">BlankMacro1</definedName>
    <definedName name="ASDF" localSheetId="0" hidden="1">{#N/A,#N/A,FALSE,"골재소요량";#N/A,#N/A,FALSE,"골재소요량"}</definedName>
    <definedName name="ASDF" hidden="1">{#N/A,#N/A,FALSE,"골재소요량";#N/A,#N/A,FALSE,"골재소요량"}</definedName>
    <definedName name="ASDFEW">BlankMacro1</definedName>
    <definedName name="ASDFWA">BlankMacro1</definedName>
    <definedName name="ASDSAFSD">BlankMacro1</definedName>
    <definedName name="asdw">BlankMacro1</definedName>
    <definedName name="ASF" localSheetId="0" hidden="1">{#N/A,#N/A,FALSE,"2~8번"}</definedName>
    <definedName name="ASF" hidden="1">{#N/A,#N/A,FALSE,"2~8번"}</definedName>
    <definedName name="ASGF" hidden="1">{#N/A,#N/A,FALSE,"2~8번"}</definedName>
    <definedName name="asp두께">0.15</definedName>
    <definedName name="asss" localSheetId="0" hidden="1">#REF!</definedName>
    <definedName name="asss" hidden="1">#REF!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.P장설치" localSheetId="0" hidden="1">{#N/A,#N/A,FALSE,"2~8번"}</definedName>
    <definedName name="B.P장설치" hidden="1">{#N/A,#N/A,FALSE,"2~8번"}</definedName>
    <definedName name="bae">#N/A</definedName>
    <definedName name="bbb" localSheetId="0" hidden="1">{#N/A,#N/A,FALSE,"조골재"}</definedName>
    <definedName name="bbb" hidden="1">{#N/A,#N/A,FALSE,"조골재"}</definedName>
    <definedName name="BI" localSheetId="0" hidden="1">{#N/A,#N/A,FALSE,"이태원철근"}</definedName>
    <definedName name="BI" hidden="1">{#N/A,#N/A,FALSE,"이태원철근"}</definedName>
    <definedName name="bnfghrt">BlankMacro1</definedName>
    <definedName name="bnn" localSheetId="0" hidden="1">{#N/A,#N/A,FALSE,"조골재"}</definedName>
    <definedName name="bnn" hidden="1">{#N/A,#N/A,FALSE,"조골재"}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CALCU">#N/A</definedName>
    <definedName name="CALCUL">#N/A</definedName>
    <definedName name="CALCULA">#N/A</definedName>
    <definedName name="CALCULAT">#N/A</definedName>
    <definedName name="CALCULATI">#N/A</definedName>
    <definedName name="CALCULATION">#N/A</definedName>
    <definedName name="CALCULB">#N/A</definedName>
    <definedName name="camberWork">#N/A</definedName>
    <definedName name="cbb">BlankMacro1</definedName>
    <definedName name="cccc1">#N/A</definedName>
    <definedName name="cdcd" localSheetId="0" hidden="1">#REF!</definedName>
    <definedName name="cdcd" hidden="1">#REF!</definedName>
    <definedName name="chosi" localSheetId="0" hidden="1">#REF!</definedName>
    <definedName name="chosi" hidden="1">#REF!</definedName>
    <definedName name="cvbdf">BlankMacro1</definedName>
    <definedName name="cvbrg">BlankMacro1</definedName>
    <definedName name="cxvdvc">BlankMacro1</definedName>
    <definedName name="cxvxcv">BlankMacro1</definedName>
    <definedName name="CXXV">BlankMacro1</definedName>
    <definedName name="czxcas">BlankMacro1</definedName>
    <definedName name="dataww" localSheetId="0" hidden="1">#REF!</definedName>
    <definedName name="dataww" localSheetId="5" hidden="1">#REF!</definedName>
    <definedName name="dataww" localSheetId="9" hidden="1">#REF!</definedName>
    <definedName name="dataww" localSheetId="8" hidden="1">#REF!</definedName>
    <definedName name="dataww" hidden="1">#REF!</definedName>
    <definedName name="DDDDA">BlankMacro1</definedName>
    <definedName name="ddddd">BlankMacro1</definedName>
    <definedName name="dddddd" hidden="1">{#N/A,#N/A,FALSE,"이정표"}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wwwwdddd" localSheetId="0" hidden="1">#REF!</definedName>
    <definedName name="ddddwwwwdddd" hidden="1">#REF!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r" localSheetId="0" hidden="1">#REF!</definedName>
    <definedName name="ddfr" hidden="1">#REF!</definedName>
    <definedName name="DDS">BlankMacro1</definedName>
    <definedName name="DDW">BlankMacro1</definedName>
    <definedName name="ded" localSheetId="0" hidden="1">#REF!</definedName>
    <definedName name="ded" hidden="1">#REF!</definedName>
    <definedName name="DEDED" localSheetId="0" hidden="1">#REF!</definedName>
    <definedName name="DEDED" hidden="1">#REF!</definedName>
    <definedName name="DFASDF">BlankMacro1</definedName>
    <definedName name="DFASF">BlankMacro1</definedName>
    <definedName name="DFASFD" localSheetId="0" hidden="1">{#N/A,#N/A,FALSE,"골재소요량";#N/A,#N/A,FALSE,"골재소요량"}</definedName>
    <definedName name="DFASFD" hidden="1">{#N/A,#N/A,FALSE,"골재소요량";#N/A,#N/A,FALSE,"골재소요량"}</definedName>
    <definedName name="DFDASFGDASG" localSheetId="0" hidden="1">{#N/A,#N/A,FALSE,"단가표지"}</definedName>
    <definedName name="DFDASFGDASG" hidden="1">{#N/A,#N/A,FALSE,"단가표지"}</definedName>
    <definedName name="DFDF" localSheetId="0" hidden="1">{#N/A,#N/A,FALSE,"조골재"}</definedName>
    <definedName name="DFDF" hidden="1">{#N/A,#N/A,FALSE,"조골재"}</definedName>
    <definedName name="dfdfd" localSheetId="0" hidden="1">{#N/A,#N/A,FALSE,"2~8번"}</definedName>
    <definedName name="dfdfd" hidden="1">{#N/A,#N/A,FALSE,"2~8번"}</definedName>
    <definedName name="DFDFDF" localSheetId="0" hidden="1">{#N/A,#N/A,FALSE,"단가표지"}</definedName>
    <definedName name="DFDFDF" hidden="1">{#N/A,#N/A,FALSE,"단가표지"}</definedName>
    <definedName name="DFDSADFADSF" localSheetId="0" hidden="1">{#N/A,#N/A,FALSE,"2~8번"}</definedName>
    <definedName name="DFDSADFADSF" hidden="1">{#N/A,#N/A,FALSE,"2~8번"}</definedName>
    <definedName name="DFDSAFDFD" localSheetId="0" hidden="1">{#N/A,#N/A,FALSE,"부대1"}</definedName>
    <definedName name="DFDSAFDFD" hidden="1">{#N/A,#N/A,FALSE,"부대1"}</definedName>
    <definedName name="DFDSAFSFG" localSheetId="0" hidden="1">{#N/A,#N/A,FALSE,"구조2"}</definedName>
    <definedName name="DFDSAFSFG" hidden="1">{#N/A,#N/A,FALSE,"구조2"}</definedName>
    <definedName name="DFDSAGFDSAG" localSheetId="0" hidden="1">{#N/A,#N/A,FALSE,"혼합골재"}</definedName>
    <definedName name="DFDSAGFDSAG" hidden="1">{#N/A,#N/A,FALSE,"혼합골재"}</definedName>
    <definedName name="DFDSFD" localSheetId="0" hidden="1">{#N/A,#N/A,FALSE,"속도"}</definedName>
    <definedName name="DFDSFD" hidden="1">{#N/A,#N/A,FALSE,"속도"}</definedName>
    <definedName name="DFDSFDFDFD" localSheetId="0" hidden="1">{#N/A,#N/A,FALSE,"구조1"}</definedName>
    <definedName name="DFDSFDFDFD" hidden="1">{#N/A,#N/A,FALSE,"구조1"}</definedName>
    <definedName name="DFDSFDS" localSheetId="0" hidden="1">{#N/A,#N/A,FALSE,"부대2"}</definedName>
    <definedName name="DFDSFDS" hidden="1">{#N/A,#N/A,FALSE,"부대2"}</definedName>
    <definedName name="dfdsgfhgfh">BlankMacro1</definedName>
    <definedName name="DFDSSF" localSheetId="0" hidden="1">{#N/A,#N/A,FALSE,"이정표"}</definedName>
    <definedName name="DFDSSF" hidden="1">{#N/A,#N/A,FALSE,"이정표"}</definedName>
    <definedName name="dfesdfsdf">BlankMacro1</definedName>
    <definedName name="dff">BlankMacro1</definedName>
    <definedName name="DFFFF" hidden="1">{#N/A,#N/A,FALSE,"조골재"}</definedName>
    <definedName name="DFG" localSheetId="35">BlankMacro1</definedName>
    <definedName name="d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ADSGAFDG" localSheetId="0" hidden="1">{#N/A,#N/A,FALSE,"운반시간"}</definedName>
    <definedName name="DFGADSGAFDG" hidden="1">{#N/A,#N/A,FALSE,"운반시간"}</definedName>
    <definedName name="dfgdfgdfg">BlankMacro1</definedName>
    <definedName name="dfgdsfgdfg">BlankMacro1</definedName>
    <definedName name="DFGERGREG">BlankMacro1</definedName>
    <definedName name="DFGGDF">BlankMacro1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r">BlankMacro1</definedName>
    <definedName name="DFGSD">BlankMacro1</definedName>
    <definedName name="DFGWEAG">BlankMacro1</definedName>
    <definedName name="DFS" hidden="1">{#N/A,#N/A,FALSE,"조골재"}</definedName>
    <definedName name="dfsdf">BlankMacro1</definedName>
    <definedName name="DG">BlankMacro1</definedName>
    <definedName name="dgasg" localSheetId="0" hidden="1">{#N/A,#N/A,FALSE,"조골재"}</definedName>
    <definedName name="dgasg" hidden="1">{#N/A,#N/A,FALSE,"조골재"}</definedName>
    <definedName name="DGDFGFGDG" localSheetId="0" hidden="1">{#N/A,#N/A,FALSE,"배수1"}</definedName>
    <definedName name="DGDFGFGDG" hidden="1">{#N/A,#N/A,FALSE,"배수1"}</definedName>
    <definedName name="dgfgf" localSheetId="0" hidden="1">{#N/A,#N/A,FALSE,"2~8번"}</definedName>
    <definedName name="dgfgf" hidden="1">{#N/A,#N/A,FALSE,"2~8번"}</definedName>
    <definedName name="DGH" hidden="1">{#N/A,#N/A,FALSE,"조골재"}</definedName>
    <definedName name="dist_bin1" localSheetId="5" hidden="1">#REF!</definedName>
    <definedName name="dist_bin1" localSheetId="9" hidden="1">#REF!</definedName>
    <definedName name="dist_bin1" localSheetId="8" hidden="1">#REF!</definedName>
    <definedName name="dist_bin1" hidden="1">#REF!</definedName>
    <definedName name="dist_value1" localSheetId="5" hidden="1">#REF!</definedName>
    <definedName name="dist_value1" localSheetId="9" hidden="1">#REF!</definedName>
    <definedName name="dist_value1" localSheetId="8" hidden="1">#REF!</definedName>
    <definedName name="dist_value1" hidden="1">#REF!</definedName>
    <definedName name="DKD">BlankMacro1</definedName>
    <definedName name="DKE">BlankMacro1</definedName>
    <definedName name="dldldldll" localSheetId="5" hidden="1">#REF!</definedName>
    <definedName name="dldldldll" localSheetId="9" hidden="1">#REF!</definedName>
    <definedName name="dldldldll" localSheetId="8" hidden="1">#REF!</definedName>
    <definedName name="dldldldll" hidden="1">#REF!</definedName>
    <definedName name="dn" localSheetId="0" hidden="1">{#N/A,#N/A,FALSE,"혼합골재"}</definedName>
    <definedName name="dn" hidden="1">{#N/A,#N/A,FALSE,"혼합골재"}</definedName>
    <definedName name="dns" localSheetId="0" hidden="1">{#N/A,#N/A,FALSE,"운반시간"}</definedName>
    <definedName name="dns" hidden="1">{#N/A,#N/A,FALSE,"운반시간"}</definedName>
    <definedName name="Document_array">{"Book1","부대-(표지판,데리,가드).xls","부대-(낙,차,중분대).xls"}</definedName>
    <definedName name="DSA" localSheetId="0" hidden="1">{#N/A,#N/A,FALSE,"포장1";#N/A,#N/A,FALSE,"포장1"}</definedName>
    <definedName name="DSA" hidden="1">{#N/A,#N/A,FALSE,"포장1";#N/A,#N/A,FALSE,"포장1"}</definedName>
    <definedName name="dsaf" localSheetId="0" hidden="1">{#N/A,#N/A,FALSE,"조골재"}</definedName>
    <definedName name="dsaf" hidden="1">{#N/A,#N/A,FALSE,"조골재"}</definedName>
    <definedName name="dsaf_1" localSheetId="0" hidden="1">{#N/A,#N/A,FALSE,"조골재"}</definedName>
    <definedName name="dsaf_1" hidden="1">{#N/A,#N/A,FALSE,"조골재"}</definedName>
    <definedName name="DSF" localSheetId="0" hidden="1">{#N/A,#N/A,FALSE,"골재소요량";#N/A,#N/A,FALSE,"골재소요량"}</definedName>
    <definedName name="DSF" hidden="1">{#N/A,#N/A,FALSE,"골재소요량";#N/A,#N/A,FALSE,"골재소요량"}</definedName>
    <definedName name="DSF_1" localSheetId="0" hidden="1">{#N/A,#N/A,FALSE,"골재소요량";#N/A,#N/A,FALSE,"골재소요량"}</definedName>
    <definedName name="DSF_1" hidden="1">{#N/A,#N/A,FALSE,"골재소요량";#N/A,#N/A,FALSE,"골재소요량"}</definedName>
    <definedName name="dsfaa">BlankMacro1</definedName>
    <definedName name="DSFAESF">BlankMacro1</definedName>
    <definedName name="dsfasddsf">BlankMacro1</definedName>
    <definedName name="dsfdsa">#N/A</definedName>
    <definedName name="dsfew">BlankMacro1</definedName>
    <definedName name="DSFG" hidden="1">{#N/A,#N/A,FALSE,"2~8번"}</definedName>
    <definedName name="dsfsdf">BlankMacro1</definedName>
    <definedName name="dsfwsdf">BlankMacro1</definedName>
    <definedName name="DSGHE" hidden="1">{#N/A,#N/A,FALSE,"단가표지"}</definedName>
    <definedName name="dtrhgnb" localSheetId="0" hidden="1">{#N/A,#N/A,FALSE,"2~8번"}</definedName>
    <definedName name="dtrhgnb" hidden="1">{#N/A,#N/A,FALSE,"2~8번"}</definedName>
    <definedName name="DW" localSheetId="0" hidden="1">{#N/A,#N/A,FALSE,"배수2"}</definedName>
    <definedName name="DW" hidden="1">{#N/A,#N/A,FALSE,"배수2"}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S">BlankMacro1</definedName>
    <definedName name="EARTH">#N/A</definedName>
    <definedName name="EARTHSAPDATA.StartProgram">#N/A</definedName>
    <definedName name="EARTHSAPDATA.StartProgram1">#N/A</definedName>
    <definedName name="EARTHSAPDATA.StartProgram2">#N/A</definedName>
    <definedName name="eded" localSheetId="0" hidden="1">#REF!</definedName>
    <definedName name="eded" hidden="1">#REF!</definedName>
    <definedName name="EE" localSheetId="0" hidden="1">#REF!</definedName>
    <definedName name="EE" hidden="1">#REF!</definedName>
    <definedName name="eee" localSheetId="0" hidden="1">{#N/A,#N/A,FALSE,"2~8번"}</definedName>
    <definedName name="eee" hidden="1">{#N/A,#N/A,FALSE,"2~8번"}</definedName>
    <definedName name="eee_1" localSheetId="0" hidden="1">{#N/A,#N/A,FALSE,"2~8번"}</definedName>
    <definedName name="eee_1" hidden="1">{#N/A,#N/A,FALSE,"2~8번"}</definedName>
    <definedName name="eeeeeeeeeeeeeee" hidden="1">{#N/A,#N/A,FALSE,"운반시간"}</definedName>
    <definedName name="eeefr" localSheetId="0" hidden="1">#REF!</definedName>
    <definedName name="eeefr" hidden="1">#REF!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RBRE">BlankMacro1</definedName>
    <definedName name="ERC">BlankMacro1</definedName>
    <definedName name="erer" localSheetId="0" hidden="1">#REF!</definedName>
    <definedName name="erer" hidden="1">#REF!</definedName>
    <definedName name="erewr">BlankMacro1</definedName>
    <definedName name="ERGBERGBES">BlankMacro1</definedName>
    <definedName name="errer" localSheetId="0" hidden="1">#REF!</definedName>
    <definedName name="errer" hidden="1">#REF!</definedName>
    <definedName name="ertertert">BlankMacro1</definedName>
    <definedName name="ERTGESDF">BlankMacro1</definedName>
    <definedName name="ERTGTSWR">BlankMacro1</definedName>
    <definedName name="ERYETY" hidden="1">#REF!</definedName>
    <definedName name="ESTAWEREW">BlankMacro1</definedName>
    <definedName name="ET">BlankMacro1</definedName>
    <definedName name="EWDGF">BlankMacro1</definedName>
    <definedName name="ewew" localSheetId="0" hidden="1">#REF!</definedName>
    <definedName name="ewew" hidden="1">#REF!</definedName>
    <definedName name="EWR" hidden="1">{#N/A,#N/A,FALSE,"골재소요량";#N/A,#N/A,FALSE,"골재소요량"}</definedName>
    <definedName name="EWTERDGD">BlankMacro1</definedName>
    <definedName name="EWVAW">BlankMacro1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BHRTDBGRE">BlankMacro1</definedName>
    <definedName name="FDBSERHGB">BlankMacro1</definedName>
    <definedName name="fdcvas">BlankMacro1</definedName>
    <definedName name="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G">BlankMacro1</definedName>
    <definedName name="FDGDFAGFD" localSheetId="0" hidden="1">{#N/A,#N/A,FALSE,"포장1";#N/A,#N/A,FALSE,"포장1"}</definedName>
    <definedName name="FDGDFAGFD" hidden="1">{#N/A,#N/A,FALSE,"포장1";#N/A,#N/A,FALSE,"포장1"}</definedName>
    <definedName name="fdgfdg" localSheetId="0" hidden="1">{#N/A,#N/A,FALSE,"2~8번"}</definedName>
    <definedName name="fdgfdg" hidden="1">{#N/A,#N/A,FALSE,"2~8번"}</definedName>
    <definedName name="fdgfgf" localSheetId="0" hidden="1">{#N/A,#N/A,FALSE,"운반시간"}</definedName>
    <definedName name="fdgfgf" hidden="1">{#N/A,#N/A,FALSE,"운반시간"}</definedName>
    <definedName name="fdght">BlankMacro1</definedName>
    <definedName name="fdgsfdg">BlankMacro1</definedName>
    <definedName name="fdhevwtec" localSheetId="0" hidden="1">{#N/A,#N/A,FALSE,"구조1"}</definedName>
    <definedName name="fdhevwtec" hidden="1">{#N/A,#N/A,FALSE,"구조1"}</definedName>
    <definedName name="fdsa">#N/A</definedName>
    <definedName name="fedgre" localSheetId="0" hidden="1">{#N/A,#N/A,FALSE,"배수1"}</definedName>
    <definedName name="fedgre" hidden="1">{#N/A,#N/A,FALSE,"배수1"}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wsfssf" localSheetId="5" hidden="1">#REF!</definedName>
    <definedName name="fewsfssf" localSheetId="9" hidden="1">#REF!</definedName>
    <definedName name="fewsfssf" localSheetId="8" hidden="1">#REF!</definedName>
    <definedName name="fewsfssf" hidden="1">#REF!</definedName>
    <definedName name="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" localSheetId="0" hidden="1">{#N/A,#N/A,FALSE,"조골재"}</definedName>
    <definedName name="ffffff" hidden="1">{#N/A,#N/A,FALSE,"조골재"}</definedName>
    <definedName name="FFFFFFFF">#N/A</definedName>
    <definedName name="ffk" localSheetId="0" hidden="1">#REF!</definedName>
    <definedName name="ffk" hidden="1">#REF!</definedName>
    <definedName name="FGDAG" localSheetId="0" hidden="1">{#N/A,#N/A,FALSE,"포장2"}</definedName>
    <definedName name="FGDAG" hidden="1">{#N/A,#N/A,FALSE,"포장2"}</definedName>
    <definedName name="FGDAGFG" localSheetId="0" hidden="1">{#N/A,#N/A,FALSE,"혼합골재"}</definedName>
    <definedName name="FGDAGFG" hidden="1">{#N/A,#N/A,FALSE,"혼합골재"}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0" hidden="1">{#N/A,#N/A,FALSE,"혼합골재"}</definedName>
    <definedName name="fgfadgf" hidden="1">{#N/A,#N/A,FALSE,"혼합골재"}</definedName>
    <definedName name="FGFDG" localSheetId="0" hidden="1">{#N/A,#N/A,FALSE,"표지목차"}</definedName>
    <definedName name="FGFDG" hidden="1">{#N/A,#N/A,FALSE,"표지목차"}</definedName>
    <definedName name="fgfdgffff" localSheetId="0" hidden="1">{#N/A,#N/A,FALSE,"부대2"}</definedName>
    <definedName name="fgfdgffff" hidden="1">{#N/A,#N/A,FALSE,"부대2"}</definedName>
    <definedName name="fgfdsgdfg" localSheetId="0" hidden="1">{#N/A,#N/A,FALSE,"혼합골재"}</definedName>
    <definedName name="fgfdsgdfg" hidden="1">{#N/A,#N/A,FALSE,"혼합골재"}</definedName>
    <definedName name="fgfg" localSheetId="0" hidden="1">{#N/A,#N/A,FALSE,"2~8번"}</definedName>
    <definedName name="fgfg" hidden="1">{#N/A,#N/A,FALSE,"2~8번"}</definedName>
    <definedName name="fgfgfg" localSheetId="0" hidden="1">{#N/A,#N/A,FALSE,"골재소요량";#N/A,#N/A,FALSE,"골재소요량"}</definedName>
    <definedName name="fgfgfg" hidden="1">{#N/A,#N/A,FALSE,"골재소요량";#N/A,#N/A,FALSE,"골재소요량"}</definedName>
    <definedName name="fgh">BlankMacro1</definedName>
    <definedName name="fghfdagfd" localSheetId="0" hidden="1">{#N/A,#N/A,FALSE,"표지목차"}</definedName>
    <definedName name="fghfdagfd" hidden="1">{#N/A,#N/A,FALSE,"표지목차"}</definedName>
    <definedName name="fghfgh">BlankMacro1</definedName>
    <definedName name="fghfghfgh">BlankMacro1</definedName>
    <definedName name="fghghf">BlankMacro1</definedName>
    <definedName name="fghrt">BlankMacro1</definedName>
    <definedName name="fgn" localSheetId="0" hidden="1">{#N/A,#N/A,FALSE,"구조2"}</definedName>
    <definedName name="fgn" hidden="1">{#N/A,#N/A,FALSE,"구조2"}</definedName>
    <definedName name="fgnrt" localSheetId="0" hidden="1">{#N/A,#N/A,FALSE,"단가표지"}</definedName>
    <definedName name="fgnrt" hidden="1">{#N/A,#N/A,FALSE,"단가표지"}</definedName>
    <definedName name="fgsdfgf">BlankMacro1</definedName>
    <definedName name="fhddg" localSheetId="0" hidden="1">{#N/A,#N/A,FALSE,"부대1"}</definedName>
    <definedName name="fhddg" hidden="1">{#N/A,#N/A,FALSE,"부대1"}</definedName>
    <definedName name="fhdkjf" localSheetId="0" hidden="1">{#N/A,#N/A,FALSE,"골재소요량";#N/A,#N/A,FALSE,"골재소요량"}</definedName>
    <definedName name="fhdkjf" hidden="1">{#N/A,#N/A,FALSE,"골재소요량";#N/A,#N/A,FALSE,"골재소요량"}</definedName>
    <definedName name="FHFH" hidden="1">#REF!</definedName>
    <definedName name="FHFK" localSheetId="5" hidden="1">#REF!</definedName>
    <definedName name="FHFK" localSheetId="9" hidden="1">#REF!</definedName>
    <definedName name="FHFK" localSheetId="8" hidden="1">#REF!</definedName>
    <definedName name="FHFK" hidden="1">#REF!</definedName>
    <definedName name="fill1" localSheetId="5" hidden="1">#REF!</definedName>
    <definedName name="fill1" localSheetId="9" hidden="1">#REF!</definedName>
    <definedName name="fill1" localSheetId="8" hidden="1">#REF!</definedName>
    <definedName name="fill1" hidden="1">#REF!</definedName>
    <definedName name="FJSDHF" localSheetId="0" hidden="1">{#N/A,#N/A,FALSE,"단가표지"}</definedName>
    <definedName name="FJSDHF" hidden="1">{#N/A,#N/A,FALSE,"단가표지"}</definedName>
    <definedName name="frfr" localSheetId="0" hidden="1">#REF!</definedName>
    <definedName name="frfr" hidden="1">#REF!</definedName>
    <definedName name="frfrefed" localSheetId="0" hidden="1">#REF!</definedName>
    <definedName name="frfrefed" hidden="1">#REF!</definedName>
    <definedName name="frfrff" localSheetId="0" hidden="1">#REF!</definedName>
    <definedName name="frfrff" hidden="1">#REF!</definedName>
    <definedName name="FS" localSheetId="0" hidden="1">{#N/A,#N/A,FALSE,"배수1"}</definedName>
    <definedName name="FS" hidden="1">{#N/A,#N/A,FALSE,"배수1"}</definedName>
    <definedName name="FSA" hidden="1">{#N/A,#N/A,FALSE,"조골재"}</definedName>
    <definedName name="fsdafhaaaaeraw" localSheetId="0" hidden="1">{#N/A,#N/A,FALSE,"구조1"}</definedName>
    <definedName name="fsdafhaaaaeraw" hidden="1">{#N/A,#N/A,FALSE,"구조1"}</definedName>
    <definedName name="gahahah" localSheetId="0" hidden="1">{#N/A,#N/A,FALSE,"포장1";#N/A,#N/A,FALSE,"포장1"}</definedName>
    <definedName name="gahahah" hidden="1">{#N/A,#N/A,FALSE,"포장1";#N/A,#N/A,FALSE,"포장1"}</definedName>
    <definedName name="gb" localSheetId="0" hidden="1">{#N/A,#N/A,FALSE,"2~8번"}</definedName>
    <definedName name="gb" hidden="1">{#N/A,#N/A,FALSE,"2~8번"}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DFG" hidden="1">{#N/A,#N/A,FALSE,"2~8번"}</definedName>
    <definedName name="GDFS" hidden="1">{#N/A,#N/A,FALSE,"2~8번"}</definedName>
    <definedName name="GDG" localSheetId="0" hidden="1">{#N/A,#N/A,FALSE,"포장2"}</definedName>
    <definedName name="GDG" hidden="1">{#N/A,#N/A,FALSE,"포장2"}</definedName>
    <definedName name="GDGFD" localSheetId="0" hidden="1">{#N/A,#N/A,FALSE,"배수1"}</definedName>
    <definedName name="GDGFD" hidden="1">{#N/A,#N/A,FALSE,"배수1"}</definedName>
    <definedName name="gdjhsy" localSheetId="0" hidden="1">#REF!</definedName>
    <definedName name="gdjhsy" hidden="1">#REF!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DG" localSheetId="0" hidden="1">{#N/A,#N/A,FALSE,"2~8번"}</definedName>
    <definedName name="GFDG" hidden="1">{#N/A,#N/A,FALSE,"2~8번"}</definedName>
    <definedName name="GFDGDFGFG" localSheetId="0" hidden="1">{#N/A,#N/A,FALSE,"혼합골재"}</definedName>
    <definedName name="GFDGDFGFG" hidden="1">{#N/A,#N/A,FALSE,"혼합골재"}</definedName>
    <definedName name="gfdhrt">BlankMacro1</definedName>
    <definedName name="GFDSAG" hidden="1">{#N/A,#N/A,FALSE,"2~8번"}</definedName>
    <definedName name="GFDSW" localSheetId="0" hidden="1">{#N/A,#N/A,FALSE,"구조2"}</definedName>
    <definedName name="GFDSW" hidden="1">{#N/A,#N/A,FALSE,"구조2"}</definedName>
    <definedName name="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e">BlankMacro1</definedName>
    <definedName name="gfgfg" localSheetId="0" hidden="1">{#N/A,#N/A,FALSE,"골재소요량";#N/A,#N/A,FALSE,"골재소요량"}</definedName>
    <definedName name="gfgfg" hidden="1">{#N/A,#N/A,FALSE,"골재소요량";#N/A,#N/A,FALSE,"골재소요량"}</definedName>
    <definedName name="GFGFHGFHF" localSheetId="0" hidden="1">{#N/A,#N/A,FALSE,"토공2"}</definedName>
    <definedName name="GFGFHGFHF" hidden="1">{#N/A,#N/A,FALSE,"토공2"}</definedName>
    <definedName name="gfh">BlankMacro1</definedName>
    <definedName name="gfhgfh">BlankMacro1</definedName>
    <definedName name="gfhgh" localSheetId="0" hidden="1">{#N/A,#N/A,FALSE,"배수2"}</definedName>
    <definedName name="gfhgh" hidden="1">{#N/A,#N/A,FALSE,"배수2"}</definedName>
    <definedName name="GFHR" hidden="1">{#N/A,#N/A,FALSE,"운반시간"}</definedName>
    <definedName name="gfhrthfgh">BlankMacro1</definedName>
    <definedName name="gfjdjkyt" hidden="1">#REF!</definedName>
    <definedName name="ggfhgfshgh" localSheetId="0" hidden="1">{#N/A,#N/A,FALSE,"포장2"}</definedName>
    <definedName name="ggfhgfshgh" hidden="1">{#N/A,#N/A,FALSE,"포장2"}</definedName>
    <definedName name="ggggg" localSheetId="0" hidden="1">{#N/A,#N/A,FALSE,"구조1"}</definedName>
    <definedName name="ggggg" hidden="1">{#N/A,#N/A,FALSE,"구조1"}</definedName>
    <definedName name="GGGHGH">BlankMacro1</definedName>
    <definedName name="ghbnb">BlankMacro1</definedName>
    <definedName name="ghdsg" hidden="1">#REF!</definedName>
    <definedName name="GHFJ">BlankMacro1</definedName>
    <definedName name="ghgfh" localSheetId="0" hidden="1">{#N/A,#N/A,FALSE,"포장2"}</definedName>
    <definedName name="ghgfh" hidden="1">{#N/A,#N/A,FALSE,"포장2"}</definedName>
    <definedName name="GHH">#N/A</definedName>
    <definedName name="ghhdfh">BlankMacro1</definedName>
    <definedName name="ghjhjg">BlankMacro1</definedName>
    <definedName name="GHNRTDY">BlankMacro1</definedName>
    <definedName name="GJHGLI" localSheetId="0" hidden="1">{#N/A,#N/A,FALSE,"포장1";#N/A,#N/A,FALSE,"포장1"}</definedName>
    <definedName name="GJHGLI" hidden="1">{#N/A,#N/A,FALSE,"포장1";#N/A,#N/A,FALSE,"포장1"}</definedName>
    <definedName name="grew" localSheetId="0" hidden="1">#REF!</definedName>
    <definedName name="grew" hidden="1">#REF!</definedName>
    <definedName name="GS" localSheetId="0" hidden="1">{#N/A,#N/A,FALSE,"포장2"}</definedName>
    <definedName name="GS" hidden="1">{#N/A,#N/A,FALSE,"포장2"}</definedName>
    <definedName name="gsagsdarafds" localSheetId="0" hidden="1">{#N/A,#N/A,FALSE,"토공2"}</definedName>
    <definedName name="gsagsdarafds" hidden="1">{#N/A,#N/A,FALSE,"토공2"}</definedName>
    <definedName name="gtgt" localSheetId="0" hidden="1">#REF!</definedName>
    <definedName name="gtgt" hidden="1">#REF!</definedName>
    <definedName name="gthyhy" localSheetId="0" hidden="1">#REF!</definedName>
    <definedName name="gthyhy" hidden="1">#REF!</definedName>
    <definedName name="hadfhafa" localSheetId="0" hidden="1">{#N/A,#N/A,FALSE,"혼합골재"}</definedName>
    <definedName name="hadfhafa" hidden="1">{#N/A,#N/A,FALSE,"혼합골재"}</definedName>
    <definedName name="hadfhafhad" localSheetId="0" hidden="1">{#N/A,#N/A,FALSE,"운반시간"}</definedName>
    <definedName name="hadfhafhad" hidden="1">{#N/A,#N/A,FALSE,"운반시간"}</definedName>
    <definedName name="hadfhata" localSheetId="0" hidden="1">{#N/A,#N/A,FALSE,"표지목차"}</definedName>
    <definedName name="hadfhata" hidden="1">{#N/A,#N/A,FALSE,"표지목차"}</definedName>
    <definedName name="hadhfaha" localSheetId="0" hidden="1">{#N/A,#N/A,FALSE,"포장2"}</definedName>
    <definedName name="hadhfaha" hidden="1">{#N/A,#N/A,FALSE,"포장2"}</definedName>
    <definedName name="han" localSheetId="0" hidden="1">#REF!</definedName>
    <definedName name="han" hidden="1">#REF!</definedName>
    <definedName name="hdehd" localSheetId="0" hidden="1">#REF!</definedName>
    <definedName name="hdehd" hidden="1">#REF!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F" hidden="1">{#N/A,#N/A,FALSE,"표지목차"}</definedName>
    <definedName name="herdsf">BlankMacro1</definedName>
    <definedName name="hgd" localSheetId="0" hidden="1">{#N/A,#N/A,FALSE,"배수2"}</definedName>
    <definedName name="hgd" hidden="1">{#N/A,#N/A,FALSE,"배수2"}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H" hidden="1">{#N/A,#N/A,FALSE,"2~8번"}</definedName>
    <definedName name="hgh" localSheetId="0" hidden="1">{#N/A,#N/A,FALSE,"단가표지"}</definedName>
    <definedName name="hgh" hidden="1">{#N/A,#N/A,FALSE,"단가표지"}</definedName>
    <definedName name="hghg" localSheetId="0" hidden="1">{#N/A,#N/A,FALSE,"운반시간"}</definedName>
    <definedName name="hghg" hidden="1">{#N/A,#N/A,FALSE,"운반시간"}</definedName>
    <definedName name="hgkjgfd" hidden="1">#REF!</definedName>
    <definedName name="HHADG" hidden="1">{#N/A,#N/A,FALSE,"조골재"}</definedName>
    <definedName name="hhhhhh" localSheetId="0" hidden="1">#REF!</definedName>
    <definedName name="hhhhhh" hidden="1">#REF!</definedName>
    <definedName name="HHR" localSheetId="0" hidden="1">{#N/A,#N/A,FALSE,"포장2"}</definedName>
    <definedName name="HHR" hidden="1">{#N/A,#N/A,FALSE,"포장2"}</definedName>
    <definedName name="HJHG">BlankMacro1</definedName>
    <definedName name="hjhj" localSheetId="0" hidden="1">#REF!</definedName>
    <definedName name="hjhj" hidden="1">#REF!</definedName>
    <definedName name="hkj" localSheetId="0" hidden="1">{#N/A,#N/A,FALSE,"혼합골재"}</definedName>
    <definedName name="hkj" hidden="1">{#N/A,#N/A,FALSE,"혼합골재"}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rbjrjy" localSheetId="0" hidden="1">{#N/A,#N/A,FALSE,"배수2"}</definedName>
    <definedName name="hrbjrjy" hidden="1">{#N/A,#N/A,FALSE,"배수2"}</definedName>
    <definedName name="HRH" hidden="1">{#N/A,#N/A,FALSE,"혼합골재"}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ML_CodePage" hidden="1">949</definedName>
    <definedName name="HTML_Control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HTML_Control" hidden="1">{"'공사부문'!$A$6:$A$32"}</definedName>
    <definedName name="HTML_Description" hidden="1">""</definedName>
    <definedName name="HTML_Email" hidden="1">""</definedName>
    <definedName name="HTML_Header" localSheetId="0" hidden="1">"정산서(절.성토부)"</definedName>
    <definedName name="HTML_Header" hidden="1">"공사부문"</definedName>
    <definedName name="HTML_LastUpdate" localSheetId="0" hidden="1">"99-06-17"</definedName>
    <definedName name="HTML_LastUpdate" hidden="1">"98-04-27"</definedName>
    <definedName name="HTML_LineAfter" hidden="1">FALSE</definedName>
    <definedName name="HTML_LineBefore" hidden="1">FALSE</definedName>
    <definedName name="HTML_Name" localSheetId="0" hidden="1">"박태홍"</definedName>
    <definedName name="HTML_Name" hidden="1">"김준곤"</definedName>
    <definedName name="HTML_OBDlg2" hidden="1">TRUE</definedName>
    <definedName name="HTML_OBDlg4" hidden="1">TRUE</definedName>
    <definedName name="HTML_OS" hidden="1">0</definedName>
    <definedName name="HTML_PathFile" localSheetId="0" hidden="1">"C:\TAEHONG\MyHTML.htm"</definedName>
    <definedName name="HTML_PathFile" hidden="1">"C:\WINNT\Profiles\Administrator\Personal\MyHTML.htm"</definedName>
    <definedName name="HTML_Title" localSheetId="0" hidden="1">"kuma-re1"</definedName>
    <definedName name="HTML_Title" hidden="1">"시중노임단가"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Count" hidden="1">1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OIOIOIO" localSheetId="0" hidden="1">{#N/A,#N/A,FALSE,"표지목차"}</definedName>
    <definedName name="IOIOIOIO" hidden="1">{#N/A,#N/A,FALSE,"표지목차"}</definedName>
    <definedName name="IPOI">BlankMacro1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OUIP">BlankMacro1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DS">#N/A</definedName>
    <definedName name="JGH" hidden="1">{#N/A,#N/A,FALSE,"골재소요량";#N/A,#N/A,FALSE,"골재소요량"}</definedName>
    <definedName name="JGVCV">#N/A</definedName>
    <definedName name="jgytj">BlankMacro1</definedName>
    <definedName name="JHGJ" hidden="1">{#N/A,#N/A,FALSE,"운반시간"}</definedName>
    <definedName name="jhjg" localSheetId="0" hidden="1">{#N/A,#N/A,FALSE,"조골재"}</definedName>
    <definedName name="jhjg" hidden="1">{#N/A,#N/A,FALSE,"조골재"}</definedName>
    <definedName name="jhjh" localSheetId="0" hidden="1">{#N/A,#N/A,FALSE,"표지목차"}</definedName>
    <definedName name="jhjh" hidden="1">{#N/A,#N/A,FALSE,"표지목차"}</definedName>
    <definedName name="jhjhjh" localSheetId="0" hidden="1">#REF!</definedName>
    <definedName name="jhjhjh" hidden="1">#REF!</definedName>
    <definedName name="JHY">#N/A</definedName>
    <definedName name="JHYKING">#N/A</definedName>
    <definedName name="JJJ" localSheetId="0" hidden="1">#REF!</definedName>
    <definedName name="J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jjj">BlankMacro1</definedName>
    <definedName name="jkghjgk" localSheetId="5" hidden="1">#REF!</definedName>
    <definedName name="jkghjgk" localSheetId="9" hidden="1">#REF!</definedName>
    <definedName name="jkghjgk" localSheetId="8" hidden="1">#REF!</definedName>
    <definedName name="jkghjgk" hidden="1">#REF!</definedName>
    <definedName name="JKJKJKJK" localSheetId="0" hidden="1">{#N/A,#N/A,FALSE,"포장1";#N/A,#N/A,FALSE,"포장1"}</definedName>
    <definedName name="JKJKJKJK" hidden="1">{#N/A,#N/A,FALSE,"포장1";#N/A,#N/A,FALSE,"포장1"}</definedName>
    <definedName name="jrygf">BlankMacro1</definedName>
    <definedName name="juju" localSheetId="0" hidden="1">#REF!</definedName>
    <definedName name="juju" hidden="1">#REF!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trtysr" localSheetId="0" hidden="1">{#N/A,#N/A,FALSE,"조골재"}</definedName>
    <definedName name="jytrtysr" hidden="1">{#N/A,#N/A,FALSE,"조골재"}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hl" localSheetId="0" hidden="1">{#N/A,#N/A,FALSE,"2~8번"}</definedName>
    <definedName name="khl" hidden="1">{#N/A,#N/A,FALSE,"2~8번"}</definedName>
    <definedName name="kjg" localSheetId="0" hidden="1">{#N/A,#N/A,FALSE,"조골재"}</definedName>
    <definedName name="kjg" hidden="1">{#N/A,#N/A,FALSE,"조골재"}</definedName>
    <definedName name="kkkkk" localSheetId="5" hidden="1">#REF!</definedName>
    <definedName name="kkkkk" localSheetId="9" hidden="1">#REF!</definedName>
    <definedName name="kkkkk" localSheetId="8" hidden="1">#REF!</definedName>
    <definedName name="kkkkk" hidden="1">#REF!</definedName>
    <definedName name="klkjl">BlankMacro1</definedName>
    <definedName name="klkkk" localSheetId="5" hidden="1">#REF!</definedName>
    <definedName name="klkkk" localSheetId="9" hidden="1">#REF!</definedName>
    <definedName name="klkkk" localSheetId="8" hidden="1">#REF!</definedName>
    <definedName name="klkkk" hidden="1">#REF!</definedName>
    <definedName name="KLLKLKLK" localSheetId="0" hidden="1">{#N/A,#N/A,FALSE,"포장2"}</definedName>
    <definedName name="KLLKLKLK" hidden="1">{#N/A,#N/A,FALSE,"포장2"}</definedName>
    <definedName name="ktf" localSheetId="0" hidden="1">#REF!</definedName>
    <definedName name="ktf" localSheetId="5" hidden="1">#REF!</definedName>
    <definedName name="ktf" localSheetId="9" hidden="1">#REF!</definedName>
    <definedName name="ktf" localSheetId="8" hidden="1">#REF!</definedName>
    <definedName name="ktf" hidden="1">#REF!</definedName>
    <definedName name="kty" localSheetId="0" hidden="1">#REF!</definedName>
    <definedName name="kty" localSheetId="5" hidden="1">#REF!</definedName>
    <definedName name="kty" localSheetId="9" hidden="1">#REF!</definedName>
    <definedName name="kty" localSheetId="8" hidden="1">#REF!</definedName>
    <definedName name="kty" hidden="1">#REF!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ytjnjr" localSheetId="0" hidden="1">{#N/A,#N/A,FALSE,"토공2"}</definedName>
    <definedName name="kytjnjr" hidden="1">{#N/A,#N/A,FALSE,"토공2"}</definedName>
    <definedName name="L.W">BlankMacro1</definedName>
    <definedName name="LIUJHG" localSheetId="0" hidden="1">#REF!</definedName>
    <definedName name="LIUJHG" hidden="1">#REF!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KKLKL">BlankMacro1</definedName>
    <definedName name="lks">#N/A</definedName>
    <definedName name="LKTY">BlankMacro1</definedName>
    <definedName name="lll">#N/A</definedName>
    <definedName name="L형측" localSheetId="0" hidden="1">{#N/A,#N/A,FALSE,"표지목차"}</definedName>
    <definedName name="L형측" hidden="1">{#N/A,#N/A,FALSE,"표지목차"}</definedName>
    <definedName name="MAIN">#N/A</definedName>
    <definedName name="mjmj" localSheetId="0" hidden="1">#REF!</definedName>
    <definedName name="mjmj" hidden="1">#REF!</definedName>
    <definedName name="MK" hidden="1">{#N/A,#N/A,FALSE,"배수1"}</definedName>
    <definedName name="name_one" localSheetId="0" hidden="1">#REF!</definedName>
    <definedName name="name_one" hidden="1">#REF!</definedName>
    <definedName name="name_three" localSheetId="0" hidden="1">#REF!</definedName>
    <definedName name="name_three" hidden="1">#REF!</definedName>
    <definedName name="name_two" localSheetId="0" hidden="1">#REF!</definedName>
    <definedName name="name_two" hidden="1">#REF!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hgn">BlankMacro1</definedName>
    <definedName name="nhnt">BlankMacro1</definedName>
    <definedName name="nnhnhd" localSheetId="0" hidden="1">#REF!</definedName>
    <definedName name="nnhnhd" hidden="1">#REF!</definedName>
    <definedName name="OIOPOI">BlankMacro1</definedName>
    <definedName name="OIPUIOUI">BlankMacro1</definedName>
    <definedName name="OOIY">BlankMacro1</definedName>
    <definedName name="ooo" localSheetId="5" hidden="1">#REF!</definedName>
    <definedName name="ooo" localSheetId="9" hidden="1">#REF!</definedName>
    <definedName name="ooo" localSheetId="8" hidden="1">#REF!</definedName>
    <definedName name="ooo" hidden="1">#REF!</definedName>
    <definedName name="ooooo" localSheetId="0" hidden="1">#REF!</definedName>
    <definedName name="ooooo" hidden="1">#REF!</definedName>
    <definedName name="OPIU">BlankMacro1</definedName>
    <definedName name="OPOP" localSheetId="5" hidden="1">#REF!</definedName>
    <definedName name="OPOP" localSheetId="9" hidden="1">#REF!</definedName>
    <definedName name="OPOP" localSheetId="8" hidden="1">#REF!</definedName>
    <definedName name="OPOP" hidden="1">#REF!</definedName>
    <definedName name="OPP" localSheetId="5" hidden="1">#REF!</definedName>
    <definedName name="OPP" localSheetId="9" hidden="1">#REF!</definedName>
    <definedName name="OPP" localSheetId="8" hidden="1">#REF!</definedName>
    <definedName name="OPP" hidden="1">#REF!</definedName>
    <definedName name="PI">3.141592654</definedName>
    <definedName name="popo" localSheetId="0" hidden="1">#REF!</definedName>
    <definedName name="popo" hidden="1">#REF!</definedName>
    <definedName name="ppppoi" localSheetId="0" hidden="1">#REF!</definedName>
    <definedName name="ppppoi" hidden="1">#REF!</definedName>
    <definedName name="pppppo" localSheetId="0" hidden="1">#REF!</definedName>
    <definedName name="pppppo" hidden="1">#REF!</definedName>
    <definedName name="ppppppp" localSheetId="0" hidden="1">#REF!</definedName>
    <definedName name="ppppppp" hidden="1">#REF!</definedName>
    <definedName name="PRE">#N/A</definedName>
    <definedName name="_xlnm.Print_Area" localSheetId="11">'2호맨홀단위수량'!$A$1:$O$74</definedName>
    <definedName name="_xlnm.Print_Area" localSheetId="12">'3호맨홀단위수량'!$A$1:$O$36</definedName>
    <definedName name="_xlnm.Print_Area" localSheetId="23">각형맨홀2호삽도!$A$1:$G$28</definedName>
    <definedName name="_xlnm.Print_Area" localSheetId="26">각형맨홀3호삽도!$A$1:$G$28</definedName>
    <definedName name="_xlnm.Print_Area" localSheetId="35">'관연결부 고무커넥터수량'!$A$1:$W$12</definedName>
    <definedName name="_xlnm.Print_Area" localSheetId="38">'맨홀 평균 높이'!$A$1:$G$275</definedName>
    <definedName name="_xlnm.Print_Area" localSheetId="1">맨홀수량집계표!$A$1:$AZ$13</definedName>
    <definedName name="_xlnm.Print_Area" localSheetId="37">맨홀유출입수량!$A$1:$M$304</definedName>
    <definedName name="_xlnm.Print_Area" localSheetId="49">'맨홀유출입수량(성토부)'!$A$1:$AI$20</definedName>
    <definedName name="_xlnm.Print_Area" localSheetId="48">'맨홀접속부 잡석수량 집계표'!$A$1:$F$10</definedName>
    <definedName name="_xlnm.Print_Area" localSheetId="44">'부관맨홀 산출근거'!$A$1:$K$41</definedName>
    <definedName name="_xlnm.Print_Area" localSheetId="4">'성토부 맨홀 수량'!$A$1:$H$88</definedName>
    <definedName name="_xlnm.Print_Area" localSheetId="3">'성토부 맨홀 잡석수량 집계표'!$A$1:$F$8</definedName>
    <definedName name="_xlnm.Print_Area" localSheetId="2">수량집계표!$A$2:$BO$9</definedName>
    <definedName name="_xlnm.Print_Area" localSheetId="13">'오수각형맨홀2호(차도)'!$A$1:$F$10</definedName>
    <definedName name="_xlnm.Print_Area" localSheetId="14">'오수각형맨홀3호(차도)'!$A$1:$F$10</definedName>
    <definedName name="_xlnm.Print_Area" localSheetId="34">'오수관 맨홀이음부 몰탈 수량집계'!$A$1:$P$49</definedName>
    <definedName name="_xlnm.Print_Area" localSheetId="36">'오수맨홀수량 및 평균높이'!$A$1:$L$13</definedName>
    <definedName name="_xlnm.Print_Area" localSheetId="6">'오수원형맨홀1호(보도)'!$A$2:$Z$165</definedName>
    <definedName name="_xlnm.Print_Area" localSheetId="5">'오수원형맨홀1호(차도)'!$A$2:$Z$61</definedName>
    <definedName name="_xlnm.Print_Area" localSheetId="9">'오수원형맨홀2호(보도)'!$A$2:$W$74</definedName>
    <definedName name="_xlnm.Print_Area" localSheetId="8">'오수원형맨홀2호(차도)'!$A$2:$W$51</definedName>
    <definedName name="_xlnm.Print_Area" localSheetId="7">'오수원형맨홀3호(차도)'!$A$2:$Q$10</definedName>
    <definedName name="_xlnm.Print_Area" localSheetId="30">오수인버트삽도!$A$1:$P$30</definedName>
    <definedName name="_xlnm.Print_Area" localSheetId="42">'유입부 하부잡석포설단위수량'!$A$1:$AI$17</definedName>
    <definedName name="_xlnm.Print_Area" localSheetId="43">'유입부 하부잡석포설산출조서'!$A$1:$K$26</definedName>
    <definedName name="_xlnm.Print_Area" localSheetId="29">인버트몰탈!$A$1:$AK$39</definedName>
    <definedName name="_xlnm.Print_Area" localSheetId="28">인버트콘크리트!$A$1:$AK$42</definedName>
    <definedName name="_xlnm.Print_Area" localSheetId="22">'특2호각형맨홀(차도측)단위수량'!$A$1:$I$26</definedName>
    <definedName name="_xlnm.Print_Area" localSheetId="21">'특2호각형맨홀(차도측)집계'!$A$1:$I$36</definedName>
    <definedName name="_xlnm.Print_Area" localSheetId="16">특2호맨홀단위수량!$A$1:$I$46</definedName>
    <definedName name="_xlnm.Print_Area" localSheetId="20">'특2호맨홀단위수량(보도측)'!$A$1:$I$25</definedName>
    <definedName name="_xlnm.Print_Area" localSheetId="18">'특2호맨홀단위수량(차도측)'!$A$1:$I$25</definedName>
    <definedName name="_xlnm.Print_Area" localSheetId="33">'평균유입유출관(각형인버트산출용)'!$A$1:$G$51</definedName>
    <definedName name="_xlnm.Print_Titles" localSheetId="38">'맨홀 평균 높이'!$1:$3</definedName>
    <definedName name="_xlnm.Print_Titles" localSheetId="1">맨홀수량집계표!$A:$C</definedName>
    <definedName name="_xlnm.Print_Titles" localSheetId="37">맨홀유출입수량!$1:$3</definedName>
    <definedName name="_xlnm.Print_Titles" localSheetId="49">'맨홀유출입수량(성토부)'!$1:$4</definedName>
    <definedName name="_xlnm.Print_Titles" localSheetId="4">'성토부 맨홀 수량'!$1:$3</definedName>
    <definedName name="_xlnm.Print_Titles" localSheetId="2">수량집계표!$A:$A</definedName>
    <definedName name="_xlnm.Print_Titles" localSheetId="13">'오수각형맨홀2호(차도)'!$2:$4</definedName>
    <definedName name="_xlnm.Print_Titles" localSheetId="14">'오수각형맨홀3호(차도)'!$2:$4</definedName>
    <definedName name="_xlnm.Print_Titles" localSheetId="6">'오수원형맨홀1호(보도)'!$2:$5</definedName>
    <definedName name="_xlnm.Print_Titles" localSheetId="5">'오수원형맨홀1호(차도)'!$2:$5</definedName>
    <definedName name="_xlnm.Print_Titles" localSheetId="9">'오수원형맨홀2호(보도)'!$2:$5</definedName>
    <definedName name="_xlnm.Print_Titles" localSheetId="8">'오수원형맨홀2호(차도)'!$2:$5</definedName>
    <definedName name="_xlnm.Print_Titles" localSheetId="7">'오수원형맨홀3호(차도)'!$2:$4</definedName>
    <definedName name="_xlnm.Print_Titles" localSheetId="43">'유입부 하부잡석포설산출조서'!$1:$2</definedName>
    <definedName name="PYUUYF">BlankMacro1</definedName>
    <definedName name="q00" localSheetId="0" hidden="1">{#N/A,#N/A,FALSE,"운반시간"}</definedName>
    <definedName name="q00" hidden="1">{#N/A,#N/A,FALSE,"운반시간"}</definedName>
    <definedName name="Q3WEE" localSheetId="0" hidden="1">{#N/A,#N/A,FALSE,"조골재"}</definedName>
    <definedName name="Q3WEE" hidden="1">{#N/A,#N/A,FALSE,"조골재"}</definedName>
    <definedName name="Q3WEE_1" localSheetId="0" hidden="1">{#N/A,#N/A,FALSE,"조골재"}</definedName>
    <definedName name="Q3WEE_1" hidden="1">{#N/A,#N/A,FALSE,"조골재"}</definedName>
    <definedName name="qaa" localSheetId="0" hidden="1">{#N/A,#N/A,FALSE,"속도"}</definedName>
    <definedName name="qaa" hidden="1">{#N/A,#N/A,FALSE,"속도"}</definedName>
    <definedName name="qaaa" localSheetId="0" hidden="1">{#N/A,#N/A,FALSE,"속도"}</definedName>
    <definedName name="qaaa" hidden="1">{#N/A,#N/A,FALSE,"속도"}</definedName>
    <definedName name="qb" localSheetId="0" hidden="1">{#N/A,#N/A,FALSE,"2~8번"}</definedName>
    <definedName name="qb" hidden="1">{#N/A,#N/A,FALSE,"2~8번"}</definedName>
    <definedName name="qbb" localSheetId="0" hidden="1">{#N/A,#N/A,FALSE,"2~8번"}</definedName>
    <definedName name="qbb" hidden="1">{#N/A,#N/A,FALSE,"2~8번"}</definedName>
    <definedName name="QQ" localSheetId="0" hidden="1">{#N/A,#N/A,FALSE,"2~8번"}</definedName>
    <definedName name="QQ" hidden="1">{#N/A,#N/A,FALSE,"2~8번"}</definedName>
    <definedName name="QQA">#N/A</definedName>
    <definedName name="qqqqqqq" hidden="1">{#N/A,#N/A,FALSE,"골재소요량";#N/A,#N/A,FALSE,"골재소요량"}</definedName>
    <definedName name="QW" localSheetId="0" hidden="1">{#N/A,#N/A,FALSE,"배수2"}</definedName>
    <definedName name="QW" hidden="1">{#N/A,#N/A,FALSE,"배수2"}</definedName>
    <definedName name="qwan" localSheetId="0" hidden="1">{#N/A,#N/A,FALSE,"2~8번"}</definedName>
    <definedName name="qwan" hidden="1">{#N/A,#N/A,FALSE,"2~8번"}</definedName>
    <definedName name="qwerqerwr" localSheetId="5" hidden="1">#REF!</definedName>
    <definedName name="qwerqerwr" localSheetId="9" hidden="1">#REF!</definedName>
    <definedName name="qwerqerwr" localSheetId="8" hidden="1">#REF!</definedName>
    <definedName name="qwerqerwr" hidden="1">#REF!</definedName>
    <definedName name="qwewe">BlankMacro1</definedName>
    <definedName name="QWQ" localSheetId="0" hidden="1">{#N/A,#N/A,FALSE,"배수2"}</definedName>
    <definedName name="QWQ" hidden="1">{#N/A,#N/A,FALSE,"배수2"}</definedName>
    <definedName name="qwreq" localSheetId="5" hidden="1">#REF!</definedName>
    <definedName name="qwreq" localSheetId="9" hidden="1">#REF!</definedName>
    <definedName name="qwreq" localSheetId="8" hidden="1">#REF!</definedName>
    <definedName name="qwreq" hidden="1">#REF!</definedName>
    <definedName name="qwrn10" localSheetId="0" hidden="1">{#N/A,#N/A,FALSE,"이정표"}</definedName>
    <definedName name="qwrn10" hidden="1">{#N/A,#N/A,FALSE,"이정표"}</definedName>
    <definedName name="qwrn11" localSheetId="0" hidden="1">{#N/A,#N/A,FALSE,"조골재"}</definedName>
    <definedName name="qwrn11" hidden="1">{#N/A,#N/A,FALSE,"조골재"}</definedName>
    <definedName name="qwrn12" localSheetId="0" hidden="1">{#N/A,#N/A,FALSE,"구조1"}</definedName>
    <definedName name="qwrn12" hidden="1">{#N/A,#N/A,FALSE,"구조1"}</definedName>
    <definedName name="qwrn13" localSheetId="0" hidden="1">{#N/A,#N/A,FALSE,"토공2"}</definedName>
    <definedName name="qwrn13" hidden="1">{#N/A,#N/A,FALSE,"토공2"}</definedName>
    <definedName name="qwrn14" localSheetId="0" hidden="1">{#N/A,#N/A,FALSE,"포장1";#N/A,#N/A,FALSE,"포장1"}</definedName>
    <definedName name="qwrn14" hidden="1">{#N/A,#N/A,FALSE,"포장1";#N/A,#N/A,FALSE,"포장1"}</definedName>
    <definedName name="qwrn15" localSheetId="0" hidden="1">{#N/A,#N/A,FALSE,"포장2"}</definedName>
    <definedName name="qwrn15" hidden="1">{#N/A,#N/A,FALSE,"포장2"}</definedName>
    <definedName name="qwrn16" localSheetId="0" hidden="1">{#N/A,#N/A,FALSE,"표지목차"}</definedName>
    <definedName name="qwrn16" hidden="1">{#N/A,#N/A,FALSE,"표지목차"}</definedName>
    <definedName name="qwrn17" localSheetId="0" hidden="1">{#N/A,#N/A,FALSE,"혼합골재"}</definedName>
    <definedName name="qwrn17" hidden="1">{#N/A,#N/A,FALSE,"혼합골재"}</definedName>
    <definedName name="qwrn2" localSheetId="0" hidden="1">{#N/A,#N/A,FALSE,"구조2"}</definedName>
    <definedName name="qwrn2" hidden="1">{#N/A,#N/A,FALSE,"구조2"}</definedName>
    <definedName name="qwrn3" localSheetId="0" hidden="1">{#N/A,#N/A,FALSE,"단가표지"}</definedName>
    <definedName name="qwrn3" hidden="1">{#N/A,#N/A,FALSE,"단가표지"}</definedName>
    <definedName name="qwrn4" localSheetId="0" hidden="1">{#N/A,#N/A,FALSE,"배수1"}</definedName>
    <definedName name="qwrn4" hidden="1">{#N/A,#N/A,FALSE,"배수1"}</definedName>
    <definedName name="qwrn5" localSheetId="0" hidden="1">{#N/A,#N/A,FALSE,"배수2"}</definedName>
    <definedName name="qwrn5" hidden="1">{#N/A,#N/A,FALSE,"배수2"}</definedName>
    <definedName name="qwrn6" localSheetId="0" hidden="1">{#N/A,#N/A,FALSE,"부대1"}</definedName>
    <definedName name="qwrn6" hidden="1">{#N/A,#N/A,FALSE,"부대1"}</definedName>
    <definedName name="qwrn7" localSheetId="0" hidden="1">{#N/A,#N/A,FALSE,"부대2"}</definedName>
    <definedName name="qwrn7" hidden="1">{#N/A,#N/A,FALSE,"부대2"}</definedName>
    <definedName name="qwrn8" localSheetId="0" hidden="1">{#N/A,#N/A,FALSE,"속도"}</definedName>
    <definedName name="qwrn8" hidden="1">{#N/A,#N/A,FALSE,"속도"}</definedName>
    <definedName name="qwrn9" localSheetId="0" hidden="1">{#N/A,#N/A,FALSE,"운반시간"}</definedName>
    <definedName name="qwrn9" hidden="1">{#N/A,#N/A,FALSE,"운반시간"}</definedName>
    <definedName name="qwrnn" localSheetId="0" hidden="1">{#N/A,#N/A,FALSE,"골재소요량";#N/A,#N/A,FALSE,"골재소요량"}</definedName>
    <definedName name="qwrnn" hidden="1">{#N/A,#N/A,FALSE,"골재소요량";#N/A,#N/A,FALSE,"골재소요량"}</definedName>
    <definedName name="QWS" localSheetId="5" hidden="1">#REF!</definedName>
    <definedName name="QWS" localSheetId="9" hidden="1">#REF!</definedName>
    <definedName name="QWS" localSheetId="8" hidden="1">#REF!</definedName>
    <definedName name="QWS" hidden="1">#REF!</definedName>
    <definedName name="rarasfsda" localSheetId="0" hidden="1">{#N/A,#N/A,FALSE,"이정표"}</definedName>
    <definedName name="rarasfsda" hidden="1">{#N/A,#N/A,FALSE,"이정표"}</definedName>
    <definedName name="rasfsafsafdsa" localSheetId="0" hidden="1">{#N/A,#N/A,FALSE,"조골재"}</definedName>
    <definedName name="rasfsafsafdsa" hidden="1">{#N/A,#N/A,FALSE,"조골재"}</definedName>
    <definedName name="RC플륨관">#N/A</definedName>
    <definedName name="RDGF">BlankMacro1</definedName>
    <definedName name="RDWET">BlankMacro1</definedName>
    <definedName name="RERE" localSheetId="0" hidden="1">#REF!</definedName>
    <definedName name="RERE" hidden="1">#REF!</definedName>
    <definedName name="rererere" localSheetId="0" hidden="1">#REF!</definedName>
    <definedName name="rererere" hidden="1">#REF!</definedName>
    <definedName name="RET" hidden="1">{#N/A,#N/A,FALSE,"조골재"}</definedName>
    <definedName name="retert">BlankMacro1</definedName>
    <definedName name="retre">BlankMacro1</definedName>
    <definedName name="RETYRE" hidden="1">{#N/A,#N/A,FALSE,"골재소요량";#N/A,#N/A,FALSE,"골재소요량"}</definedName>
    <definedName name="RF">#N/A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F">BlankMacro1</definedName>
    <definedName name="rgfd">BlankMacro1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hf" localSheetId="0" hidden="1">#REF!</definedName>
    <definedName name="rhf" hidden="1">#REF!</definedName>
    <definedName name="RHGREBGHRE">BlankMacro1</definedName>
    <definedName name="RJRJ">BlankMacro1</definedName>
    <definedName name="RJRKJRKJR">BlankMacro1</definedName>
    <definedName name="RK" localSheetId="5" hidden="1">#REF!</definedName>
    <definedName name="RK" localSheetId="9" hidden="1">#REF!</definedName>
    <definedName name="RK" localSheetId="8" hidden="1">#REF!</definedName>
    <definedName name="RK" hidden="1">#REF!</definedName>
    <definedName name="rks" localSheetId="0" hidden="1">{#N/A,#N/A,FALSE,"구조2"}</definedName>
    <definedName name="rks" hidden="1">{#N/A,#N/A,FALSE,"구조2"}</definedName>
    <definedName name="rkss" localSheetId="0" hidden="1">{#N/A,#N/A,FALSE,"부대1"}</definedName>
    <definedName name="rkss" hidden="1">{#N/A,#N/A,FALSE,"부대1"}</definedName>
    <definedName name="rksss" localSheetId="0" hidden="1">{#N/A,#N/A,FALSE,"부대2"}</definedName>
    <definedName name="rksss" hidden="1">{#N/A,#N/A,FALSE,"부대2"}</definedName>
    <definedName name="rkssss" localSheetId="0" hidden="1">{#N/A,#N/A,FALSE,"속도"}</definedName>
    <definedName name="rkssss" hidden="1">{#N/A,#N/A,FALSE,"속도"}</definedName>
    <definedName name="RLTJD">BlankMacro1</definedName>
    <definedName name="ro" localSheetId="0" hidden="1">{#N/A,#N/A,FALSE,"2~8번"}</definedName>
    <definedName name="ro" hidden="1">{#N/A,#N/A,FALSE,"2~8번"}</definedName>
    <definedName name="RQWERRRWTER" hidden="1">{#N/A,#N/A,FALSE,"2~8번"}</definedName>
    <definedName name="RRR" localSheetId="0" hidden="1">{#N/A,#N/A,FALSE,"포장2"}</definedName>
    <definedName name="RRR" hidden="1">{#N/A,#N/A,FALSE,"포장2"}</definedName>
    <definedName name="rsaraf" localSheetId="0" hidden="1">{#N/A,#N/A,FALSE,"운반시간"}</definedName>
    <definedName name="rsaraf" hidden="1">{#N/A,#N/A,FALSE,"운반시간"}</definedName>
    <definedName name="rth" localSheetId="5" hidden="1">#REF!</definedName>
    <definedName name="rth" localSheetId="9" hidden="1">#REF!</definedName>
    <definedName name="rth" localSheetId="8" hidden="1">#REF!</definedName>
    <definedName name="rth" hidden="1">#REF!</definedName>
    <definedName name="rtrtr" localSheetId="0" hidden="1">#REF!</definedName>
    <definedName name="rtrtr" hidden="1">#REF!</definedName>
    <definedName name="RTYHERY">BlankMacro1</definedName>
    <definedName name="rwe6vtd" localSheetId="0" hidden="1">{#N/A,#N/A,FALSE,"표지목차"}</definedName>
    <definedName name="rwe6vtd" hidden="1">{#N/A,#N/A,FALSE,"표지목차"}</definedName>
    <definedName name="ryescerfwe" localSheetId="0" hidden="1">{#N/A,#N/A,FALSE,"부대2"}</definedName>
    <definedName name="ryescerfwe" hidden="1">{#N/A,#N/A,FALSE,"부대2"}</definedName>
    <definedName name="SAD" hidden="1">{#N/A,#N/A,FALSE,"조골재"}</definedName>
    <definedName name="sadasd">BlankMacro1</definedName>
    <definedName name="safddsf">BlankMacro1</definedName>
    <definedName name="sasdf" hidden="1">0</definedName>
    <definedName name="SDCFG\" localSheetId="0" hidden="1">{#N/A,#N/A,FALSE,"운반시간"}</definedName>
    <definedName name="SDCFG\" hidden="1">{#N/A,#N/A,FALSE,"운반시간"}</definedName>
    <definedName name="SDDFD" localSheetId="0" hidden="1">{#N/A,#N/A,FALSE,"배수1"}</definedName>
    <definedName name="SDDFD" hidden="1">{#N/A,#N/A,FALSE,"배수1"}</definedName>
    <definedName name="SDF" localSheetId="0" hidden="1">{#N/A,#N/A,FALSE,"혼합골재"}</definedName>
    <definedName name="SDF" hidden="1">{#N/A,#N/A,FALSE,"혼합골재"}</definedName>
    <definedName name="sdfasad">BlankMacro1</definedName>
    <definedName name="sdfdf">BlankMacro1</definedName>
    <definedName name="SDFDFD" localSheetId="0" hidden="1">{#N/A,#N/A,FALSE,"운반시간"}</definedName>
    <definedName name="SDFDFD" hidden="1">{#N/A,#N/A,FALSE,"운반시간"}</definedName>
    <definedName name="sdfeer">BlankMacro1</definedName>
    <definedName name="sdfs">BlankMacro1</definedName>
    <definedName name="sdfsd">BlankMacro1</definedName>
    <definedName name="sdfsdf">BlankMacro1</definedName>
    <definedName name="sdfvcxv">BlankMacro1</definedName>
    <definedName name="SDFVDRF">BlankMacro1</definedName>
    <definedName name="SDFWE">BlankMacro1</definedName>
    <definedName name="SDFWEF">BlankMacro1</definedName>
    <definedName name="sdg" localSheetId="0" hidden="1">#REF!</definedName>
    <definedName name="sdg" hidden="1">#REF!</definedName>
    <definedName name="SDGA" hidden="1">{#N/A,#N/A,FALSE,"조골재"}</definedName>
    <definedName name="SDGFFD">BlankMacro1</definedName>
    <definedName name="SDS" localSheetId="0" hidden="1">{#N/A,#N/A,FALSE,"2~8번"}</definedName>
    <definedName name="SDS" hidden="1">{#N/A,#N/A,FALSE,"2~8번"}</definedName>
    <definedName name="SDS_1" localSheetId="0" hidden="1">{#N/A,#N/A,FALSE,"2~8번"}</definedName>
    <definedName name="SDS_1" hidden="1">{#N/A,#N/A,FALSE,"2~8번"}</definedName>
    <definedName name="sdsdddd" localSheetId="0" hidden="1">{#N/A,#N/A,FALSE,"토공2"}</definedName>
    <definedName name="sdsdddd" hidden="1">{#N/A,#N/A,FALSE,"토공2"}</definedName>
    <definedName name="sdsdsds" localSheetId="0" hidden="1">#REF!</definedName>
    <definedName name="sdsdsds" hidden="1">#REF!</definedName>
    <definedName name="sdwf4rge" localSheetId="0" hidden="1">{#N/A,#N/A,FALSE,"운반시간"}</definedName>
    <definedName name="sdwf4rge" hidden="1">{#N/A,#N/A,FALSE,"운반시간"}</definedName>
    <definedName name="SEGFDZRGREG">BlankMacro1</definedName>
    <definedName name="SFA" localSheetId="0" hidden="1">{#N/A,#N/A,FALSE,"포장1";#N/A,#N/A,FALSE,"포장1"}</definedName>
    <definedName name="SFA" hidden="1">{#N/A,#N/A,FALSE,"포장1";#N/A,#N/A,FALSE,"포장1"}</definedName>
    <definedName name="sfdgsd" localSheetId="5" hidden="1">#REF!</definedName>
    <definedName name="sfdgsd" localSheetId="9" hidden="1">#REF!</definedName>
    <definedName name="sfdgsd" localSheetId="8" hidden="1">#REF!</definedName>
    <definedName name="sfdgsd" hidden="1">#REF!</definedName>
    <definedName name="sfggf" localSheetId="0" hidden="1">{#N/A,#N/A,FALSE,"배수1"}</definedName>
    <definedName name="sfggf" hidden="1">{#N/A,#N/A,FALSE,"배수1"}</definedName>
    <definedName name="sfgsdfd" localSheetId="5" hidden="1">#REF!</definedName>
    <definedName name="sfgsdfd" localSheetId="9" hidden="1">#REF!</definedName>
    <definedName name="sfgsdfd" localSheetId="8" hidden="1">#REF!</definedName>
    <definedName name="sfgsdfd" hidden="1">#REF!</definedName>
    <definedName name="SFSDFDSF" localSheetId="0" hidden="1">{#N/A,#N/A,FALSE,"운반시간"}</definedName>
    <definedName name="SFSDFDSF" hidden="1">{#N/A,#N/A,FALSE,"운반시간"}</definedName>
    <definedName name="sfwe">BlankMacro1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ARETER" localSheetId="5" hidden="1">#REF!</definedName>
    <definedName name="SGARETER" localSheetId="9" hidden="1">#REF!</definedName>
    <definedName name="SGARETER" localSheetId="8" hidden="1">#REF!</definedName>
    <definedName name="SGARETER" hidden="1">#REF!</definedName>
    <definedName name="sheet" localSheetId="0" hidden="1">{#N/A,#N/A,FALSE,"골재소요량";#N/A,#N/A,FALSE,"골재소요량"}</definedName>
    <definedName name="sheet" hidden="1">{#N/A,#N/A,FALSE,"골재소요량";#N/A,#N/A,FALSE,"골재소요량"}</definedName>
    <definedName name="skrm" hidden="1">{#N/A,#N/A,FALSE,"구조2"}</definedName>
    <definedName name="skt">BlankMacro1</definedName>
    <definedName name="sortt" localSheetId="0" hidden="1">#REF!</definedName>
    <definedName name="sortt" localSheetId="5" hidden="1">#REF!</definedName>
    <definedName name="sortt" localSheetId="9" hidden="1">#REF!</definedName>
    <definedName name="sortt" localSheetId="8" hidden="1">#REF!</definedName>
    <definedName name="sortt" hidden="1">#REF!</definedName>
    <definedName name="SRDBRE">BlankMacro1</definedName>
    <definedName name="SSS" localSheetId="0" hidden="1">{#N/A,#N/A,FALSE,"2~8번"}</definedName>
    <definedName name="SSS" hidden="1">{#N/A,#N/A,FALSE,"2~8번"}</definedName>
    <definedName name="SSS_1" localSheetId="0" hidden="1">{#N/A,#N/A,FALSE,"2~8번"}</definedName>
    <definedName name="SSS_1" hidden="1">{#N/A,#N/A,FALSE,"2~8번"}</definedName>
    <definedName name="sssss" localSheetId="0" hidden="1">{#N/A,#N/A,FALSE,"운반시간"}</definedName>
    <definedName name="sssss" hidden="1">{#N/A,#N/A,FALSE,"운반시간"}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asqqq" localSheetId="0" hidden="1">#REF!</definedName>
    <definedName name="swasqqq" hidden="1">#REF!</definedName>
    <definedName name="swsw" localSheetId="0" hidden="1">#REF!</definedName>
    <definedName name="swsw" hidden="1">#REF!</definedName>
    <definedName name="TEST">#N/A</definedName>
    <definedName name="TF" hidden="1">{#N/A,#N/A,FALSE,"운반시간"}</definedName>
    <definedName name="tg" localSheetId="0" hidden="1">#REF!</definedName>
    <definedName name="tg" hidden="1">#REF!</definedName>
    <definedName name="THGB">BlankMacro1</definedName>
    <definedName name="tr" localSheetId="0" hidden="1">#REF!</definedName>
    <definedName name="tr" hidden="1">#REF!</definedName>
    <definedName name="trtrtrtrtr" localSheetId="0" hidden="1">#REF!</definedName>
    <definedName name="trtrtrtrtr" hidden="1">#REF!</definedName>
    <definedName name="TTEA">#N/A</definedName>
    <definedName name="tttq" localSheetId="0" hidden="1">#REF!</definedName>
    <definedName name="tttq" hidden="1">#REF!</definedName>
    <definedName name="tttt" localSheetId="0" hidden="1">#REF!</definedName>
    <definedName name="tttt" hidden="1">#REF!</definedName>
    <definedName name="tttttt" localSheetId="0" hidden="1">#REF!</definedName>
    <definedName name="tttttt" hidden="1">#REF!</definedName>
    <definedName name="TUYT">BlankMacro1</definedName>
    <definedName name="tye" localSheetId="5" hidden="1">#REF!</definedName>
    <definedName name="tye" localSheetId="9" hidden="1">#REF!</definedName>
    <definedName name="tye" localSheetId="8" hidden="1">#REF!</definedName>
    <definedName name="tye" hidden="1">#REF!</definedName>
    <definedName name="TYHFDGFD" localSheetId="0" hidden="1">{#N/A,#N/A,FALSE,"배수2"}</definedName>
    <definedName name="TYHFDGFD" hidden="1">{#N/A,#N/A,FALSE,"배수2"}</definedName>
    <definedName name="tyrrt">BlankMacro1</definedName>
    <definedName name="TYSEDRGS">BlankMacro1</definedName>
    <definedName name="tyt" localSheetId="0" hidden="1">#REF!</definedName>
    <definedName name="tyt" hidden="1">#REF!</definedName>
    <definedName name="tytju4tewete" localSheetId="0" hidden="1">{#N/A,#N/A,FALSE,"속도"}</definedName>
    <definedName name="tytju4tewete" hidden="1">{#N/A,#N/A,FALSE,"속도"}</definedName>
    <definedName name="ur" localSheetId="0" hidden="1">#REF!</definedName>
    <definedName name="ur" hidden="1">#REF!</definedName>
    <definedName name="uuu" localSheetId="0" hidden="1">#REF!</definedName>
    <definedName name="uuu" hidden="1">#REF!</definedName>
    <definedName name="uy89ihbn" localSheetId="0" hidden="1">{#N/A,#N/A,FALSE,"2~8번"}</definedName>
    <definedName name="uy89ihbn" hidden="1">{#N/A,#N/A,FALSE,"2~8번"}</definedName>
    <definedName name="uyijh">BlankMacro1</definedName>
    <definedName name="UYIJRTFY">BlankMacro1</definedName>
    <definedName name="uyiy">BlankMacro1</definedName>
    <definedName name="uyjesc" localSheetId="0" hidden="1">{#N/A,#N/A,FALSE,"포장1";#N/A,#N/A,FALSE,"포장1"}</definedName>
    <definedName name="uyjesc" hidden="1">{#N/A,#N/A,FALSE,"포장1";#N/A,#N/A,FALSE,"포장1"}</definedName>
    <definedName name="VAESFV">BlankMacro1</definedName>
    <definedName name="vbmnm">BlankMacro1</definedName>
    <definedName name="vbnvb">BlankMacro1</definedName>
    <definedName name="vcbc">BlankMacro1</definedName>
    <definedName name="vcbcvbdf">BlankMacro1</definedName>
    <definedName name="vcnf" hidden="1">#REF!</definedName>
    <definedName name="vfvfvf" localSheetId="0" hidden="1">#REF!</definedName>
    <definedName name="vfvfvf" hidden="1">#REF!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wat" localSheetId="0" hidden="1">{#N/A,#N/A,FALSE,"운반시간"}</definedName>
    <definedName name="vwat" hidden="1">{#N/A,#N/A,FALSE,"운반시간"}</definedName>
    <definedName name="WAFDREG">BlankMacro1</definedName>
    <definedName name="we">BlankMacro1</definedName>
    <definedName name="WEDDG">BlankMacro1</definedName>
    <definedName name="weeqeq" hidden="1">{#N/A,#N/A,FALSE,"2~8번"}</definedName>
    <definedName name="wer" localSheetId="0" hidden="1">{#N/A,#N/A,FALSE,"골재소요량";#N/A,#N/A,FALSE,"골재소요량"}</definedName>
    <definedName name="wer" hidden="1">{#N/A,#N/A,FALSE,"골재소요량";#N/A,#N/A,FALSE,"골재소요량"}</definedName>
    <definedName name="wer_1" localSheetId="0" hidden="1">{#N/A,#N/A,FALSE,"골재소요량";#N/A,#N/A,FALSE,"골재소요량"}</definedName>
    <definedName name="wer_1" hidden="1">{#N/A,#N/A,FALSE,"골재소요량";#N/A,#N/A,FALSE,"골재소요량"}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S">BlankMacro1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m.조골재1" localSheetId="0" hidden="1">{#N/A,#N/A,FALSE,"조골재"}</definedName>
    <definedName name="wm.조골재1" hidden="1">{#N/A,#N/A,FALSE,"조골재"}</definedName>
    <definedName name="wq" localSheetId="0" hidden="1">{#N/A,#N/A,FALSE,"2~8번"}</definedName>
    <definedName name="wq" hidden="1">{#N/A,#N/A,FALSE,"2~8번"}</definedName>
    <definedName name="wqsdf">BlankMacro1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BESTE">BlankMacro1</definedName>
    <definedName name="wreewq">BlankMacro1</definedName>
    <definedName name="wrn.2번." localSheetId="0" hidden="1">{#N/A,#N/A,FALSE,"2~8번"}</definedName>
    <definedName name="wrn.2번." hidden="1">{#N/A,#N/A,FALSE,"2~8번"}</definedName>
    <definedName name="wrn.2번._1" localSheetId="0" hidden="1">{#N/A,#N/A,FALSE,"2~8번"}</definedName>
    <definedName name="wrn.2번._1" hidden="1">{#N/A,#N/A,FALSE,"2~8번"}</definedName>
    <definedName name="wrn.3번." localSheetId="0" hidden="1">{#N/A,#N/A,FALSE,"2~8번"}</definedName>
    <definedName name="wrn.3번." hidden="1">{#N/A,#N/A,FALSE,"2~8번"}</definedName>
    <definedName name="wrn.97년._.사업계획._.및._.예산지침." hidden="1">{#N/A,#N/A,TRUE,"1";#N/A,#N/A,TRUE,"2";#N/A,#N/A,TRUE,"3";#N/A,#N/A,TRUE,"4";#N/A,#N/A,TRUE,"5";#N/A,#N/A,TRUE,"6";#N/A,#N/A,TRUE,"7"}</definedName>
    <definedName name="wrn.97년도수지계산서." localSheetId="0" hidden="1">{#N/A,#N/A,FALSE,"Sheet1"}</definedName>
    <definedName name="wrn.97년도수지계산서." hidden="1">{#N/A,#N/A,FALSE,"Sheet1"}</definedName>
    <definedName name="wrn.개업비." localSheetId="0" hidden="1">{"개업비1",#N/A,FALSE,"개업비";"개업비2",#N/A,FALSE,"개업비";"개업비3",#N/A,FALSE,"개업비";"개업비4",#N/A,FALSE,"개업비"}</definedName>
    <definedName name="wrn.개업비." hidden="1">{"개업비1",#N/A,FALSE,"개업비";"개업비2",#N/A,FALSE,"개업비";"개업비3",#N/A,FALSE,"개업비";"개업비4",#N/A,FALSE,"개업비"}</definedName>
    <definedName name="wrn.골재소요량." localSheetId="0" hidden="1">{#N/A,#N/A,FALSE,"골재소요량";#N/A,#N/A,FALSE,"골재소요량"}</definedName>
    <definedName name="wrn.골재소요량." hidden="1">{#N/A,#N/A,FALSE,"골재소요량";#N/A,#N/A,FALSE,"골재소요량"}</definedName>
    <definedName name="wrn.골재소요량._1" localSheetId="0" hidden="1">{#N/A,#N/A,FALSE,"골재소요량";#N/A,#N/A,FALSE,"골재소요량"}</definedName>
    <definedName name="wrn.골재소요량._1" hidden="1">{#N/A,#N/A,FALSE,"골재소요량";#N/A,#N/A,FALSE,"골재소요량"}</definedName>
    <definedName name="wrn.공사비." localSheetId="0" hidden="1">{"1단계공사비",#N/A,FALSE,"공사비";"2단계공사비",#N/A,FALSE,"공사비"}</definedName>
    <definedName name="wrn.공사비." hidden="1">{"1단계공사비",#N/A,FALSE,"공사비";"2단계공사비",#N/A,FALSE,"공사비"}</definedName>
    <definedName name="wrn.공업단지." localSheetId="0" hidden="1">{"공업단지",#N/A,FALSE,"배후단지 및 부대사업"}</definedName>
    <definedName name="wrn.공업단지." hidden="1">{"공업단지",#N/A,FALSE,"배후단지 및 부대사업"}</definedName>
    <definedName name="wrn.관광단지." localSheetId="0" hidden="1">{"관광단지",#N/A,FALSE,"배후단지 및 부대사업"}</definedName>
    <definedName name="wrn.관광단지." hidden="1">{"관광단지",#N/A,FALSE,"배후단지 및 부대사업"}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0" hidden="1">{#N/A,#N/A,FALSE,"전력간선"}</definedName>
    <definedName name="wrn.교육청." hidden="1">{#N/A,#N/A,FALSE,"전력간선"}</definedName>
    <definedName name="wrn.구조2." localSheetId="0" hidden="1">{#N/A,#N/A,FALSE,"구조2"}</definedName>
    <definedName name="wrn.구조2." hidden="1">{#N/A,#N/A,FALSE,"구조2"}</definedName>
    <definedName name="wrn.단가표지." localSheetId="0" hidden="1">{#N/A,#N/A,FALSE,"단가표지"}</definedName>
    <definedName name="wrn.단가표지." hidden="1">{#N/A,#N/A,FALSE,"단가표지"}</definedName>
    <definedName name="wrn.단가표지._1" localSheetId="0" hidden="1">{#N/A,#N/A,FALSE,"단가표지"}</definedName>
    <definedName name="wrn.단가표지._1" hidden="1">{#N/A,#N/A,FALSE,"단가표지"}</definedName>
    <definedName name="wrn.대출금상환계획." localSheetId="0" hidden="1">{"대출금상환계획",#N/A,FALSE,"추정IS,CF,무상사용"}</definedName>
    <definedName name="wrn.대출금상환계획." hidden="1">{"대출금상환계획",#N/A,FALSE,"추정IS,CF,무상사용"}</definedName>
    <definedName name="wrn.면적." hidden="1">{#N/A,#N/A,FALSE,"속도"}</definedName>
    <definedName name="wrn.민감도." localSheetId="0" hidden="1">{#N/A,#N/A,FALSE,"민감도"}</definedName>
    <definedName name="wrn.민감도." hidden="1">{#N/A,#N/A,FALSE,"민감도"}</definedName>
    <definedName name="wrn.배당분석." localSheetId="0" hidden="1">{#N/A,#N/A,FALSE,"배당분석"}</definedName>
    <definedName name="wrn.배당분석." hidden="1">{#N/A,#N/A,FALSE,"배당분석"}</definedName>
    <definedName name="wrn.배수1." localSheetId="0" hidden="1">{#N/A,#N/A,FALSE,"배수1"}</definedName>
    <definedName name="wrn.배수1." hidden="1">{#N/A,#N/A,FALSE,"배수1"}</definedName>
    <definedName name="wrn.배수2." localSheetId="0" hidden="1">{#N/A,#N/A,FALSE,"배수2"}</definedName>
    <definedName name="wrn.배수2." hidden="1">{#N/A,#N/A,FALSE,"배수2"}</definedName>
    <definedName name="wrn.배후단지." localSheetId="0" hidden="1">{"배후단지",#N/A,FALSE,"배후단지 및 부대사업"}</definedName>
    <definedName name="wrn.배후단지." hidden="1">{"배후단지",#N/A,FALSE,"배후단지 및 부대사업"}</definedName>
    <definedName name="wrn.배후단지._.및._.부대사업." localSheetId="0" hidden="1">{"부대사업공정율",#N/A,FALSE,"배후단지 및 부대사업"}</definedName>
    <definedName name="wrn.배후단지._.및._.부대사업." hidden="1">{"부대사업공정율",#N/A,FALSE,"배후단지 및 부대사업"}</definedName>
    <definedName name="wrn.부대1." localSheetId="0" hidden="1">{#N/A,#N/A,FALSE,"부대1"}</definedName>
    <definedName name="wrn.부대1." hidden="1">{#N/A,#N/A,FALSE,"부대1"}</definedName>
    <definedName name="wrn.부대2." localSheetId="0" hidden="1">{#N/A,#N/A,FALSE,"부대2"}</definedName>
    <definedName name="wrn.부대2." hidden="1">{#N/A,#N/A,FALSE,"부대2"}</definedName>
    <definedName name="wrn.부대사업본사업연결자료." localSheetId="0" hidden="1">{"부대사업본사업연결자료",#N/A,FALSE,"배후단지및부대사업연결"}</definedName>
    <definedName name="wrn.부대사업본사업연결자료." hidden="1">{"부대사업본사업연결자료",#N/A,FALSE,"배후단지및부대사업연결"}</definedName>
    <definedName name="wrn.부대사업수익총괄." localSheetId="0" hidden="1">{"부대사업수익총괄",#N/A,FALSE,"배후단지 및 부대사업"}</definedName>
    <definedName name="wrn.부대사업수익총괄." hidden="1">{"부대사업수익총괄",#N/A,FALSE,"배후단지 및 부대사업"}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불변현금흐름표." localSheetId="0" hidden="1">{"불변현금흐름",#N/A,FALSE,"추정IS,CF,무상사용"}</definedName>
    <definedName name="wrn.불변현금흐름표." hidden="1">{"불변현금흐름",#N/A,FALSE,"추정IS,CF,무상사용"}</definedName>
    <definedName name="wrn.속도." localSheetId="0" hidden="1">{#N/A,#N/A,FALSE,"속도"}</definedName>
    <definedName name="wrn.속도." hidden="1">{#N/A,#N/A,FALSE,"속도"}</definedName>
    <definedName name="wrn.신용찬." localSheetId="0" hidden="1">{#N/A,#N/A,TRUE,"토적및재료집계";#N/A,#N/A,TRUE,"토적및재료집계";#N/A,#N/A,TRUE,"단위량"}</definedName>
    <definedName name="wrn.신용찬." hidden="1">{#N/A,#N/A,TRUE,"토적및재료집계";#N/A,#N/A,TRUE,"토적및재료집계";#N/A,#N/A,TRUE,"단위량"}</definedName>
    <definedName name="wrn.운반시간." localSheetId="0" hidden="1">{#N/A,#N/A,FALSE,"운반시간"}</definedName>
    <definedName name="wrn.운반시간." hidden="1">{#N/A,#N/A,FALSE,"운반시간"}</definedName>
    <definedName name="wrn.운반시간._1" localSheetId="0" hidden="1">{#N/A,#N/A,FALSE,"운반시간"}</definedName>
    <definedName name="wrn.운반시간._1" hidden="1">{#N/A,#N/A,FALSE,"운반시간"}</definedName>
    <definedName name="wrn.운영비용." localSheetId="0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wrn.운영비용.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wrn.운영설비비." localSheetId="0" hidden="1">{"운영설비비1",#N/A,FALSE,"운영설비비";"운영설비비2",#N/A,FALSE,"운영설비비"}</definedName>
    <definedName name="wrn.운영설비비." hidden="1">{"운영설비비1",#N/A,FALSE,"운영설비비";"운영설비비2",#N/A,FALSE,"운영설비비"}</definedName>
    <definedName name="wrn.운영수익." localSheetId="0" hidden="1">{"운영수익1",#N/A,FALSE,"운영수익";"운영수익2",#N/A,FALSE,"운영수익";"운영수익3",#N/A,FALSE,"운영수익"}</definedName>
    <definedName name="wrn.운영수익." hidden="1">{"운영수익1",#N/A,FALSE,"운영수익";"운영수익2",#N/A,FALSE,"운영수익";"운영수익3",#N/A,FALSE,"운영수익"}</definedName>
    <definedName name="wrn.이정표." localSheetId="0" hidden="1">{#N/A,#N/A,FALSE,"이정표"}</definedName>
    <definedName name="wrn.이정표." hidden="1">{#N/A,#N/A,FALSE,"이정표"}</definedName>
    <definedName name="wrn.이태원._.철근." localSheetId="0" hidden="1">{#N/A,#N/A,FALSE,"이태원철근"}</definedName>
    <definedName name="wrn.이태원._.철근." hidden="1">{#N/A,#N/A,FALSE,"이태원철근"}</definedName>
    <definedName name="wrn.자금운영표." localSheetId="0" hidden="1">{"총괄자금운영표",#N/A,FALSE,"자금운영표";"1단계자금운영표(불변)",#N/A,FALSE,"자금운영표";"2단계자금운영표(불변)",#N/A,FALSE,"자금운영표"}</definedName>
    <definedName name="wrn.자금운영표." hidden="1">{"총괄자금운영표",#N/A,FALSE,"자금운영표";"1단계자금운영표(불변)",#N/A,FALSE,"자금운영표";"2단계자금운영표(불변)",#N/A,FALSE,"자금운영표"}</definedName>
    <definedName name="wrn.장비보유." localSheetId="0" hidden="1">{"장비보유1",#N/A,FALSE,"장비보유현황";"장비보유2",#N/A,FALSE,"장비보유현황"}</definedName>
    <definedName name="wrn.장비보유." hidden="1">{"장비보유1",#N/A,FALSE,"장비보유현황";"장비보유2",#N/A,FALSE,"장비보유현황"}</definedName>
    <definedName name="wrn.장비소요." localSheetId="0" hidden="1">{"장비보유",#N/A,FALSE,"장비소요"}</definedName>
    <definedName name="wrn.장비소요." hidden="1">{"장비보유",#N/A,FALSE,"장비소요"}</definedName>
    <definedName name="wrn.조골재." localSheetId="0" hidden="1">{#N/A,#N/A,FALSE,"조골재"}</definedName>
    <definedName name="wrn.조골재." hidden="1">{#N/A,#N/A,FALSE,"조골재"}</definedName>
    <definedName name="wrn.조골재._1" localSheetId="0" hidden="1">{#N/A,#N/A,FALSE,"조골재"}</definedName>
    <definedName name="wrn.조골재._1" hidden="1">{#N/A,#N/A,FALSE,"조골재"}</definedName>
    <definedName name="wrn.추정대차대조." localSheetId="0" hidden="1">{"추정대차대조표",#N/A,FALSE,"추정BS"}</definedName>
    <definedName name="wrn.추정대차대조." hidden="1">{"추정대차대조표",#N/A,FALSE,"추정BS"}</definedName>
    <definedName name="wrn.추정손익계산서." localSheetId="0" hidden="1">{"추정손익계산서",#N/A,FALSE,"추정IS,CF,무상사용"}</definedName>
    <definedName name="wrn.추정손익계산서." hidden="1">{"추정손익계산서",#N/A,FALSE,"추정IS,CF,무상사용"}</definedName>
    <definedName name="wrn.추정현금흐름표." localSheetId="0" hidden="1">{"추정현금흐름표",#N/A,FALSE,"추정IS,CF,무상사용"}</definedName>
    <definedName name="wrn.추정현금흐름표." hidden="1">{"추정현금흐름표",#N/A,FALSE,"추정IS,CF,무상사용"}</definedName>
    <definedName name="wrn.토공1." localSheetId="0" hidden="1">{#N/A,#N/A,FALSE,"구조1"}</definedName>
    <definedName name="wrn.토공1." hidden="1">{#N/A,#N/A,FALSE,"구조1"}</definedName>
    <definedName name="wrn.토공2." localSheetId="0" hidden="1">{#N/A,#N/A,FALSE,"토공2"}</definedName>
    <definedName name="wrn.토공2." hidden="1">{#N/A,#N/A,FALSE,"토공2"}</definedName>
    <definedName name="wrn.투자비명세." localSheetId="0" hidden="1">{"1단계 투자비명세",#N/A,FALSE,"투자비명세";"2단계 투자비명세",#N/A,FALSE,"투자비명세"}</definedName>
    <definedName name="wrn.투자비명세." hidden="1">{"1단계 투자비명세",#N/A,FALSE,"투자비명세";"2단계 투자비명세",#N/A,FALSE,"투자비명세"}</definedName>
    <definedName name="wrn.포장1." localSheetId="0" hidden="1">{#N/A,#N/A,FALSE,"포장1";#N/A,#N/A,FALSE,"포장1"}</definedName>
    <definedName name="wrn.포장1." hidden="1">{#N/A,#N/A,FALSE,"포장1";#N/A,#N/A,FALSE,"포장1"}</definedName>
    <definedName name="wrn.포장2." localSheetId="0" hidden="1">{#N/A,#N/A,FALSE,"포장2"}</definedName>
    <definedName name="wrn.포장2." hidden="1">{#N/A,#N/A,FALSE,"포장2"}</definedName>
    <definedName name="wrn.표지." hidden="1">{#N/A,#N/A,FALSE,"표지"}</definedName>
    <definedName name="wrn.표지목차." localSheetId="0" hidden="1">{#N/A,#N/A,FALSE,"표지목차"}</definedName>
    <definedName name="wrn.표지목차." hidden="1">{#N/A,#N/A,FALSE,"표지목차"}</definedName>
    <definedName name="wrn.표지목차._1" localSheetId="0" hidden="1">{#N/A,#N/A,FALSE,"표지목차"}</definedName>
    <definedName name="wrn.표지목차._1" hidden="1">{#N/A,#N/A,FALSE,"표지목차"}</definedName>
    <definedName name="wrn.현장._.NCR._.분석." localSheetId="0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0" hidden="1">{#N/A,#N/A,FALSE,"혼합골재"}</definedName>
    <definedName name="wrn.혼합골재." hidden="1">{#N/A,#N/A,FALSE,"혼합골재"}</definedName>
    <definedName name="wrn.혼합골재._1" localSheetId="0" hidden="1">{#N/A,#N/A,FALSE,"혼합골재"}</definedName>
    <definedName name="wrn.혼합골재._1" hidden="1">{#N/A,#N/A,FALSE,"혼합골재"}</definedName>
    <definedName name="WRVFED">BlankMacro1</definedName>
    <definedName name="wtvegrh" localSheetId="0" hidden="1">{#N/A,#N/A,FALSE,"포장2"}</definedName>
    <definedName name="wtvegrh" hidden="1">{#N/A,#N/A,FALSE,"포장2"}</definedName>
    <definedName name="wvyh" localSheetId="0" hidden="1">{#N/A,#N/A,FALSE,"혼합골재"}</definedName>
    <definedName name="wvyh" hidden="1">{#N/A,#N/A,FALSE,"혼합골재"}</definedName>
    <definedName name="xcv">BlankMacro1</definedName>
    <definedName name="xcvxcvxv">BlankMacro1</definedName>
    <definedName name="xsdf">BlankMacro1</definedName>
    <definedName name="XXXXXX" hidden="1">{"'공사부문'!$A$6:$A$32"}</definedName>
    <definedName name="xzcs">BlankMacro1</definedName>
    <definedName name="y5bewy5vgr" localSheetId="0" hidden="1">{#N/A,#N/A,FALSE,"운반시간"}</definedName>
    <definedName name="y5bewy5vgr" hidden="1">{#N/A,#N/A,FALSE,"운반시간"}</definedName>
    <definedName name="YESFF">BlankMacro1</definedName>
    <definedName name="YHFXD">BlankMacro1</definedName>
    <definedName name="YTERT">BlankMacro1</definedName>
    <definedName name="YTGEGER">BlankMacro1</definedName>
    <definedName name="YTHIKYUI">BlankMacro1</definedName>
    <definedName name="ytughjhg">BlankMacro1</definedName>
    <definedName name="YTYT" localSheetId="0" hidden="1">#REF!</definedName>
    <definedName name="YTYT" hidden="1">#REF!</definedName>
    <definedName name="ytytytyty" localSheetId="0" hidden="1">#REF!</definedName>
    <definedName name="ytytytyty" hidden="1">#REF!</definedName>
    <definedName name="YUIKYUI">BlankMacro1</definedName>
    <definedName name="YUYUY" localSheetId="0" hidden="1">{#N/A,#N/A,FALSE,"혼합골재"}</definedName>
    <definedName name="YUYUY" hidden="1">{#N/A,#N/A,FALSE,"혼합골재"}</definedName>
    <definedName name="yvdfvhd" localSheetId="0" hidden="1">{#N/A,#N/A,FALSE,"이정표"}</definedName>
    <definedName name="yvdfvhd" hidden="1">{#N/A,#N/A,FALSE,"이정표"}</definedName>
    <definedName name="ywrtvwvy" localSheetId="0" hidden="1">{#N/A,#N/A,FALSE,"부대1"}</definedName>
    <definedName name="ywrtvwvy" hidden="1">{#N/A,#N/A,FALSE,"부대1"}</definedName>
    <definedName name="yy" localSheetId="0" hidden="1">#REF!</definedName>
    <definedName name="yy" hidden="1">#REF!</definedName>
    <definedName name="yyty" localSheetId="0" hidden="1">#REF!</definedName>
    <definedName name="yyty" hidden="1">#REF!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h" localSheetId="0" hidden="1">#REF!</definedName>
    <definedName name="yyyyyh" hidden="1">#REF!</definedName>
    <definedName name="zxc">BlankMacro1</definedName>
    <definedName name="zxcasdas">BlankMacro1</definedName>
    <definedName name="zxczxc">BlankMacro1</definedName>
    <definedName name="zxczxczxc">BlankMacro1</definedName>
    <definedName name="ㄱㄱ" localSheetId="0" hidden="1">{#N/A,#N/A,FALSE,"운반시간"}</definedName>
    <definedName name="ㄱㄱ" hidden="1">{#N/A,#N/A,FALSE,"운반시간"}</definedName>
    <definedName name="ㄱㄱㄱ">BlankMacro1</definedName>
    <definedName name="ㄱㄱㄱㄱㄱ" hidden="1">{#N/A,#N/A,FALSE,"2~8번"}</definedName>
    <definedName name="ㄱㄱㄱㄱㄱㄱ" localSheetId="0" hidden="1">{#N/A,#N/A,FALSE,"2~8번"}</definedName>
    <definedName name="ㄱㄱㄱㄱㄱㄱ" hidden="1">{#N/A,#N/A,FALSE,"2~8번"}</definedName>
    <definedName name="ㄱㄷㄱㄷ" localSheetId="0" hidden="1">{#N/A,#N/A,FALSE,"2~8번"}</definedName>
    <definedName name="ㄱㄷㄱㄷ" hidden="1">{#N/A,#N/A,FALSE,"2~8번"}</definedName>
    <definedName name="ㄱㄷㅂㄱㅈ" localSheetId="0" hidden="1">{#N/A,#N/A,FALSE,"2~8번"}</definedName>
    <definedName name="ㄱㄷㅂㄱㅈ" hidden="1">{#N/A,#N/A,FALSE,"2~8번"}</definedName>
    <definedName name="ㄱㄷ쇼" localSheetId="5" hidden="1">#REF!</definedName>
    <definedName name="ㄱㄷ쇼" localSheetId="9" hidden="1">#REF!</definedName>
    <definedName name="ㄱㄷ쇼" localSheetId="8" hidden="1">#REF!</definedName>
    <definedName name="ㄱㄷ쇼" hidden="1">#REF!</definedName>
    <definedName name="ㄱㄷㅈㅄㄷ" localSheetId="5" hidden="1">#REF!</definedName>
    <definedName name="ㄱㄷㅈㅄㄷ" localSheetId="9" hidden="1">#REF!</definedName>
    <definedName name="ㄱㄷㅈㅄㄷ" localSheetId="8" hidden="1">#REF!</definedName>
    <definedName name="ㄱㄷㅈㅄㄷ" hidden="1">#REF!</definedName>
    <definedName name="ㄱㄷ죠" localSheetId="5" hidden="1">#REF!</definedName>
    <definedName name="ㄱㄷ죠" localSheetId="9" hidden="1">#REF!</definedName>
    <definedName name="ㄱㄷ죠" localSheetId="8" hidden="1">#REF!</definedName>
    <definedName name="ㄱㄷ죠" hidden="1">#REF!</definedName>
    <definedName name="ㄱ됵ㄷ" localSheetId="5" hidden="1">#REF!</definedName>
    <definedName name="ㄱ됵ㄷ" localSheetId="9" hidden="1">#REF!</definedName>
    <definedName name="ㄱ됵ㄷ" localSheetId="8" hidden="1">#REF!</definedName>
    <definedName name="ㄱ됵ㄷ" hidden="1">#REF!</definedName>
    <definedName name="ㄱ둊" localSheetId="5" hidden="1">#REF!</definedName>
    <definedName name="ㄱ둊" localSheetId="9" hidden="1">#REF!</definedName>
    <definedName name="ㄱ둊" localSheetId="8" hidden="1">#REF!</definedName>
    <definedName name="ㄱ둊" hidden="1">#REF!</definedName>
    <definedName name="ㄱㅂㄱㄹㄴㄾㅍ" localSheetId="0" hidden="1">{#N/A,#N/A,FALSE,"민감도"}</definedName>
    <definedName name="ㄱㅂㄱㄹㄴㄾㅍ" hidden="1">{#N/A,#N/A,FALSE,"민감도"}</definedName>
    <definedName name="ㄱㅈㅎ" localSheetId="0" hidden="1">#REF!</definedName>
    <definedName name="ㄱㅈㅎ" hidden="1">#REF!</definedName>
    <definedName name="가나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가나" hidden="1">{"'정산내역서'!$A$1:$I$35","'정산서(절.성토부)'!$A$1:$Q$17","'정산서(교량부)'!$A$1:$Q$84","'총괄표'!$A$1:$M$12","'시행현황'!$A$1:$G$12","'표지'!$A$1:$N$27","'정산서(절.성토부)'!$A$3:$Q$7"}</definedName>
    <definedName name="가도토적" localSheetId="0" hidden="1">#REF!</definedName>
    <definedName name="가도토적" hidden="1">#REF!</definedName>
    <definedName name="가로간지" localSheetId="0" hidden="1">{#N/A,#N/A,FALSE,"현장 NCR 분석";#N/A,#N/A,FALSE,"현장품질감사";#N/A,#N/A,FALSE,"현장품질감사"}</definedName>
    <definedName name="가로간지" hidden="1">{#N/A,#N/A,FALSE,"현장 NCR 분석";#N/A,#N/A,FALSE,"현장품질감사";#N/A,#N/A,FALSE,"현장품질감사"}</definedName>
    <definedName name="가배수로집계표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가배수로집계표" hidden="1">{"'정산내역서'!$A$1:$I$35","'정산서(절.성토부)'!$A$1:$Q$17","'정산서(교량부)'!$A$1:$Q$84","'총괄표'!$A$1:$M$12","'시행현황'!$A$1:$G$12","'표지'!$A$1:$N$27","'정산서(절.성토부)'!$A$3:$Q$7"}</definedName>
    <definedName name="가살판넬1" localSheetId="5" hidden="1">#REF!</definedName>
    <definedName name="가살판넬1" localSheetId="9" hidden="1">#REF!</definedName>
    <definedName name="가살판넬1" localSheetId="8" hidden="1">#REF!</definedName>
    <definedName name="가살판넬1" hidden="1">#REF!</definedName>
    <definedName name="가설방음벽" localSheetId="0" hidden="1">{#N/A,#N/A,FALSE,"골재소요량";#N/A,#N/A,FALSE,"골재소요량"}</definedName>
    <definedName name="가설방음벽" hidden="1">{#N/A,#N/A,FALSE,"골재소요량";#N/A,#N/A,FALSE,"골재소요량"}</definedName>
    <definedName name="가설판넬" localSheetId="5" hidden="1">#REF!</definedName>
    <definedName name="가설판넬" localSheetId="9" hidden="1">#REF!</definedName>
    <definedName name="가설판넬" localSheetId="8" hidden="1">#REF!</definedName>
    <definedName name="가설판넬" hidden="1">#REF!</definedName>
    <definedName name="가설판넬및방진망" localSheetId="5" hidden="1">#REF!</definedName>
    <definedName name="가설판넬및방진망" localSheetId="9" hidden="1">#REF!</definedName>
    <definedName name="가설판넬및방진망" localSheetId="8" hidden="1">#REF!</definedName>
    <definedName name="가설판넬및방진망" hidden="1">#REF!</definedName>
    <definedName name="가아" localSheetId="5" hidden="1">#REF!</definedName>
    <definedName name="가아" localSheetId="9" hidden="1">#REF!</definedName>
    <definedName name="가아" localSheetId="8" hidden="1">#REF!</definedName>
    <definedName name="가아" hidden="1">#REF!</definedName>
    <definedName name="가옥" localSheetId="0" hidden="1">{#N/A,#N/A,FALSE,"속도"}</definedName>
    <definedName name="가옥" hidden="1">{#N/A,#N/A,FALSE,"속도"}</definedName>
    <definedName name="간선변경">BlankMacro1</definedName>
    <definedName name="간지" localSheetId="5" hidden="1">#REF!</definedName>
    <definedName name="간지" localSheetId="9" hidden="1">#REF!</definedName>
    <definedName name="간지" localSheetId="8" hidden="1">#REF!</definedName>
    <definedName name="간지" hidden="1">#REF!</definedName>
    <definedName name="간지10">BlankMacro1</definedName>
    <definedName name="간지11">BlankMacro1</definedName>
    <definedName name="간지8" localSheetId="0" hidden="1">{#N/A,#N/A,FALSE,"조골재"}</definedName>
    <definedName name="간지8" hidden="1">{#N/A,#N/A,FALSE,"조골재"}</definedName>
    <definedName name="강릉교동" localSheetId="0" hidden="1">#REF!</definedName>
    <definedName name="강릉교동" hidden="1">#REF!</definedName>
    <definedName name="강릉교동터파기" localSheetId="0" hidden="1">#REF!</definedName>
    <definedName name="강릉교동터파기" hidden="1">#REF!</definedName>
    <definedName name="강릉교동토목" localSheetId="0" hidden="1">#REF!</definedName>
    <definedName name="강릉교동토목" hidden="1">#REF!</definedName>
    <definedName name="강릉교동흙막이" localSheetId="0" hidden="1">#REF!</definedName>
    <definedName name="강릉교동흙막이" hidden="1">#REF!</definedName>
    <definedName name="강릉토공사" localSheetId="0" hidden="1">#REF!</definedName>
    <definedName name="강릉토공사" hidden="1">#REF!</definedName>
    <definedName name="강릉토목공사" localSheetId="0" hidden="1">#REF!</definedName>
    <definedName name="강릉토목공사" hidden="1">#REF!</definedName>
    <definedName name="강릉토목임" localSheetId="0" hidden="1">#REF!</definedName>
    <definedName name="강릉토목임" hidden="1">#REF!</definedName>
    <definedName name="거" localSheetId="0" hidden="1">{"장비보유1",#N/A,FALSE,"장비보유현황";"장비보유2",#N/A,FALSE,"장비보유현황"}</definedName>
    <definedName name="거" hidden="1">{"장비보유1",#N/A,FALSE,"장비보유현황";"장비보유2",#N/A,FALSE,"장비보유현황"}</definedName>
    <definedName name="거ㅏ" hidden="1">#REF!</definedName>
    <definedName name="건설기계" localSheetId="0" hidden="1">{#N/A,#N/A,FALSE,"골재소요량";#N/A,#N/A,FALSE,"골재소요량"}</definedName>
    <definedName name="건설기계" hidden="1">{#N/A,#N/A,FALSE,"골재소요량";#N/A,#N/A,FALSE,"골재소요량"}</definedName>
    <definedName name="건설사업소" localSheetId="0" hidden="1">{#N/A,#N/A,FALSE,"속도"}</definedName>
    <definedName name="건설사업소" hidden="1">{#N/A,#N/A,FALSE,"속도"}</definedName>
    <definedName name="건축" localSheetId="0" hidden="1">{#N/A,#N/A,TRUE,"토적및재료집계";#N/A,#N/A,TRUE,"토적및재료집계";#N/A,#N/A,TRUE,"단위량"}</definedName>
    <definedName name="건축" hidden="1">{#N/A,#N/A,TRUE,"토적및재료집계";#N/A,#N/A,TRUE,"토적및재료집계";#N/A,#N/A,TRUE,"단위량"}</definedName>
    <definedName name="겨격" localSheetId="0" hidden="1">#REF!</definedName>
    <definedName name="겨격" hidden="1">#REF!</definedName>
    <definedName name="견적" hidden="1">#REF!</definedName>
    <definedName name="견적서" hidden="1">{#N/A,#N/A,FALSE,"구조2"}</definedName>
    <definedName name="경계블럭연장" localSheetId="5" hidden="1">#REF!</definedName>
    <definedName name="경계블럭연장" localSheetId="9" hidden="1">#REF!</definedName>
    <definedName name="경계블럭연장" localSheetId="8" hidden="1">#REF!</definedName>
    <definedName name="경계블럭연장" hidden="1">#REF!</definedName>
    <definedName name="경순">BlankMacro1</definedName>
    <definedName name="계단블" localSheetId="0" hidden="1">{#N/A,#N/A,FALSE,"운반시간"}</definedName>
    <definedName name="계단블" hidden="1">{#N/A,#N/A,FALSE,"운반시간"}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도고도" localSheetId="0" hidden="1">{#N/A,#N/A,FALSE,"2~8번"}</definedName>
    <definedName name="고도고도" hidden="1">{#N/A,#N/A,FALSE,"2~8번"}</definedName>
    <definedName name="골" localSheetId="0" hidden="1">#REF!</definedName>
    <definedName name="골" hidden="1">#REF!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사원가계산서" localSheetId="0" hidden="1">{#N/A,#N/A,TRUE,"토적및재료집계";#N/A,#N/A,TRUE,"토적및재료집계";#N/A,#N/A,TRUE,"단위량"}</definedName>
    <definedName name="공사원가계산서" hidden="1">{#N/A,#N/A,TRUE,"토적및재료집계";#N/A,#N/A,TRUE,"토적및재료집계";#N/A,#N/A,TRUE,"단위량"}</definedName>
    <definedName name="공제" localSheetId="0" hidden="1">#REF!</definedName>
    <definedName name="공제" localSheetId="5" hidden="1">#REF!</definedName>
    <definedName name="공제" localSheetId="9" hidden="1">#REF!</definedName>
    <definedName name="공제" localSheetId="8" hidden="1">#REF!</definedName>
    <definedName name="공제" hidden="1">#REF!</definedName>
    <definedName name="공제총괄" localSheetId="5" hidden="1">#REF!</definedName>
    <definedName name="공제총괄" localSheetId="9" hidden="1">#REF!</definedName>
    <definedName name="공제총괄" localSheetId="8" hidden="1">#REF!</definedName>
    <definedName name="공제총괄" hidden="1">#REF!</definedName>
    <definedName name="공종간지" localSheetId="0" hidden="1">#REF!</definedName>
    <definedName name="공종간지" hidden="1">#REF!</definedName>
    <definedName name="관" hidden="1">{#N/A,#N/A,FALSE,"운반시간"}</definedName>
    <definedName name="관급자재집계표">#N/A</definedName>
    <definedName name="관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교대펄근집계" localSheetId="0" hidden="1">{#N/A,#N/A,FALSE,"배수1"}</definedName>
    <definedName name="교대펄근집계" hidden="1">{#N/A,#N/A,FALSE,"배수1"}</definedName>
    <definedName name="교동토" localSheetId="0" hidden="1">#REF!</definedName>
    <definedName name="교동토" hidden="1">#REF!</definedName>
    <definedName name="교동토목공사" localSheetId="0" hidden="1">{#N/A,#N/A,FALSE,"이태원철근"}</definedName>
    <definedName name="교동토목공사" hidden="1">{#N/A,#N/A,FALSE,"이태원철근"}</definedName>
    <definedName name="구분1">BlankMacro1</definedName>
    <definedName name="구분2">BlankMacro1</definedName>
    <definedName name="구산갑지" localSheetId="0" hidden="1">#REF!</definedName>
    <definedName name="구산갑지" hidden="1">#REF!</definedName>
    <definedName name="규준틀1" localSheetId="0" hidden="1">#REF!</definedName>
    <definedName name="규준틀1" hidden="1">#REF!</definedName>
    <definedName name="그림">BlankMacro1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계3">BlankMacro1</definedName>
    <definedName name="기성품">BlankMacro1</definedName>
    <definedName name="기존">BlankMacro1</definedName>
    <definedName name="기타경비" localSheetId="0" hidden="1">{#N/A,#N/A,TRUE,"토적및재료집계";#N/A,#N/A,TRUE,"토적및재료집계";#N/A,#N/A,TRUE,"단위량"}</definedName>
    <definedName name="기타경비" hidden="1">{#N/A,#N/A,TRUE,"토적및재료집계";#N/A,#N/A,TRUE,"토적및재료집계";#N/A,#N/A,TRUE,"단위량"}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김면수" localSheetId="0" hidden="1">{#N/A,#N/A,FALSE,"2~8번"}</definedName>
    <definedName name="김면수" hidden="1">{#N/A,#N/A,FALSE,"2~8번"}</definedName>
    <definedName name="김지환" localSheetId="0" hidden="1">{#N/A,#N/A,FALSE,"배수1"}</definedName>
    <definedName name="김지환" hidden="1">{#N/A,#N/A,FALSE,"배수1"}</definedName>
    <definedName name="ㄳ" localSheetId="0" hidden="1">{"1단계공사비",#N/A,FALSE,"공사비";"2단계공사비",#N/A,FALSE,"공사비"}</definedName>
    <definedName name="ㄳ" hidden="1">{"1단계공사비",#N/A,FALSE,"공사비";"2단계공사비",#N/A,FALSE,"공사비"}</definedName>
    <definedName name="ㄳㄳㄳ" localSheetId="0" hidden="1">{"대출금상환계획",#N/A,FALSE,"추정IS,CF,무상사용"}</definedName>
    <definedName name="ㄳㄳㄳ" hidden="1">{"대출금상환계획",#N/A,FALSE,"추정IS,CF,무상사용"}</definedName>
    <definedName name="ㄳㄳㄳㄱ" localSheetId="0" hidden="1">{#N/A,#N/A,FALSE,"민감도"}</definedName>
    <definedName name="ㄳㄳㄳㄱ" hidden="1">{#N/A,#N/A,FALSE,"민감도"}</definedName>
    <definedName name="ㄳㄳㄳㄳㄳㄳㄱ" localSheetId="0" hidden="1">{"배후단지",#N/A,FALSE,"배후단지 및 부대사업"}</definedName>
    <definedName name="ㄳㄳㄳㄳㄳㄳㄱ" hidden="1">{"배후단지",#N/A,FALSE,"배후단지 및 부대사업"}</definedName>
    <definedName name="ㄳㅅ" localSheetId="0" hidden="1">{"공업단지",#N/A,FALSE,"배후단지 및 부대사업"}</definedName>
    <definedName name="ㄳㅅ" hidden="1">{"공업단지",#N/A,FALSE,"배후단지 및 부대사업"}</definedName>
    <definedName name="ㄴ">BlankMacro1</definedName>
    <definedName name="ㄴㄱㄹ" localSheetId="0" hidden="1">#REF!</definedName>
    <definedName name="ㄴㄱㄹ" hidden="1">#REF!</definedName>
    <definedName name="ㄴㄴ">#N/A</definedName>
    <definedName name="ㄴㄴㄴ" localSheetId="0" hidden="1">{#N/A,#N/A,FALSE,"골재소요량";#N/A,#N/A,FALSE,"골재소요량"}</definedName>
    <definedName name="ㄴㄴㄴ" hidden="1">{#N/A,#N/A,FALSE,"골재소요량";#N/A,#N/A,FALSE,"골재소요량"}</definedName>
    <definedName name="ㄴㄴㄴ_1" localSheetId="0" hidden="1">{#N/A,#N/A,FALSE,"골재소요량";#N/A,#N/A,FALSE,"골재소요량"}</definedName>
    <definedName name="ㄴㄴㄴ_1" hidden="1">{#N/A,#N/A,FALSE,"골재소요량";#N/A,#N/A,FALSE,"골재소요량"}</definedName>
    <definedName name="ㄴㄴㄴㄴ" localSheetId="5" hidden="1">#REF!</definedName>
    <definedName name="ㄴㄴㄴㄴ" localSheetId="9" hidden="1">#REF!</definedName>
    <definedName name="ㄴㄴㄴㄴ" localSheetId="8" hidden="1">#REF!</definedName>
    <definedName name="ㄴㄴㄴㄴ" hidden="1">#REF!</definedName>
    <definedName name="ㄴㄴㄴㄴㄴ" localSheetId="5" hidden="1">#REF!</definedName>
    <definedName name="ㄴㄴㄴㄴㄴ" localSheetId="9" hidden="1">#REF!</definedName>
    <definedName name="ㄴㄴㄴㄴㄴ" localSheetId="8" hidden="1">#REF!</definedName>
    <definedName name="ㄴㄴㄴㄴㄴ" hidden="1">#REF!</definedName>
    <definedName name="ㄴㄴㅀㅇㅇㅀ" localSheetId="0" hidden="1">{#N/A,#N/A,FALSE,"부대1"}</definedName>
    <definedName name="ㄴㄴㅀㅇㅇㅀ" hidden="1">{#N/A,#N/A,FALSE,"부대1"}</definedName>
    <definedName name="ㄴㄹ" localSheetId="0" hidden="1">{#N/A,#N/A,FALSE,"2~8번"}</definedName>
    <definedName name="ㄴㄹ" hidden="1">{#N/A,#N/A,FALSE,"2~8번"}</definedName>
    <definedName name="ㄴㄹㄴ" localSheetId="0" hidden="1">{#N/A,#N/A,FALSE,"단가표지"}</definedName>
    <definedName name="ㄴㄹㄴ" hidden="1">{#N/A,#N/A,FALSE,"단가표지"}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ㅇ" localSheetId="0" hidden="1">{#N/A,#N/A,FALSE,"포장2"}</definedName>
    <definedName name="ㄴㄹㅇ" hidden="1">{#N/A,#N/A,FALSE,"포장2"}</definedName>
    <definedName name="ㄴㅁ" localSheetId="0" hidden="1">#REF!</definedName>
    <definedName name="ㄴㅁ" hidden="1">#REF!</definedName>
    <definedName name="ㄴㅁㄴ어림ㄴㅇㄹ" hidden="1">{#N/A,#N/A,FALSE,"단가표지"}</definedName>
    <definedName name="ㄴㅁㄹㅈㄹ" localSheetId="5" hidden="1">#REF!</definedName>
    <definedName name="ㄴㅁㄹㅈㄹ" localSheetId="9" hidden="1">#REF!</definedName>
    <definedName name="ㄴㅁㄹㅈㄹ" localSheetId="8" hidden="1">#REF!</definedName>
    <definedName name="ㄴㅁㄹㅈㄹ" hidden="1">#REF!</definedName>
    <definedName name="ㄴㅁㅁㄴㅇㅁ" hidden="1">{#N/A,#N/A,FALSE,"2~8번"}</definedName>
    <definedName name="ㄴㅁㅁㅁㅁㅁㅁㅁㅁㅇㅇㅇㅇㅇ" hidden="1">{#N/A,#N/A,FALSE,"2~8번"}</definedName>
    <definedName name="ㄴㅁㅇㄴㅁㅇ" localSheetId="0" hidden="1">{#N/A,#N/A,FALSE,"배수1"}</definedName>
    <definedName name="ㄴㅁㅇㄴㅁㅇ" hidden="1">{#N/A,#N/A,FALSE,"배수1"}</definedName>
    <definedName name="ㄴㅁㅇㄹㅇㅁㅇㄴㄻㄴㅇㄹ" hidden="1">{#N/A,#N/A,FALSE,"2~8번"}</definedName>
    <definedName name="ㄴㅁㅇㄻㄴㅇㄻㄴㅇㄹ" hidden="1">{#N/A,#N/A,FALSE,"조골재"}</definedName>
    <definedName name="ㄴㅁㅇㅁㄴ" localSheetId="5" hidden="1">#REF!</definedName>
    <definedName name="ㄴㅁㅇㅁㄴ" localSheetId="9" hidden="1">#REF!</definedName>
    <definedName name="ㄴㅁㅇㅁㄴ" localSheetId="8" hidden="1">#REF!</definedName>
    <definedName name="ㄴㅁㅇㅁㄴ" hidden="1">#REF!</definedName>
    <definedName name="ㄴㅁㅇㅁㄴㄴㄴㄴㄴㄴㄴ" hidden="1">{#N/A,#N/A,FALSE,"2~8번"}</definedName>
    <definedName name="ㄴㅅㅎㅇㅎㄹㅇ" localSheetId="0" hidden="1">{#N/A,#N/A,FALSE,"배수2"}</definedName>
    <definedName name="ㄴㅅㅎㅇㅎㄹㅇ" hidden="1">{#N/A,#N/A,FALSE,"배수2"}</definedName>
    <definedName name="ㄴㅇ" localSheetId="31" hidden="1">{#N/A,#N/A,FALSE,"구조1"}</definedName>
    <definedName name="ㄴㅇ" localSheetId="32" hidden="1">{#N/A,#N/A,FALSE,"구조1"}</definedName>
    <definedName name="ㄴㅇ12121" localSheetId="0" hidden="1">{#N/A,#N/A,FALSE,"배당분석"}</definedName>
    <definedName name="ㄴㅇ12121" hidden="1">{#N/A,#N/A,FALSE,"배당분석"}</definedName>
    <definedName name="ㄴㅇㄴㅇ" localSheetId="0" hidden="1">{#N/A,#N/A,FALSE,"현장 NCR 분석";#N/A,#N/A,FALSE,"현장품질감사";#N/A,#N/A,FALSE,"현장품질감사"}</definedName>
    <definedName name="ㄴㅇㄴㅇ" hidden="1">{#N/A,#N/A,FALSE,"현장 NCR 분석";#N/A,#N/A,FALSE,"현장품질감사";#N/A,#N/A,FALSE,"현장품질감사"}</definedName>
    <definedName name="ㄴㅇㄴㅇㄴㅇㄴ" localSheetId="0" hidden="1">{"추정현금흐름표",#N/A,FALSE,"추정IS,CF,무상사용"}</definedName>
    <definedName name="ㄴㅇㄴㅇㄴㅇㄴ" hidden="1">{#N/A,#N/A,FALSE,"골재소요량";#N/A,#N/A,FALSE,"골재소요량"}</definedName>
    <definedName name="ㄴㅇㄴㅇㅌㅊㅌㅊ" localSheetId="0" hidden="1">{"1단계 투자비명세",#N/A,FALSE,"투자비명세";"2단계 투자비명세",#N/A,FALSE,"투자비명세"}</definedName>
    <definedName name="ㄴㅇㄴㅇㅌㅊㅌㅊ" hidden="1">{"1단계 투자비명세",#N/A,FALSE,"투자비명세";"2단계 투자비명세",#N/A,FALSE,"투자비명세"}</definedName>
    <definedName name="ㄴㅇㄴㅊㅊ" localSheetId="0" hidden="1">{"운영수익1",#N/A,FALSE,"운영수익";"운영수익2",#N/A,FALSE,"운영수익";"운영수익3",#N/A,FALSE,"운영수익"}</definedName>
    <definedName name="ㄴㅇㄴㅊㅊ" hidden="1">{"운영수익1",#N/A,FALSE,"운영수익";"운영수익2",#N/A,FALSE,"운영수익";"운영수익3",#N/A,FALSE,"운영수익"}</definedName>
    <definedName name="ㄴㅇㄹ" localSheetId="0" hidden="1">{#N/A,#N/A,FALSE,"속도"}</definedName>
    <definedName name="ㄴㅇㄹ" hidden="1">{#N/A,#N/A,FALSE,"속도"}</definedName>
    <definedName name="ㄴㅇ로ㅠㅎ" localSheetId="0" hidden="1">{#N/A,#N/A,FALSE,"구조2"}</definedName>
    <definedName name="ㄴㅇ로ㅠㅎ" hidden="1">{#N/A,#N/A,FALSE,"구조2"}</definedName>
    <definedName name="ㄴㅇㄻㅍㅍㅋㄻㅁㅎㄴㅇㅎㄴㅇㅎ" localSheetId="0" hidden="1">{"부대사업공정율",#N/A,FALSE,"배후단지 및 부대사업"}</definedName>
    <definedName name="ㄴㅇㄻㅍㅍㅋㄻㅁㅎㄴㅇㅎㄴㅇㅎ" hidden="1">{"부대사업공정율",#N/A,FALSE,"배후단지 및 부대사업"}</definedName>
    <definedName name="ㄴㅇㅌㅊ" localSheetId="0" hidden="1">{"장비보유",#N/A,FALSE,"장비소요"}</definedName>
    <definedName name="ㄴㅇㅌㅊ" hidden="1">{"장비보유",#N/A,FALSE,"장비소요"}</definedName>
    <definedName name="ㄴㅇㅎㄴㅇ" localSheetId="5" hidden="1">#REF!</definedName>
    <definedName name="ㄴㅇㅎㄴㅇ" localSheetId="9" hidden="1">#REF!</definedName>
    <definedName name="ㄴㅇㅎㄴㅇ" localSheetId="8" hidden="1">#REF!</definedName>
    <definedName name="ㄴㅇㅎㄴㅇ" hidden="1">#REF!</definedName>
    <definedName name="ㄴ흂" localSheetId="0" hidden="1">{#N/A,#N/A,FALSE,"단가표지"}</definedName>
    <definedName name="ㄴ흂" hidden="1">{#N/A,#N/A,FALSE,"단가표지"}</definedName>
    <definedName name="나그네" hidden="1">{#N/A,#N/A,FALSE,"구조2"}</definedName>
    <definedName name="낙차공" localSheetId="0" hidden="1">{#N/A,#N/A,FALSE,"2~8번"}</definedName>
    <definedName name="낙차공" hidden="1">{#N/A,#N/A,FALSE,"2~8번"}</definedName>
    <definedName name="날개벽단면검토" localSheetId="5" hidden="1">#REF!</definedName>
    <definedName name="날개벽단면검토" localSheetId="9" hidden="1">#REF!</definedName>
    <definedName name="날개벽단면검토" localSheetId="8" hidden="1">#REF!</definedName>
    <definedName name="날개벽단면검토" hidden="1">#REF!</definedName>
    <definedName name="남남" localSheetId="5" hidden="1">#REF!</definedName>
    <definedName name="남남" localSheetId="9" hidden="1">#REF!</definedName>
    <definedName name="남남" localSheetId="8" hidden="1">#REF!</definedName>
    <definedName name="남남" hidden="1">#REF!</definedName>
    <definedName name="남덕">BlankMacro1</definedName>
    <definedName name="내역" localSheetId="0" hidden="1">{#N/A,#N/A,FALSE,"부대1"}</definedName>
    <definedName name="내역" hidden="1">{#N/A,#N/A,FALSE,"부대1"}</definedName>
    <definedName name="너그네" hidden="1">{#N/A,#N/A,FALSE,"구조2"}</definedName>
    <definedName name="노대제수로" localSheetId="0" hidden="1">{#N/A,#N/A,FALSE,"조골재"}</definedName>
    <definedName name="노대제수로" hidden="1">{#N/A,#N/A,FALSE,"조골재"}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임">BlankMacro1</definedName>
    <definedName name="노임1">BlankMacro1</definedName>
    <definedName name="논산" localSheetId="0" hidden="1">{#N/A,#N/A,FALSE,"2~8번"}</definedName>
    <definedName name="논산" hidden="1">{#N/A,#N/A,FALSE,"2~8번"}</definedName>
    <definedName name="ㄶㄴㄷ" localSheetId="5" hidden="1">#REF!</definedName>
    <definedName name="ㄶㄴㄷ" localSheetId="9" hidden="1">#REF!</definedName>
    <definedName name="ㄶㄴㄷ" localSheetId="8" hidden="1">#REF!</definedName>
    <definedName name="ㄶㄴㄷ" hidden="1">#REF!</definedName>
    <definedName name="ㄶㄶㄶㄱㅎㄴㄹ" localSheetId="0" hidden="1">{"1단계공사비",#N/A,FALSE,"공사비";"2단계공사비",#N/A,FALSE,"공사비"}</definedName>
    <definedName name="ㄶㄶㄶㄱㅎㄴㄹ" hidden="1">{"1단계공사비",#N/A,FALSE,"공사비";"2단계공사비",#N/A,FALSE,"공사비"}</definedName>
    <definedName name="ㄷ" localSheetId="0" hidden="1">{#N/A,#N/A,FALSE,"2~8번"}</definedName>
    <definedName name="ㄷ" hidden="1">{#N/A,#N/A,FALSE,"2~8번"}</definedName>
    <definedName name="ㄷ_1" localSheetId="0" hidden="1">{#N/A,#N/A,FALSE,"2~8번"}</definedName>
    <definedName name="ㄷ_1" hidden="1">{#N/A,#N/A,FALSE,"2~8번"}</definedName>
    <definedName name="ㄷㄳㅅㄷㄱ" localSheetId="0" hidden="1">{#N/A,#N/A,FALSE,"2~8번"}</definedName>
    <definedName name="ㄷㄳㅅㄷㄱ" hidden="1">{#N/A,#N/A,FALSE,"2~8번"}</definedName>
    <definedName name="ㄷㄷㄷㄷㄷㄷ">BlankMacro1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ㅈㄷ" localSheetId="5" hidden="1">#REF!</definedName>
    <definedName name="ㄷㅅㅈㄷ" localSheetId="9" hidden="1">#REF!</definedName>
    <definedName name="ㄷㅅㅈㄷ" localSheetId="8" hidden="1">#REF!</definedName>
    <definedName name="ㄷㅅㅈㄷ" hidden="1">#REF!</definedName>
    <definedName name="ㄷ숃ㄱ" localSheetId="5" hidden="1">#REF!</definedName>
    <definedName name="ㄷ숃ㄱ" localSheetId="9" hidden="1">#REF!</definedName>
    <definedName name="ㄷ숃ㄱ" localSheetId="8" hidden="1">#REF!</definedName>
    <definedName name="ㄷ숃ㄱ" hidden="1">#REF!</definedName>
    <definedName name="ㄷㅇㄹㄹ" hidden="1">{#N/A,#N/A,FALSE,"운반시간"}</definedName>
    <definedName name="ㄷㅇㅊㅇ" localSheetId="0" hidden="1">{"장비보유1",#N/A,FALSE,"장비보유현황";"장비보유2",#N/A,FALSE,"장비보유현황"}</definedName>
    <definedName name="ㄷㅇㅊㅇ" hidden="1">{"장비보유1",#N/A,FALSE,"장비보유현황";"장비보유2",#N/A,FALSE,"장비보유현황"}</definedName>
    <definedName name="ㄷㅈㄱㄷㅈ" localSheetId="0" hidden="1">{#N/A,#N/A,FALSE,"혼합골재"}</definedName>
    <definedName name="ㄷㅈㄱㄷㅈ" hidden="1">{#N/A,#N/A,FALSE,"혼합골재"}</definedName>
    <definedName name="ㄷㅈㄷ" localSheetId="0" hidden="1">{#N/A,#N/A,FALSE,"속도"}</definedName>
    <definedName name="ㄷㅈㄷ" hidden="1">{#N/A,#N/A,FALSE,"속도"}</definedName>
    <definedName name="ㄷㅈㅂㄱㅈㅂㄷㄱ" localSheetId="0" hidden="1">{#N/A,#N/A,FALSE,"골재소요량";#N/A,#N/A,FALSE,"골재소요량"}</definedName>
    <definedName name="ㄷㅈㅂㄱㅈㅂㄷㄱ" hidden="1">{#N/A,#N/A,FALSE,"골재소요량";#N/A,#N/A,FALSE,"골재소요량"}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localSheetId="5" hidden="1">#REF!</definedName>
    <definedName name="ㄷㅎㄹㅇ" localSheetId="9" hidden="1">#REF!</definedName>
    <definedName name="ㄷㅎㄹㅇ" localSheetId="8" hidden="1">#REF!</definedName>
    <definedName name="ㄷㅎㄹㅇ" hidden="1">#REF!</definedName>
    <definedName name="다짐계수">0.875</definedName>
    <definedName name="단가산출목록표" localSheetId="0" hidden="1">{#N/A,#N/A,FALSE,"Sheet1"}</definedName>
    <definedName name="단가산출목록표" hidden="1">{#N/A,#N/A,FALSE,"Sheet1"}</definedName>
    <definedName name="단위">BlankMacro1</definedName>
    <definedName name="단위량">BlankMacro1</definedName>
    <definedName name="단위중량">2.5</definedName>
    <definedName name="당초">BlankMacro1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상알지" localSheetId="0" hidden="1">{#N/A,#N/A,FALSE,"혼합골재"}</definedName>
    <definedName name="대상알지" hidden="1">{#N/A,#N/A,FALSE,"혼합골재"}</definedName>
    <definedName name="더" localSheetId="0" hidden="1">{"1단계 투자비명세",#N/A,FALSE,"투자비명세";"2단계 투자비명세",#N/A,FALSE,"투자비명세"}</definedName>
    <definedName name="더" hidden="1">{"1단계 투자비명세",#N/A,FALSE,"투자비명세";"2단계 투자비명세",#N/A,FALSE,"투자비명세"}</definedName>
    <definedName name="도로포장">#N/A</definedName>
    <definedName name="도수다" hidden="1">{#N/A,#N/A,FALSE,"배수1"}</definedName>
    <definedName name="도수로b" hidden="1">{#N/A,#N/A,FALSE,"배수1"}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1313" localSheetId="0" hidden="1">{"1단계 투자비명세",#N/A,FALSE,"투자비명세";"2단계 투자비명세",#N/A,FALSE,"투자비명세"}</definedName>
    <definedName name="ㄹ1313" hidden="1">{"1단계 투자비명세",#N/A,FALSE,"투자비명세";"2단계 투자비명세",#N/A,FALSE,"투자비명세"}</definedName>
    <definedName name="ㄹㄴ" localSheetId="0" hidden="1">{#N/A,#N/A,FALSE,"운반시간"}</definedName>
    <definedName name="ㄹㄴ" hidden="1">{#N/A,#N/A,FALSE,"운반시간"}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ㄹ1312" localSheetId="0" hidden="1">{"추정현금흐름표",#N/A,FALSE,"추정IS,CF,무상사용"}</definedName>
    <definedName name="ㄹㄹ1312" hidden="1">{"추정현금흐름표",#N/A,FALSE,"추정IS,CF,무상사용"}</definedName>
    <definedName name="ㄹㄹㄹ13" localSheetId="0" hidden="1">{"추정손익계산서",#N/A,FALSE,"추정IS,CF,무상사용"}</definedName>
    <definedName name="ㄹㄹㄹ13" hidden="1">{"추정손익계산서",#N/A,FALSE,"추정IS,CF,무상사용"}</definedName>
    <definedName name="ㄹㄹㄹ231" localSheetId="0" hidden="1">{"추정대차대조표",#N/A,FALSE,"추정BS"}</definedName>
    <definedName name="ㄹㄹㄹ231" hidden="1">{"추정대차대조표",#N/A,FALSE,"추정BS"}</definedName>
    <definedName name="ㄹㄹㄹ23232" localSheetId="0" hidden="1">{"장비보유",#N/A,FALSE,"장비소요"}</definedName>
    <definedName name="ㄹㄹㄹ23232" hidden="1">{"장비보유",#N/A,FALSE,"장비소요"}</definedName>
    <definedName name="ㄹㄹㄹㄹ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ㅇㄴ" localSheetId="0" hidden="1">#REF!</definedName>
    <definedName name="ㄹㅇㄴ" hidden="1">#REF!</definedName>
    <definedName name="ㄹㅇㄴㄹㄴㅇㄹㄴㅇㄹ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ㄹㅇㄴㄹㄴㅇㄹㄴㅇㄹ" hidden="1">{"'정산내역서'!$A$1:$I$35","'정산서(절.성토부)'!$A$1:$Q$17","'정산서(교량부)'!$A$1:$Q$84","'총괄표'!$A$1:$M$12","'시행현황'!$A$1:$G$12","'표지'!$A$1:$N$27","'정산서(절.성토부)'!$A$3:$Q$7"}</definedName>
    <definedName name="ㄹㅇㄶ" localSheetId="5" hidden="1">#REF!</definedName>
    <definedName name="ㄹㅇㄶ" localSheetId="9" hidden="1">#REF!</definedName>
    <definedName name="ㄹㅇㄶ" localSheetId="8" hidden="1">#REF!</definedName>
    <definedName name="ㄹㅇㄶ" hidden="1">#REF!</definedName>
    <definedName name="ㄹㅇㄶ옿" hidden="1">#REF!</definedName>
    <definedName name="ㄹㅇㄹ" localSheetId="0" hidden="1">{#N/A,#N/A,FALSE,"골재소요량";#N/A,#N/A,FALSE,"골재소요량"}</definedName>
    <definedName name="ㄹㅇㄹ" hidden="1">{#N/A,#N/A,FALSE,"골재소요량";#N/A,#N/A,FALSE,"골재소요량"}</definedName>
    <definedName name="ㄹㅇㄹㄴ12323" localSheetId="0" hidden="1">{"장비보유1",#N/A,FALSE,"장비보유현황";"장비보유2",#N/A,FALSE,"장비보유현황"}</definedName>
    <definedName name="ㄹㅇㄹㄴ12323" hidden="1">{"장비보유1",#N/A,FALSE,"장비보유현황";"장비보유2",#N/A,FALSE,"장비보유현황"}</definedName>
    <definedName name="ㄹㅇㄹㅇ">BlankMacro1</definedName>
    <definedName name="ㄹㅇㅁㄴㄹ" localSheetId="0" hidden="1">{#N/A,#N/A,FALSE,"혼합골재"}</definedName>
    <definedName name="ㄹㅇㅁㄴㄹ" hidden="1">{#N/A,#N/A,FALSE,"혼합골재"}</definedName>
    <definedName name="ㄹㅇ퓨ㅓㅜㅏㅗㅜㅠㅅ퐇휴ㅗㅎ" localSheetId="0" hidden="1">{#N/A,#N/A,FALSE,"조골재"}</definedName>
    <definedName name="ㄹㅇ퓨ㅓㅜㅏㅗㅜㅠㅅ퐇휴ㅗㅎ" hidden="1">{#N/A,#N/A,FALSE,"조골재"}</definedName>
    <definedName name="ㄹㅇㅎㄹㅇ" localSheetId="5" hidden="1">#REF!</definedName>
    <definedName name="ㄹㅇㅎㄹㅇ" localSheetId="9" hidden="1">#REF!</definedName>
    <definedName name="ㄹㅇㅎㄹㅇ" localSheetId="8" hidden="1">#REF!</definedName>
    <definedName name="ㄹㅇㅎㄹㅇ" hidden="1">#REF!</definedName>
    <definedName name="ㄹㅇㅎㅁ" hidden="1">#REF!</definedName>
    <definedName name="ㄹㅇㅎㅇㅀ" localSheetId="0" hidden="1">{#N/A,#N/A,FALSE,"부대2"}</definedName>
    <definedName name="ㄹㅇㅎㅇㅀ" hidden="1">{#N/A,#N/A,FALSE,"부대2"}</definedName>
    <definedName name="ㄹㅇ홀옹ㅎㄹ" localSheetId="5" hidden="1">#REF!</definedName>
    <definedName name="ㄹㅇ홀옹ㅎㄹ" localSheetId="9" hidden="1">#REF!</definedName>
    <definedName name="ㄹㅇ홀옹ㅎㄹ" localSheetId="8" hidden="1">#REF!</definedName>
    <definedName name="ㄹㅇ홀옹ㅎㄹ" hidden="1">#REF!</definedName>
    <definedName name="ㄹㅊㅊ" localSheetId="0" hidden="1">{"추정손익계산서",#N/A,FALSE,"추정IS,CF,무상사용"}</definedName>
    <definedName name="ㄹㅊㅊ" hidden="1">{"추정손익계산서",#N/A,FALSE,"추정IS,CF,무상사용"}</definedName>
    <definedName name="ㄹ허ㅗ" localSheetId="0" hidden="1">{#N/A,#N/A,FALSE,"이정표"}</definedName>
    <definedName name="ㄹ허ㅗ" hidden="1">{#N/A,#N/A,FALSE,"이정표"}</definedName>
    <definedName name="ㄹ헝ㄹ" localSheetId="5" hidden="1">#REF!</definedName>
    <definedName name="ㄹ헝ㄹ" localSheetId="9" hidden="1">#REF!</definedName>
    <definedName name="ㄹ헝ㄹ" localSheetId="8" hidden="1">#REF!</definedName>
    <definedName name="ㄹ헝ㄹ" hidden="1">#REF!</definedName>
    <definedName name="ㄹ호" localSheetId="0" hidden="1">#REF!</definedName>
    <definedName name="ㄹ호" hidden="1">#REF!</definedName>
    <definedName name="ㄹ홓ㄹ" localSheetId="0" hidden="1">{#N/A,#N/A,FALSE,"조골재"}</definedName>
    <definedName name="ㄹ홓ㄹ" hidden="1">{#N/A,#N/A,FALSE,"조골재"}</definedName>
    <definedName name="라바콘설치현황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라바콘설치현황" hidden="1">{"'정산내역서'!$A$1:$I$35","'정산서(절.성토부)'!$A$1:$Q$17","'정산서(교량부)'!$A$1:$Q$84","'총괄표'!$A$1:$M$12","'시행현황'!$A$1:$G$12","'표지'!$A$1:$N$27","'정산서(절.성토부)'!$A$3:$Q$7"}</definedName>
    <definedName name="람어리마ㅓㅇㄹ" hidden="1">{#N/A,#N/A,FALSE,"조골재"}</definedName>
    <definedName name="러" localSheetId="0" hidden="1">{"개업비1",#N/A,FALSE,"개업비";"개업비2",#N/A,FALSE,"개업비";"개업비3",#N/A,FALSE,"개업비";"개업비4",#N/A,FALSE,"개업비"}</definedName>
    <definedName name="러" hidden="1">{"개업비1",#N/A,FALSE,"개업비";"개업비2",#N/A,FALSE,"개업비";"개업비3",#N/A,FALSE,"개업비";"개업비4",#N/A,FALSE,"개업비"}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롫ㅀㄹ" localSheetId="0" hidden="1">{"추정현금흐름표",#N/A,FALSE,"추정IS,CF,무상사용"}</definedName>
    <definedName name="롫ㅀㄹ" hidden="1">{"추정현금흐름표",#N/A,FALSE,"추정IS,CF,무상사용"}</definedName>
    <definedName name="롬ㄴ" localSheetId="5" hidden="1">#REF!</definedName>
    <definedName name="롬ㄴ" localSheetId="9" hidden="1">#REF!</definedName>
    <definedName name="롬ㄴ" localSheetId="8" hidden="1">#REF!</definedName>
    <definedName name="롬ㄴ" hidden="1">#REF!</definedName>
    <definedName name="ㄻㅈㄷㄴㅇㅌㅊㅌ" localSheetId="0" hidden="1">{"추정대차대조표",#N/A,FALSE,"추정BS"}</definedName>
    <definedName name="ㄻㅈㄷㄴㅇㅌㅊㅌ" hidden="1">{"추정대차대조표",#N/A,FALSE,"추정BS"}</definedName>
    <definedName name="ㄿㄿㄹㄹ" localSheetId="0" hidden="1">{"추정손익계산서",#N/A,FALSE,"추정IS,CF,무상사용"}</definedName>
    <definedName name="ㄿㄿㄹㄹ" hidden="1">{"추정손익계산서",#N/A,FALSE,"추정IS,CF,무상사용"}</definedName>
    <definedName name="ㅀ" localSheetId="0" hidden="1">{#N/A,#N/A,TRUE,"토적및재료집계";#N/A,#N/A,TRUE,"토적및재료집계";#N/A,#N/A,TRUE,"단위량"}</definedName>
    <definedName name="ㅀ" hidden="1">{#N/A,#N/A,TRUE,"토적및재료집계";#N/A,#N/A,TRUE,"토적및재료집계";#N/A,#N/A,TRUE,"단위량"}</definedName>
    <definedName name="ㅀㅀㄴ" localSheetId="0" hidden="1">{#N/A,#N/A,FALSE,"조골재"}</definedName>
    <definedName name="ㅀㅀㄴ" hidden="1">{#N/A,#N/A,FALSE,"조골재"}</definedName>
    <definedName name="ㅀㅎ" localSheetId="0" hidden="1">{#N/A,#N/A,FALSE,"2~8번"}</definedName>
    <definedName name="ㅀㅎ" hidden="1">{#N/A,#N/A,FALSE,"2~8번"}</definedName>
    <definedName name="ㅁ" localSheetId="0" hidden="1">{#N/A,#N/A,FALSE,"조골재"}</definedName>
    <definedName name="ㅁ" localSheetId="35">BlankMacro1</definedName>
    <definedName name="ㅁ" hidden="1">{#N/A,#N/A,FALSE,"조골재"}</definedName>
    <definedName name="ㅁ_1" localSheetId="0" hidden="1">{#N/A,#N/A,FALSE,"조골재"}</definedName>
    <definedName name="ㅁ_1" hidden="1">{#N/A,#N/A,FALSE,"조골재"}</definedName>
    <definedName name="ㅁ121212" localSheetId="0" hidden="1">{"공업단지",#N/A,FALSE,"배후단지 및 부대사업"}</definedName>
    <definedName name="ㅁ121212" hidden="1">{"공업단지",#N/A,FALSE,"배후단지 및 부대사업"}</definedName>
    <definedName name="ㅁ123" hidden="1">{#N/A,#N/A,FALSE,"운반시간"}</definedName>
    <definedName name="ㅁㄱㅂ" localSheetId="0" hidden="1">{#N/A,#N/A,FALSE,"단가표지"}</definedName>
    <definedName name="ㅁㄱㅂ" hidden="1">{#N/A,#N/A,FALSE,"단가표지"}</definedName>
    <definedName name="ㅁㄴ" localSheetId="0" hidden="1">{#N/A,#N/A,FALSE,"2~8번"}</definedName>
    <definedName name="ㅁㄴ" hidden="1">{#N/A,#N/A,FALSE,"2~8번"}</definedName>
    <definedName name="ㅁㄴ_1" localSheetId="0" hidden="1">{#N/A,#N/A,FALSE,"2~8번"}</definedName>
    <definedName name="ㅁㄴ_1" hidden="1">{#N/A,#N/A,FALSE,"2~8번"}</definedName>
    <definedName name="ㅁㄴㄴㄴㄴㄴㄴㄴㄴㄴㄴㄴㄴㄴㄴㄴㄴㄴㄴㄴ" hidden="1">{#N/A,#N/A,FALSE,"2~8번"}</definedName>
    <definedName name="ㅁㄴㄴㄴㄴㄴㄴㄴㄴㅁㄴㅇㄹ" hidden="1">{#N/A,#N/A,FALSE,"골재소요량";#N/A,#N/A,FALSE,"골재소요량"}</definedName>
    <definedName name="ㅁㄴㄴㅇ" localSheetId="0" hidden="1">{#N/A,#N/A,FALSE,"조골재"}</definedName>
    <definedName name="ㅁㄴㄴㅇ" hidden="1">{#N/A,#N/A,FALSE,"조골재"}</definedName>
    <definedName name="ㅁㄴㄹ" localSheetId="0" hidden="1">{#N/A,#N/A,FALSE,"골재소요량";#N/A,#N/A,FALSE,"골재소요량"}</definedName>
    <definedName name="ㅁㄴㄹ" hidden="1">{#N/A,#N/A,FALSE,"골재소요량";#N/A,#N/A,FALSE,"골재소요량"}</definedName>
    <definedName name="ㅁㄴㄾㅊ" hidden="1">{#N/A,#N/A,FALSE,"운반시간"}</definedName>
    <definedName name="ㅁㄴㅁㄴ" hidden="1">{#N/A,#N/A,FALSE,"골재소요량";#N/A,#N/A,FALSE,"골재소요량"}</definedName>
    <definedName name="ㅁㄴㅁㄴㅁㄴㅋㅌ" localSheetId="0" hidden="1">{"부대사업수익총괄",#N/A,FALSE,"배후단지 및 부대사업"}</definedName>
    <definedName name="ㅁㄴㅁㄴㅁㄴㅋㅌ" hidden="1">{"부대사업수익총괄",#N/A,FALSE,"배후단지 및 부대사업"}</definedName>
    <definedName name="ㅁㄴㅁㅇㄴㅁㄴㅇ" localSheetId="0" hidden="1">{#N/A,#N/A,FALSE,"조골재"}</definedName>
    <definedName name="ㅁㄴㅁㅇㄴㅁㄴㅇ" hidden="1">{#N/A,#N/A,FALSE,"조골재"}</definedName>
    <definedName name="ㅁㄴㅇ" localSheetId="0" hidden="1">{#N/A,#N/A,FALSE,"운반시간"}</definedName>
    <definedName name="ㅁㄴㅇ" hidden="1">{#N/A,#N/A,FALSE,"운반시간"}</definedName>
    <definedName name="ㅁㄴㅇ_1" localSheetId="0" hidden="1">{#N/A,#N/A,FALSE,"운반시간"}</definedName>
    <definedName name="ㅁㄴㅇ_1" hidden="1">{#N/A,#N/A,FALSE,"운반시간"}</definedName>
    <definedName name="ㅁㄴㅇㄻㄴㅇㄹ" hidden="1">{#N/A,#N/A,FALSE,"2~8번"}</definedName>
    <definedName name="ㅁㄴㅇㄻㄴㅇㄹㅊㅌㅊㅍㅁ" localSheetId="0" hidden="1">{"추정현금흐름표",#N/A,FALSE,"추정IS,CF,무상사용"}</definedName>
    <definedName name="ㅁㄴㅇㄻㄴㅇㄹㅊㅌㅊㅍㅁ" hidden="1">{"추정현금흐름표",#N/A,FALSE,"추정IS,CF,무상사용"}</definedName>
    <definedName name="ㅁㄴㅇㄻㄴㅇㄻㄴㅇㄻㄴㅇㄹ" hidden="1">{#N/A,#N/A,FALSE,"2~8번"}</definedName>
    <definedName name="ㅁㄴㅇㄻㄴㅇㄻㄴㅇㄻㄴㅇㄻㄴㅇㄻㄴㅇㄻㅇㄻㅇㄹ" hidden="1">{#N/A,#N/A,FALSE,"2~8번"}</definedName>
    <definedName name="ㅁㄴㅇㄻㄴㅇㄻㄴㅇㅁㄴㅁㅇ" hidden="1">{#N/A,#N/A,FALSE,"운반시간"}</definedName>
    <definedName name="ㅁㄴㅇㄻㄴㅇㄻㅇ" hidden="1">{#N/A,#N/A,FALSE,"조골재"}</definedName>
    <definedName name="ㅁㄴㅇㄻㄴㅇㅁㅇㄻㅇㄻㅇㄻㅇㄻㄴㅇㄻㄴㅇㄹ" hidden="1">{#N/A,#N/A,FALSE,"조골재"}</definedName>
    <definedName name="ㅁㄴㅇㄻㅇㄻㄴㅁㅁ" hidden="1">{#N/A,#N/A,FALSE,"조골재"}</definedName>
    <definedName name="ㅁㄴㅇㅁ" localSheetId="0" hidden="1">{#N/A,#N/A,FALSE,"배수1"}</definedName>
    <definedName name="ㅁㄴㅇㅁ" hidden="1">{#N/A,#N/A,FALSE,"배수1"}</definedName>
    <definedName name="ㅁㄴㅇㅁㄴㅇ" localSheetId="0" hidden="1">#REF!</definedName>
    <definedName name="ㅁㄴㅇㅁㄴㅇ" hidden="1">{#N/A,#N/A,FALSE,"2~8번"}</definedName>
    <definedName name="ㅁㄴㅇㅁㄴㅇㅁㅇ" localSheetId="0" hidden="1">{#N/A,#N/A,FALSE,"2~8번"}</definedName>
    <definedName name="ㅁㄴㅇㅁㄴㅇㅁㅇ" hidden="1">{#N/A,#N/A,FALSE,"2~8번"}</definedName>
    <definedName name="ㅁㄴ아ㅣㄹ멀" hidden="1">{#N/A,#N/A,FALSE,"조골재"}</definedName>
    <definedName name="ㅁ너ㅐㅓㅇ" hidden="1">{#N/A,#N/A,FALSE,"조골재"}</definedName>
    <definedName name="ㅁ넝리머" hidden="1">{#N/A,#N/A,FALSE,"조골재"}</definedName>
    <definedName name="ㅁㄶㅁㄴ" localSheetId="5" hidden="1">#REF!</definedName>
    <definedName name="ㅁㄶㅁㄴ" localSheetId="9" hidden="1">#REF!</definedName>
    <definedName name="ㅁㄶㅁㄴ" localSheetId="8" hidden="1">#REF!</definedName>
    <definedName name="ㅁㄶㅁㄴ" hidden="1">#REF!</definedName>
    <definedName name="ㅁㄹ">#N/A</definedName>
    <definedName name="ㅁㄹㄴㅇㅋㄹ" localSheetId="0" hidden="1">{"추정손익계산서",#N/A,FALSE,"추정IS,CF,무상사용"}</definedName>
    <definedName name="ㅁㄹㄴㅇㅋㄹ" hidden="1">{"추정손익계산서",#N/A,FALSE,"추정IS,CF,무상사용"}</definedName>
    <definedName name="ㅁㄹㄹ" localSheetId="0" hidden="1">{#N/A,#N/A,FALSE,"2~8번"}</definedName>
    <definedName name="ㅁㄹㄹ" hidden="1">{#N/A,#N/A,FALSE,"2~8번"}</definedName>
    <definedName name="ㅁㄹㄹㄴㅇㄹㅇㄴㄹㄴㅇ" localSheetId="0" hidden="1">{#N/A,#N/A,FALSE,"포장1";#N/A,#N/A,FALSE,"포장1"}</definedName>
    <definedName name="ㅁㄹㄹㄴㅇㄹㅇㄴㄹㄴㅇ" hidden="1">{#N/A,#N/A,FALSE,"포장1";#N/A,#N/A,FALSE,"포장1"}</definedName>
    <definedName name="ㅁㄹㅇㅁㄹㅋㅌㅊㅍㅋㅇㄹㄴ" localSheetId="0" hidden="1">{#N/A,#N/A,FALSE,"배당분석"}</definedName>
    <definedName name="ㅁㄹㅇㅁㄹㅋㅌㅊㅍㅋㅇㄹㄴ" hidden="1">{#N/A,#N/A,FALSE,"배당분석"}</definedName>
    <definedName name="ㅁㅀㅁㄴ" localSheetId="5" hidden="1">#REF!</definedName>
    <definedName name="ㅁㅀㅁㄴ" localSheetId="9" hidden="1">#REF!</definedName>
    <definedName name="ㅁㅀㅁㄴ" localSheetId="8" hidden="1">#REF!</definedName>
    <definedName name="ㅁㅀㅁㄴ" hidden="1">#REF!</definedName>
    <definedName name="ㅁㅀㅎ" localSheetId="0" hidden="1">{#N/A,#N/A,FALSE,"골재소요량";#N/A,#N/A,FALSE,"골재소요량"}</definedName>
    <definedName name="ㅁㅀㅎ" hidden="1">{#N/A,#N/A,FALSE,"골재소요량";#N/A,#N/A,FALSE,"골재소요량"}</definedName>
    <definedName name="ㅁㅁ" localSheetId="0" hidden="1">{#N/A,#N/A,FALSE,"조골재"}</definedName>
    <definedName name="ㅁㅁ" hidden="1">{#N/A,#N/A,FALSE,"조골재"}</definedName>
    <definedName name="ㅁㅁ_1" localSheetId="0" hidden="1">{#N/A,#N/A,FALSE,"조골재"}</definedName>
    <definedName name="ㅁㅁ_1" hidden="1">{#N/A,#N/A,FALSE,"조골재"}</definedName>
    <definedName name="ㅁㅁㄴ" localSheetId="0" hidden="1">{#N/A,#N/A,FALSE,"2~8번"}</definedName>
    <definedName name="ㅁㅁㄴ" hidden="1">{#N/A,#N/A,FALSE,"2~8번"}</definedName>
    <definedName name="ㅁㅁㄴㅇㄷ" hidden="1">{#N/A,#N/A,FALSE,"조골재"}</definedName>
    <definedName name="ㅁㅁㅁ" localSheetId="0" hidden="1">{#N/A,#N/A,FALSE,"운반시간"}</definedName>
    <definedName name="ㅁㅁㅁ" hidden="1">{#N/A,#N/A,FALSE,"운반시간"}</definedName>
    <definedName name="ㅁㅁㅁㅁ" localSheetId="0" hidden="1">{#N/A,#N/A,FALSE,"조골재"}</definedName>
    <definedName name="ㅁㅁㅁㅁ" hidden="1">{#N/A,#N/A,FALSE,"조골재"}</definedName>
    <definedName name="ㅁㅁㅁㅁㅁㅁ" localSheetId="0" hidden="1">#REF!</definedName>
    <definedName name="ㅁㅁㅁㅁㅁㅁ" hidden="1">{#N/A,#N/A,FALSE,"단가표지"}</definedName>
    <definedName name="ㅁㅁㅁㅁㅁㅁㅁㅁ" localSheetId="0" hidden="1">{#N/A,#N/A,FALSE,"배수1"}</definedName>
    <definedName name="ㅁㅁㅁㅁㅁㅁㅁㅁ" hidden="1">{#N/A,#N/A,FALSE,"배수1"}</definedName>
    <definedName name="ㅁㅁㅁㅁㅁㅁㅁㅁㅁ" hidden="1">{#N/A,#N/A,FALSE,"운반시간"}</definedName>
    <definedName name="ㅁㅁㅁㅁㅁㅁㅁㅁㅁㅁㅁ" hidden="1">{#N/A,#N/A,FALSE,"운반시간"}</definedName>
    <definedName name="ㅁㅁㅂㅂ" localSheetId="0" hidden="1">{#N/A,#N/A,FALSE,"골재소요량";#N/A,#N/A,FALSE,"골재소요량"}</definedName>
    <definedName name="ㅁㅁㅂㅂ" hidden="1">{#N/A,#N/A,FALSE,"골재소요량";#N/A,#N/A,FALSE,"골재소요량"}</definedName>
    <definedName name="ㅁㅁㅇ" hidden="1">{#N/A,#N/A,FALSE,"골재소요량";#N/A,#N/A,FALSE,"골재소요량"}</definedName>
    <definedName name="ㅁㅅㅁㅎㅁㅎㅁ" localSheetId="0" hidden="1">{"개업비1",#N/A,FALSE,"개업비";"개업비2",#N/A,FALSE,"개업비";"개업비3",#N/A,FALSE,"개업비";"개업비4",#N/A,FALSE,"개업비"}</definedName>
    <definedName name="ㅁㅅㅁㅎㅁㅎㅁ" hidden="1">{"개업비1",#N/A,FALSE,"개업비";"개업비2",#N/A,FALSE,"개업비";"개업비3",#N/A,FALSE,"개업비";"개업비4",#N/A,FALSE,"개업비"}</definedName>
    <definedName name="ㅁㅇㄴㅁㅇㅁ" localSheetId="0" hidden="1">{#N/A,#N/A,FALSE,"배수1"}</definedName>
    <definedName name="ㅁㅇㄴㅁㅇㅁ" hidden="1">{#N/A,#N/A,FALSE,"배수1"}</definedName>
    <definedName name="ㅁㅇㄴㅋㄷㄱ" hidden="1">{#N/A,#N/A,FALSE,"조골재"}</definedName>
    <definedName name="ㅁㅇㄹㅇㄴ" hidden="1">{#N/A,#N/A,FALSE,"조골재"}</definedName>
    <definedName name="ㅁㅇㄹㅈㅁㄻㅁㄴㅇㄻㄴㄻㄴ" localSheetId="0" hidden="1">{"1단계 투자비명세",#N/A,FALSE,"투자비명세";"2단계 투자비명세",#N/A,FALSE,"투자비명세"}</definedName>
    <definedName name="ㅁㅇㄹㅈㅁㄻㅁㄴㅇㄻㄴㄻㄴ" hidden="1">{"1단계 투자비명세",#N/A,FALSE,"투자비명세";"2단계 투자비명세",#N/A,FALSE,"투자비명세"}</definedName>
    <definedName name="ㅁㅇㄻㄴㅇㄻㄴㅇㄻㄴㅇㄻㄴㅇ" localSheetId="0" hidden="1">{"운영설비비1",#N/A,FALSE,"운영설비비";"운영설비비2",#N/A,FALSE,"운영설비비"}</definedName>
    <definedName name="ㅁㅇㄻㄴㅇㄻㄴㅇㄻㄴㅇㄻㄴㅇ" hidden="1">{"운영설비비1",#N/A,FALSE,"운영설비비";"운영설비비2",#N/A,FALSE,"운영설비비"}</definedName>
    <definedName name="ㅁㅇㄻㄴㅇㄻㅍㅌㅊㅍㅌㅊㅍ" localSheetId="0" hidden="1">{"운영수익1",#N/A,FALSE,"운영수익";"운영수익2",#N/A,FALSE,"운영수익";"운영수익3",#N/A,FALSE,"운영수익"}</definedName>
    <definedName name="ㅁㅇㄻㄴㅇㄻㅍㅌㅊㅍㅌㅊㅍ" hidden="1">{"운영수익1",#N/A,FALSE,"운영수익";"운영수익2",#N/A,FALSE,"운영수익";"운영수익3",#N/A,FALSE,"운영수익"}</definedName>
    <definedName name="ㅁㅇㄻㅇㄴㅁㄴㅇㄻ" hidden="1">{#N/A,#N/A,FALSE,"조골재"}</definedName>
    <definedName name="ㅁㅇㄻㅇㄻㄴㅇㄻㄴㅇㄻㄴㅇㄻㄴ" localSheetId="0" hidden="1">{"부대사업수익총괄",#N/A,FALSE,"배후단지 및 부대사업"}</definedName>
    <definedName name="ㅁㅇㄻㅇㄻㄴㅇㄻㄴㅇㄻㄴㅇㄻㄴ" hidden="1">{"부대사업수익총괄",#N/A,FALSE,"배후단지 및 부대사업"}</definedName>
    <definedName name="ㅁㅇㄻㅇㄻㅇㄻㄴㅇㄻㄴㅇㄹ" localSheetId="0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ㅁㅇㄻㅇㄻㅇㄻㄴㅇㄻㄴㅇㄹ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ㅁㅇㄻㅇㄻㅇㄻㅇㄻㅇㄻ" localSheetId="0" hidden="1">{"부대사업본사업연결자료",#N/A,FALSE,"배후단지및부대사업연결"}</definedName>
    <definedName name="ㅁㅇㄻㅇㄻㅇㄻㅇㄻㅇㄻ" hidden="1">{"부대사업본사업연결자료",#N/A,FALSE,"배후단지및부대사업연결"}</definedName>
    <definedName name="ㅁㅇㅇ" hidden="1">{#N/A,#N/A,FALSE,"조골재"}</definedName>
    <definedName name="ㅁ아아" hidden="1">{#N/A,#N/A,FALSE,"조골재"}</definedName>
    <definedName name="ㅁ앤" hidden="1">{#N/A,#N/A,FALSE,"운반시간"}</definedName>
    <definedName name="ㅁㅍㅊ" localSheetId="0" hidden="1">{#N/A,#N/A,FALSE,"속도"}</definedName>
    <definedName name="ㅁㅍㅊ" hidden="1">{#N/A,#N/A,FALSE,"속도"}</definedName>
    <definedName name="마어루" hidden="1">{#N/A,#N/A,FALSE,"골재소요량";#N/A,#N/A,FALSE,"골재소요량"}</definedName>
    <definedName name="마ㅓㅇ라ㅓㅇㄴㄹ" hidden="1">{#N/A,#N/A,FALSE,"2~8번"}</definedName>
    <definedName name="만득이" localSheetId="0" hidden="1">{#N/A,#N/A,FALSE,"2~8번"}</definedName>
    <definedName name="만득이" hidden="1">{#N/A,#N/A,FALSE,"2~8번"}</definedName>
    <definedName name="말">BlankMacro1</definedName>
    <definedName name="매크로11" localSheetId="14">#REF!</definedName>
    <definedName name="매크로11" localSheetId="32">#REF!</definedName>
    <definedName name="매크로4" localSheetId="14">#REF!</definedName>
    <definedName name="매크로4" localSheetId="32">#REF!</definedName>
    <definedName name="먀ㅐ얼" hidden="1">{#N/A,#N/A,FALSE,"조골재"}</definedName>
    <definedName name="머" localSheetId="0" hidden="1">{"1단계공사비",#N/A,FALSE,"공사비";"2단계공사비",#N/A,FALSE,"공사비"}</definedName>
    <definedName name="머" hidden="1">{"1단계공사비",#N/A,FALSE,"공사비";"2단계공사비",#N/A,FALSE,"공사비"}</definedName>
    <definedName name="먼일" hidden="1">{#N/A,#N/A,FALSE,"골재소요량";#N/A,#N/A,FALSE,"골재소요량"}</definedName>
    <definedName name="몰1">BlankMacro1</definedName>
    <definedName name="몰2">BlankMacro1</definedName>
    <definedName name="몰3">BlankMacro1</definedName>
    <definedName name="몰4">BlankMacro1</definedName>
    <definedName name="몰5">BlankMacro1</definedName>
    <definedName name="몰6">BlankMacro1</definedName>
    <definedName name="몰탈수량">#N/A</definedName>
    <definedName name="무늬석산출" localSheetId="12">BlankMacro1</definedName>
    <definedName name="무늬석산출" localSheetId="13">BlankMacro1</definedName>
    <definedName name="무늬석산출" localSheetId="14">BlankMacro1</definedName>
    <definedName name="무늬석산출" localSheetId="7">BlankMacro1</definedName>
    <definedName name="무늬석산출" localSheetId="32">BlankMacro1</definedName>
    <definedName name="무늬석산출">BlankMacro1</definedName>
    <definedName name="물가" localSheetId="0" hidden="1">{#N/A,#N/A,FALSE,"이태원철근"}</definedName>
    <definedName name="물가" hidden="1">{#N/A,#N/A,FALSE,"이태원철근"}</definedName>
    <definedName name="뭐가이태원이야" localSheetId="0" hidden="1">{#N/A,#N/A,FALSE,"이태원철근"}</definedName>
    <definedName name="뭐가이태원이야" hidden="1">{#N/A,#N/A,FALSE,"이태원철근"}</definedName>
    <definedName name="뭐라카노" localSheetId="0" hidden="1">{#N/A,#N/A,FALSE,"운반시간"}</definedName>
    <definedName name="뭐라카노" hidden="1">{#N/A,#N/A,FALSE,"운반시간"}</definedName>
    <definedName name="뮤라" localSheetId="0" hidden="1">{#N/A,#N/A,FALSE,"조골재"}</definedName>
    <definedName name="뮤라" hidden="1">{#N/A,#N/A,FALSE,"조골재"}</definedName>
    <definedName name="미ㅏ어리ㅣ" hidden="1">{#N/A,#N/A,FALSE,"골재소요량";#N/A,#N/A,FALSE,"골재소요량"}</definedName>
    <definedName name="미ㅓㅇㄴ리" hidden="1">{#N/A,#N/A,FALSE,"운반시간"}</definedName>
    <definedName name="민어리ㅓ" hidden="1">{#N/A,#N/A,FALSE,"조골재"}</definedName>
    <definedName name="ㅂ111" localSheetId="0" hidden="1">{"1단계 투자비명세",#N/A,FALSE,"투자비명세";"2단계 투자비명세",#N/A,FALSE,"투자비명세"}</definedName>
    <definedName name="ㅂ111" hidden="1">{"1단계 투자비명세",#N/A,FALSE,"투자비명세";"2단계 투자비명세",#N/A,FALSE,"투자비명세"}</definedName>
    <definedName name="ㅂ11112" localSheetId="0" hidden="1">{"개업비1",#N/A,FALSE,"개업비";"개업비2",#N/A,FALSE,"개업비";"개업비3",#N/A,FALSE,"개업비";"개업비4",#N/A,FALSE,"개업비"}</definedName>
    <definedName name="ㅂ11112" hidden="1">{"개업비1",#N/A,FALSE,"개업비";"개업비2",#N/A,FALSE,"개업비";"개업비3",#N/A,FALSE,"개업비";"개업비4",#N/A,FALSE,"개업비"}</definedName>
    <definedName name="ㅂ12121" localSheetId="0" hidden="1">{"1단계공사비",#N/A,FALSE,"공사비";"2단계공사비",#N/A,FALSE,"공사비"}</definedName>
    <definedName name="ㅂ12121" hidden="1">{"1단계공사비",#N/A,FALSE,"공사비";"2단계공사비",#N/A,FALSE,"공사비"}</definedName>
    <definedName name="ㅂ34ㅅ" hidden="1">{#N/A,#N/A,FALSE,"운반시간"}</definedName>
    <definedName name="ㅂㄱㄹㄷㅈㅅㄷ4ㅈ" localSheetId="5" hidden="1">#REF!</definedName>
    <definedName name="ㅂㄱㄹㄷㅈㅅㄷ4ㅈ" localSheetId="9" hidden="1">#REF!</definedName>
    <definedName name="ㅂㄱㄹㄷㅈㅅㄷ4ㅈ" localSheetId="8" hidden="1">#REF!</definedName>
    <definedName name="ㅂㄱㄹㄷㅈㅅㄷ4ㅈ" hidden="1">#REF!</definedName>
    <definedName name="ㅂㄴㅊㅂㄴ" hidden="1">#REF!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ㅁㅁㅂㅂㅂ" localSheetId="0" hidden="1">{"부대사업공정율",#N/A,FALSE,"배후단지 및 부대사업"}</definedName>
    <definedName name="ㅂㅁㅁㅂㅂㅂ" hidden="1">{"부대사업공정율",#N/A,FALSE,"배후단지 및 부대사업"}</definedName>
    <definedName name="ㅂㅁㅁㅋ" localSheetId="0" hidden="1">{"공업단지",#N/A,FALSE,"배후단지 및 부대사업"}</definedName>
    <definedName name="ㅂㅁㅁㅋ" hidden="1">{"공업단지",#N/A,FALSE,"배후단지 및 부대사업"}</definedName>
    <definedName name="ㅂㅁㅂㅁ" localSheetId="0" hidden="1">{"개업비1",#N/A,FALSE,"개업비";"개업비2",#N/A,FALSE,"개업비";"개업비3",#N/A,FALSE,"개업비";"개업비4",#N/A,FALSE,"개업비"}</definedName>
    <definedName name="ㅂㅁㅂㅁ" hidden="1">{"개업비1",#N/A,FALSE,"개업비";"개업비2",#N/A,FALSE,"개업비";"개업비3",#N/A,FALSE,"개업비";"개업비4",#N/A,FALSE,"개업비"}</definedName>
    <definedName name="ㅂㅂ" localSheetId="0" hidden="1">{#N/A,#N/A,FALSE,"조골재"}</definedName>
    <definedName name="ㅂㅂ" hidden="1">{#N/A,#N/A,FALSE,"조골재"}</definedName>
    <definedName name="ㅂㅂㅂ" localSheetId="0" hidden="1">{#N/A,#N/A,FALSE,"2~8번"}</definedName>
    <definedName name="ㅂㅂㅂ" hidden="1">{#N/A,#N/A,FALSE,"2~8번"}</definedName>
    <definedName name="ㅂㅂㅂㅂ" localSheetId="0" hidden="1">{"1단계 투자비명세",#N/A,FALSE,"투자비명세";"2단계 투자비명세",#N/A,FALSE,"투자비명세"}</definedName>
    <definedName name="ㅂㅂㅂㅂ" hidden="1">{#N/A,#N/A,FALSE,"운반시간"}</definedName>
    <definedName name="ㅂㅂㅂㅂㅂ" localSheetId="0" hidden="1">{"부대사업공정율",#N/A,FALSE,"배후단지 및 부대사업"}</definedName>
    <definedName name="ㅂ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ㅂ" localSheetId="0" hidden="1">{#N/A,#N/A,FALSE,"민감도"}</definedName>
    <definedName name="ㅂㅂㅂㅂㅂㅂ" hidden="1">{#N/A,#N/A,FALSE,"민감도"}</definedName>
    <definedName name="ㅂㅂㅂㅂㅂㅂㅂㅂ" hidden="1">{#N/A,#N/A,FALSE,"운반시간"}</definedName>
    <definedName name="ㅂㅇㄴㅂㅂ" localSheetId="0" hidden="1">{"배후단지",#N/A,FALSE,"배후단지 및 부대사업"}</definedName>
    <definedName name="ㅂㅇㄴㅂㅂ" hidden="1">{"배후단지",#N/A,FALSE,"배후단지 및 부대사업"}</definedName>
    <definedName name="ㅂㅈ" localSheetId="0" hidden="1">{#N/A,#N/A,FALSE,"2~8번"}</definedName>
    <definedName name="ㅂㅈ" hidden="1">{#N/A,#N/A,FALSE,"2~8번"}</definedName>
    <definedName name="ㅂㅈ_1" localSheetId="0" hidden="1">{#N/A,#N/A,FALSE,"2~8번"}</definedName>
    <definedName name="ㅂㅈ_1" hidden="1">{#N/A,#N/A,FALSE,"2~8번"}</definedName>
    <definedName name="ㅂㅈㄱㄷㅈㅂㄱㅈㄷㅂㄱ" localSheetId="0" hidden="1">{#N/A,#N/A,FALSE,"이정표"}</definedName>
    <definedName name="ㅂㅈㄱㄷㅈㅂㄱㅈㄷㅂㄱ" hidden="1">{#N/A,#N/A,FALSE,"이정표"}</definedName>
    <definedName name="ㅂㅈㄷ" localSheetId="0" hidden="1">{#N/A,#N/A,FALSE,"골재소요량";#N/A,#N/A,FALSE,"골재소요량"}</definedName>
    <definedName name="ㅂㅈㄷ" hidden="1">{#N/A,#N/A,FALSE,"골재소요량";#N/A,#N/A,FALSE,"골재소요량"}</definedName>
    <definedName name="ㅂㅈㄷㄱㅈㅂ" localSheetId="5" hidden="1">#REF!</definedName>
    <definedName name="ㅂㅈㄷㄱㅈㅂ" localSheetId="9" hidden="1">#REF!</definedName>
    <definedName name="ㅂㅈㄷㄱㅈㅂ" localSheetId="8" hidden="1">#REF!</definedName>
    <definedName name="ㅂㅈㄷㄱㅈㅂ" hidden="1">#REF!</definedName>
    <definedName name="ㅂㅈㅁㄴ" localSheetId="0" hidden="1">{"1단계공사비",#N/A,FALSE,"공사비";"2단계공사비",#N/A,FALSE,"공사비"}</definedName>
    <definedName name="ㅂㅈㅁㄴ" hidden="1">{"1단계공사비",#N/A,FALSE,"공사비";"2단계공사비",#N/A,FALSE,"공사비"}</definedName>
    <definedName name="ㅂㅈㅁㄴㅁ" localSheetId="0" hidden="1">{"대출금상환계획",#N/A,FALSE,"추정IS,CF,무상사용"}</definedName>
    <definedName name="ㅂㅈㅁㄴㅁ" hidden="1">{"대출금상환계획",#N/A,FALSE,"추정IS,CF,무상사용"}</definedName>
    <definedName name="ㅂㅈㅂ1212" localSheetId="0" hidden="1">{#N/A,#N/A,FALSE,"민감도"}</definedName>
    <definedName name="ㅂㅈㅂ1212" hidden="1">{#N/A,#N/A,FALSE,"민감도"}</definedName>
    <definedName name="ㅂㅈㅂㅈ" hidden="1">{#N/A,#N/A,FALSE,"골재소요량";#N/A,#N/A,FALSE,"골재소요량"}</definedName>
    <definedName name="ㅂㅈㅂㅈㅁㄴㄴ" localSheetId="0" hidden="1">{"불변현금흐름",#N/A,FALSE,"추정IS,CF,무상사용"}</definedName>
    <definedName name="ㅂㅈㅂㅈㅁㄴㄴ" hidden="1">{"불변현금흐름",#N/A,FALSE,"추정IS,CF,무상사용"}</definedName>
    <definedName name="ㅂㅈㅂㅈㅂㅈㅂ" localSheetId="0" hidden="1">{"부대사업본사업연결자료",#N/A,FALSE,"배후단지및부대사업연결"}</definedName>
    <definedName name="ㅂㅈㅂㅈㅂㅈㅂ" hidden="1">{"부대사업본사업연결자료",#N/A,FALSE,"배후단지및부대사업연결"}</definedName>
    <definedName name="ㅂㅈㅅㄷㅁㅇㄹㄴㅇㄻㄴㅇㄹ" localSheetId="0" hidden="1">{"총괄자금운영표",#N/A,FALSE,"자금운영표";"1단계자금운영표(불변)",#N/A,FALSE,"자금운영표";"2단계자금운영표(불변)",#N/A,FALSE,"자금운영표"}</definedName>
    <definedName name="ㅂㅈㅅㄷㅁㅇㄹㄴㅇㄻㄴㅇㄹ" hidden="1">{"총괄자금운영표",#N/A,FALSE,"자금운영표";"1단계자금운영표(불변)",#N/A,FALSE,"자금운영표";"2단계자금운영표(불변)",#N/A,FALSE,"자금운영표"}</definedName>
    <definedName name="ㅂㅈㅇ" localSheetId="0" hidden="1">{#N/A,#N/A,FALSE,"민감도"}</definedName>
    <definedName name="ㅂㅈㅇ" hidden="1">{#N/A,#N/A,FALSE,"민감도"}</definedName>
    <definedName name="ㅂㅈㅇㄹㅇㄹ" localSheetId="0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ㅂㅈㅇㄹㅇㄹ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ㅂㅈㅇㅁ" localSheetId="0" hidden="1">{"관광단지",#N/A,FALSE,"배후단지 및 부대사업"}</definedName>
    <definedName name="ㅂㅈㅇㅁ" hidden="1">{"관광단지",#N/A,FALSE,"배후단지 및 부대사업"}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" localSheetId="12">BlankMacro1</definedName>
    <definedName name="바" localSheetId="13">BlankMacro1</definedName>
    <definedName name="바" localSheetId="14">BlankMacro1</definedName>
    <definedName name="바" localSheetId="7">BlankMacro1</definedName>
    <definedName name="바" localSheetId="32">BlankMacro1</definedName>
    <definedName name="바">BlankMacro1</definedName>
    <definedName name="방송">BlankMacro1</definedName>
    <definedName name="방음벽" localSheetId="0" hidden="1">{#N/A,#N/A,FALSE,"2~8번"}</definedName>
    <definedName name="방음벽" hidden="1">{#N/A,#N/A,FALSE,"2~8번"}</definedName>
    <definedName name="방음벽1" localSheetId="0" hidden="1">{#N/A,#N/A,FALSE,"운반시간"}</definedName>
    <definedName name="방음벽1" hidden="1">{#N/A,#N/A,FALSE,"운반시간"}</definedName>
    <definedName name="방지턱간지">BlankMacro1</definedName>
    <definedName name="배관공수율" hidden="1">#REF!</definedName>
    <definedName name="배수깨기">#N/A</definedName>
    <definedName name="배수깨기..">#N/A</definedName>
    <definedName name="백호우0.4" localSheetId="0" hidden="1">{#N/A,#N/A,FALSE,"현장 NCR 분석";#N/A,#N/A,FALSE,"현장품질감사";#N/A,#N/A,FALSE,"현장품질감사"}</definedName>
    <definedName name="백호우0.4" hidden="1">{#N/A,#N/A,FALSE,"현장 NCR 분석";#N/A,#N/A,FALSE,"현장품질감사";#N/A,#N/A,FALSE,"현장품질감사"}</definedName>
    <definedName name="버" localSheetId="0" hidden="1">{"공업단지",#N/A,FALSE,"배후단지 및 부대사업"}</definedName>
    <definedName name="버" hidden="1">{"공업단지",#N/A,FALSE,"배후단지 및 부대사업"}</definedName>
    <definedName name="벌개제근공" localSheetId="0" hidden="1">{#N/A,#N/A,FALSE,"현장 NCR 분석";#N/A,#N/A,FALSE,"현장품질감사";#N/A,#N/A,FALSE,"현장품질감사"}</definedName>
    <definedName name="벌개제근공" hidden="1">{#N/A,#N/A,FALSE,"현장 NCR 분석";#N/A,#N/A,FALSE,"현장품질감사";#N/A,#N/A,FALSE,"현장품질감사"}</definedName>
    <definedName name="벽체1" localSheetId="0" hidden="1">{#N/A,#N/A,FALSE,"혼합골재"}</definedName>
    <definedName name="벽체1" hidden="1">{#N/A,#N/A,FALSE,"혼합골재"}</definedName>
    <definedName name="변경" localSheetId="0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예정공정표" localSheetId="0" hidden="1">{"공업단지",#N/A,FALSE,"배후단지 및 부대사업"}</definedName>
    <definedName name="변경예정공정표" hidden="1">{"공업단지",#N/A,FALSE,"배후단지 및 부대사업"}</definedName>
    <definedName name="보도" localSheetId="0" hidden="1">{#N/A,#N/A,FALSE,"골재소요량";#N/A,#N/A,FALSE,"골재소요량"}</definedName>
    <definedName name="보도" hidden="1">{#N/A,#N/A,FALSE,"골재소요량";#N/A,#N/A,FALSE,"골재소요량"}</definedName>
    <definedName name="보도경계석" localSheetId="0" hidden="1">{#N/A,#N/A,FALSE,"운반시간"}</definedName>
    <definedName name="보도경계석" hidden="1">{#N/A,#N/A,FALSE,"운반시간"}</definedName>
    <definedName name="보도깨기" hidden="1">{#N/A,#N/A,FALSE,"운반시간"}</definedName>
    <definedName name="보성토공">#N/A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조기층두께">0.2</definedName>
    <definedName name="부대건축2" localSheetId="0" hidden="1">#REF!</definedName>
    <definedName name="부대건축2" hidden="1">#REF!</definedName>
    <definedName name="부대공총괄수량집계" localSheetId="0" hidden="1">{#N/A,#N/A,FALSE,"2~8번"}</definedName>
    <definedName name="부대공총괄수량집계" hidden="1">{#N/A,#N/A,FALSE,"2~8번"}</definedName>
    <definedName name="부손익" localSheetId="0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분" localSheetId="0" hidden="1">{#N/A,#N/A,FALSE,"이태원철근"}</definedName>
    <definedName name="분" hidden="1">{#N/A,#N/A,FALSE,"이태원철근"}</definedName>
    <definedName name="분당협조" localSheetId="0" hidden="1">{#N/A,#N/A,FALSE,"이태원철근"}</definedName>
    <definedName name="분당협조" hidden="1">{#N/A,#N/A,FALSE,"이태원철근"}</definedName>
    <definedName name="분전반">BlankMacro1</definedName>
    <definedName name="분전반1">BlankMacro1</definedName>
    <definedName name="붙임자료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붙임자료" hidden="1">{"'정산내역서'!$A$1:$I$35","'정산서(절.성토부)'!$A$1:$Q$17","'정산서(교량부)'!$A$1:$Q$84","'총괄표'!$A$1:$M$12","'시행현황'!$A$1:$G$12","'표지'!$A$1:$N$27","'정산서(절.성토부)'!$A$3:$Q$7"}</definedName>
    <definedName name="비상부하계산">#N/A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ㅅㄱㅈ" localSheetId="5" hidden="1">#REF!</definedName>
    <definedName name="ㅅㄱㅈ" localSheetId="9" hidden="1">#REF!</definedName>
    <definedName name="ㅅㄱㅈ" localSheetId="8" hidden="1">#REF!</definedName>
    <definedName name="ㅅㄱㅈ" hidden="1">#REF!</definedName>
    <definedName name="ㅅㅅ" localSheetId="5" hidden="1">#REF!</definedName>
    <definedName name="ㅅㅅ" localSheetId="9" hidden="1">#REF!</definedName>
    <definedName name="ㅅㅅ" localSheetId="8" hidden="1">#REF!</definedName>
    <definedName name="ㅅㅅ" hidden="1">#REF!</definedName>
    <definedName name="ㅅㅅㄱㄱㄱ" localSheetId="0" hidden="1">{"부대사업공정율",#N/A,FALSE,"배후단지 및 부대사업"}</definedName>
    <definedName name="ㅅㅅㄱㄱㄱ" hidden="1">{"부대사업공정율",#N/A,FALSE,"배후단지 및 부대사업"}</definedName>
    <definedName name="ㅅㅅㅅㅅ" localSheetId="0" hidden="1">{#N/A,#N/A,FALSE,"배당분석"}</definedName>
    <definedName name="ㅅㅅㅅㅅ" hidden="1">{#N/A,#N/A,FALSE,"배당분석"}</definedName>
    <definedName name="ㅅ소소소솟" localSheetId="0" hidden="1">{"장비보유1",#N/A,FALSE,"장비보유현황";"장비보유2",#N/A,FALSE,"장비보유현황"}</definedName>
    <definedName name="ㅅ소소소솟" hidden="1">{"장비보유1",#N/A,FALSE,"장비보유현황";"장비보유2",#N/A,FALSE,"장비보유현황"}</definedName>
    <definedName name="ㅅㅎㄱㄷㅅㄷㄱ" localSheetId="0" hidden="1">{#N/A,#N/A,FALSE,"표지목차"}</definedName>
    <definedName name="ㅅㅎㄱㄷㅅㄷㄱ" hidden="1">{#N/A,#N/A,FALSE,"표지목차"}</definedName>
    <definedName name="사랑" localSheetId="0" hidden="1">#REF!</definedName>
    <definedName name="사랑" hidden="1">#REF!</definedName>
    <definedName name="산" localSheetId="0" hidden="1">{#N/A,#N/A,FALSE,"전력간선"}</definedName>
    <definedName name="산" hidden="1">{#N/A,#N/A,FALSE,"전력간선"}</definedName>
    <definedName name="산사태" localSheetId="0" hidden="1">{#N/A,#N/A,FALSE,"Sheet1"}</definedName>
    <definedName name="산사태" hidden="1">{#N/A,#N/A,FALSE,"Sheet1"}</definedName>
    <definedName name="산사태도급" localSheetId="0" hidden="1">{#N/A,#N/A,FALSE,"Sheet1"}</definedName>
    <definedName name="산사태도급" hidden="1">{#N/A,#N/A,FALSE,"Sheet1"}</definedName>
    <definedName name="산출1">#N/A</definedName>
    <definedName name="산출3">#N/A</definedName>
    <definedName name="산출근거">BlankMacro1</definedName>
    <definedName name="산출일위대가통신">BlankMacro1</definedName>
    <definedName name="새공통" localSheetId="0" hidden="1">{#N/A,#N/A,FALSE,"이태원철근"}</definedName>
    <definedName name="새공통" hidden="1">{#N/A,#N/A,FALSE,"이태원철근"}</definedName>
    <definedName name="새로만등" localSheetId="0" hidden="1">{"1단계 투자비명세",#N/A,FALSE,"투자비명세";"2단계 투자비명세",#N/A,FALSE,"투자비명세"}</definedName>
    <definedName name="새로만등" hidden="1">{"1단계 투자비명세",#N/A,FALSE,"투자비명세";"2단계 투자비명세",#N/A,FALSE,"투자비명세"}</definedName>
    <definedName name="새만득이" localSheetId="0" hidden="1">{#N/A,#N/A,FALSE,"2~8번"}</definedName>
    <definedName name="새만득이" hidden="1">{#N/A,#N/A,FALSE,"2~8번"}</definedName>
    <definedName name="새이름" localSheetId="5" hidden="1">#REF!</definedName>
    <definedName name="새이름" localSheetId="9" hidden="1">#REF!</definedName>
    <definedName name="새이름" localSheetId="8" hidden="1">#REF!</definedName>
    <definedName name="새이름" hidden="1">#REF!</definedName>
    <definedName name="선택층두께">0.2</definedName>
    <definedName name="설계단면력요약.SAP90Work">#N/A</definedName>
    <definedName name="설계설명" localSheetId="0" hidden="1">#REF!</definedName>
    <definedName name="설계설명" hidden="1">#REF!</definedName>
    <definedName name="설비" localSheetId="0" hidden="1">{#N/A,#N/A,FALSE,"이태원철근"}</definedName>
    <definedName name="설비" hidden="1">{#N/A,#N/A,FALSE,"이태원철근"}</definedName>
    <definedName name="성토과재" localSheetId="0" hidden="1">{#N/A,#N/A,FALSE,"조골재"}</definedName>
    <definedName name="성토과재" hidden="1">{#N/A,#N/A,FALSE,"조골재"}</definedName>
    <definedName name="세륜세차" localSheetId="5" hidden="1">#REF!</definedName>
    <definedName name="세륜세차" localSheetId="9" hidden="1">#REF!</definedName>
    <definedName name="세륜세차" localSheetId="8" hidden="1">#REF!</definedName>
    <definedName name="세륜세차" hidden="1">#REF!</definedName>
    <definedName name="셔ㅛ" localSheetId="0" hidden="1">{#N/A,#N/A,FALSE,"운반시간"}</definedName>
    <definedName name="셔ㅛ" hidden="1">{#N/A,#N/A,FALSE,"운반시간"}</definedName>
    <definedName name="소방내역">BlankMacro1</definedName>
    <definedName name="소방내역서">BlankMacro1</definedName>
    <definedName name="소소소소소솟" localSheetId="0" hidden="1">{"장비보유",#N/A,FALSE,"장비소요"}</definedName>
    <definedName name="소소소소소솟" hidden="1">{"장비보유",#N/A,FALSE,"장비소요"}</definedName>
    <definedName name="소소소솟" localSheetId="0" hidden="1">{"총괄자금운영표",#N/A,FALSE,"자금운영표";"1단계자금운영표(불변)",#N/A,FALSE,"자금운영표";"2단계자금운영표(불변)",#N/A,FALSE,"자금운영표"}</definedName>
    <definedName name="소소소솟" hidden="1">{"총괄자금운영표",#N/A,FALSE,"자금운영표";"1단계자금운영표(불변)",#N/A,FALSE,"자금운영표";"2단계자금운영표(불변)",#N/A,FALSE,"자금운영표"}</definedName>
    <definedName name="소솟" localSheetId="0" hidden="1">{"운영수익1",#N/A,FALSE,"운영수익";"운영수익2",#N/A,FALSE,"운영수익";"운영수익3",#N/A,FALSE,"운영수익"}</definedName>
    <definedName name="소솟" hidden="1">{"운영수익1",#N/A,FALSE,"운영수익";"운영수익2",#N/A,FALSE,"운영수익";"운영수익3",#N/A,FALSE,"운영수익"}</definedName>
    <definedName name="손영주" localSheetId="0" hidden="1">{#N/A,#N/A,FALSE,"조골재"}</definedName>
    <definedName name="손영주" hidden="1">{#N/A,#N/A,FALSE,"조골재"}</definedName>
    <definedName name="쇼ㅗ솟" localSheetId="0" hidden="1">{"운영설비비1",#N/A,FALSE,"운영설비비";"운영설비비2",#N/A,FALSE,"운영설비비"}</definedName>
    <definedName name="쇼ㅗ솟" hidden="1">{"운영설비비1",#N/A,FALSE,"운영설비비";"운영설비비2",#N/A,FALSE,"운영설비비"}</definedName>
    <definedName name="수" localSheetId="0" hidden="1">#REF!</definedName>
    <definedName name="수" hidden="1">#REF!</definedName>
    <definedName name="수량산출2">BlankMacro1</definedName>
    <definedName name="수량산출5">BlankMacro1</definedName>
    <definedName name="수량산출서표지">BlankMacro1</definedName>
    <definedName name="승용교" localSheetId="0" hidden="1">{#N/A,#N/A,FALSE,"2~8번"}</definedName>
    <definedName name="승용교" hidden="1">{#N/A,#N/A,FALSE,"2~8번"}</definedName>
    <definedName name="시멘트">BlankMacro1</definedName>
    <definedName name="시멘트6">BlankMacro1</definedName>
    <definedName name="시선유도">{"Book1","부대-(표지판,데리,가드).xls","부대-(낙,차,중분대).xls"}</definedName>
    <definedName name="시설물토공" localSheetId="0" hidden="1">{#N/A,#N/A,FALSE,"2~8번"}</definedName>
    <definedName name="시설물토공" hidden="1">{#N/A,#N/A,FALSE,"2~8번"}</definedName>
    <definedName name="시행" localSheetId="0" hidden="1">{#N/A,#N/A,FALSE,"이태원철근"}</definedName>
    <definedName name="시행" hidden="1">{#N/A,#N/A,FALSE,"이태원철근"}</definedName>
    <definedName name="식재공" localSheetId="0" hidden="1">{#N/A,#N/A,FALSE,"조골재"}</definedName>
    <definedName name="식재공" hidden="1">{#N/A,#N/A,FALSE,"조골재"}</definedName>
    <definedName name="식재이식삽도" localSheetId="0" hidden="1">{#N/A,#N/A,FALSE,"운반시간"}</definedName>
    <definedName name="식재이식삽도" hidden="1">{#N/A,#N/A,FALSE,"운반시간"}</definedName>
    <definedName name="실시설계용역비변경내역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실시설계용역비변경내역" hidden="1">{"'정산내역서'!$A$1:$I$35","'정산서(절.성토부)'!$A$1:$Q$17","'정산서(교량부)'!$A$1:$Q$84","'총괄표'!$A$1:$M$12","'시행현황'!$A$1:$G$12","'표지'!$A$1:$N$27","'정산서(절.성토부)'!$A$3:$Q$7"}</definedName>
    <definedName name="ㅇ" localSheetId="0" hidden="1">{#N/A,#N/A,FALSE,"2~8번"}</definedName>
    <definedName name="ㅇ" hidden="1">{#N/A,#N/A,FALSE,"2~8번"}</definedName>
    <definedName name="ㅇ1121ㅂㅂ" localSheetId="0" hidden="1">{"대출금상환계획",#N/A,FALSE,"추정IS,CF,무상사용"}</definedName>
    <definedName name="ㅇ1121ㅂㅂ" hidden="1">{"대출금상환계획",#N/A,FALSE,"추정IS,CF,무상사용"}</definedName>
    <definedName name="ㅇ1212121" localSheetId="0" hidden="1">{"관광단지",#N/A,FALSE,"배후단지 및 부대사업"}</definedName>
    <definedName name="ㅇ1212121" hidden="1">{"관광단지",#N/A,FALSE,"배후단지 및 부대사업"}</definedName>
    <definedName name="ㅇㄴㄴㄴㄴㄴㄴㄴㄴㄴ" localSheetId="0" hidden="1">{#N/A,#N/A,FALSE,"혼합골재"}</definedName>
    <definedName name="ㅇㄴㄴㄴㄴㄴㄴㄴㄴㄴ" hidden="1">{#N/A,#N/A,FALSE,"혼합골재"}</definedName>
    <definedName name="ㅇㄴㄴㅇ" localSheetId="0" hidden="1">{"운영설비비1",#N/A,FALSE,"운영설비비";"운영설비비2",#N/A,FALSE,"운영설비비"}</definedName>
    <definedName name="ㅇㄴㄴㅇ" hidden="1">{"운영설비비1",#N/A,FALSE,"운영설비비";"운영설비비2",#N/A,FALSE,"운영설비비"}</definedName>
    <definedName name="ㅇㄴㄹㄹㄴㄹㄹ" localSheetId="0" hidden="1">{#N/A,#N/A,FALSE,"운반시간"}</definedName>
    <definedName name="ㅇㄴㄹㄹㄴㄹㄹ" hidden="1">{#N/A,#N/A,FALSE,"운반시간"}</definedName>
    <definedName name="ㅇㄴㅁㅁㅁ" hidden="1">{#N/A,#N/A,FALSE,"2~8번"}</definedName>
    <definedName name="ㅇㄴㅇㄴㅇ" hidden="1">{#N/A,#N/A,FALSE,"조골재"}</definedName>
    <definedName name="ㅇㄴㅇㅁㄴ" hidden="1">{#N/A,#N/A,FALSE,"2~8번"}</definedName>
    <definedName name="ㅇㄴㅇㅇ" hidden="1">{#N/A,#N/A,FALSE,"운반시간"}</definedName>
    <definedName name="ㅇ니ㅓ리" hidden="1">{#N/A,#N/A,FALSE,"2~8번"}</definedName>
    <definedName name="ㅇㄷㅇㄷ" localSheetId="0" hidden="1">{#N/A,#N/A,FALSE,"배당분석"}</definedName>
    <definedName name="ㅇㄷㅇㄷ" hidden="1">{#N/A,#N/A,FALSE,"배당분석"}</definedName>
    <definedName name="ㅇㄹ" localSheetId="0" hidden="1">{#N/A,#N/A,FALSE,"조골재"}</definedName>
    <definedName name="ㅇㄹ" hidden="1">{#N/A,#N/A,FALSE,"골재소요량";#N/A,#N/A,FALSE,"골재소요량"}</definedName>
    <definedName name="ㅇㄹㄴㅀㄹㅇㅎㄹㅇㅎ" localSheetId="0" hidden="1">{#N/A,#N/A,FALSE,"2~8번"}</definedName>
    <definedName name="ㅇㄹㄴㅀㄹㅇㅎㄹㅇㅎ" hidden="1">{#N/A,#N/A,FALSE,"2~8번"}</definedName>
    <definedName name="ㅇㄹㄴㅇㄹㄴㄹ">#N/A</definedName>
    <definedName name="ㅇㄹㄶㄴㅁ" hidden="1">#REF!</definedName>
    <definedName name="ㅇㄹㄹ" localSheetId="0" hidden="1">#REF!</definedName>
    <definedName name="ㅇㄹㄹ" hidden="1">#REF!</definedName>
    <definedName name="ㅇㄹㄹㄴㅇㄹㅇㄹㄴㅇ" localSheetId="0" hidden="1">#REF!</definedName>
    <definedName name="ㅇㄹㄹㄴㅇㄹㅇㄹㄴㅇ" localSheetId="5" hidden="1">#REF!</definedName>
    <definedName name="ㅇㄹㄹㄴㅇㄹㅇㄹㄴㅇ" localSheetId="9" hidden="1">#REF!</definedName>
    <definedName name="ㅇㄹㄹㄴㅇㄹㅇㄹㄴㅇ" localSheetId="8" hidden="1">#REF!</definedName>
    <definedName name="ㅇㄹㄹㄴㅇㄹㅇㄹㄴㅇ" hidden="1">#REF!</definedName>
    <definedName name="ㅇㄹㄹㄹㄹㄹㄹㄹㄹ">#N/A</definedName>
    <definedName name="ㅇㄹㄹㅇ" localSheetId="0" hidden="1">{#N/A,#N/A,FALSE,"2~8번"}</definedName>
    <definedName name="ㅇㄹㄹㅇ" hidden="1">{#N/A,#N/A,FALSE,"2~8번"}</definedName>
    <definedName name="ㅇㄹㄹㅇㄹ" localSheetId="0" hidden="1">{"불변현금흐름",#N/A,FALSE,"추정IS,CF,무상사용"}</definedName>
    <definedName name="ㅇㄹㄹㅇㄹ" hidden="1">{"불변현금흐름",#N/A,FALSE,"추정IS,CF,무상사용"}</definedName>
    <definedName name="ㅇㄹㅇ" localSheetId="0" hidden="1">{#N/A,#N/A,FALSE,"운반시간"}</definedName>
    <definedName name="ㅇㄹㅇ" hidden="1">{#N/A,#N/A,FALSE,"운반시간"}</definedName>
    <definedName name="ㅇㄹㅇㄹ" localSheetId="5" hidden="1">#REF!</definedName>
    <definedName name="ㅇㄹㅇㄹ" localSheetId="9" hidden="1">#REF!</definedName>
    <definedName name="ㅇㄹㅇㄹ" localSheetId="8" hidden="1">#REF!</definedName>
    <definedName name="ㅇㄹㅇㄹ" hidden="1">#REF!</definedName>
    <definedName name="ㅇㄹㅇㄹㅇㄹ" localSheetId="0" hidden="1">{"공업단지",#N/A,FALSE,"배후단지 및 부대사업"}</definedName>
    <definedName name="ㅇㄹㅇㄹㅇㄹ" hidden="1">{"공업단지",#N/A,FALSE,"배후단지 및 부대사업"}</definedName>
    <definedName name="ㅇㄹㅇㄹㅇㄹㅇㄹㅇㄹ" localSheetId="0" hidden="1">{"관광단지",#N/A,FALSE,"배후단지 및 부대사업"}</definedName>
    <definedName name="ㅇㄹㅇㄹㅇㄹㅇㄹㅇㄹ" hidden="1">{"관광단지",#N/A,FALSE,"배후단지 및 부대사업"}</definedName>
    <definedName name="ㅇㄹㅇㄹㅇㄹㅇㄹㅇㄹㅇ" localSheetId="0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ㅇㄹㅇㄹㅇㄹㅇㄹㅇㄹㅇ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ㅇㄹㅇㄹㅇㄹㅇㄹㅇㄹㅇㄹ" localSheetId="0" hidden="1">{"1단계 투자비명세",#N/A,FALSE,"투자비명세";"2단계 투자비명세",#N/A,FALSE,"투자비명세"}</definedName>
    <definedName name="ㅇㄹㅇㄹㅇㄹㅇㄹㅇㄹㅇㄹ" hidden="1">{"1단계 투자비명세",#N/A,FALSE,"투자비명세";"2단계 투자비명세",#N/A,FALSE,"투자비명세"}</definedName>
    <definedName name="ㅇㄹㅇㄹㅇㅁㅇㄻㄻ" localSheetId="0" hidden="1">{"대출금상환계획",#N/A,FALSE,"추정IS,CF,무상사용"}</definedName>
    <definedName name="ㅇㄹㅇㄹㅇㅁㅇㄻㄻ" hidden="1">{"대출금상환계획",#N/A,FALSE,"추정IS,CF,무상사용"}</definedName>
    <definedName name="ㅇ러알ㅇㄹㅇㄹ" localSheetId="5" hidden="1">#REF!</definedName>
    <definedName name="ㅇ러알ㅇㄹㅇㄹ" localSheetId="9" hidden="1">#REF!</definedName>
    <definedName name="ㅇ러알ㅇㄹㅇㄹ" localSheetId="8" hidden="1">#REF!</definedName>
    <definedName name="ㅇ러알ㅇㄹㅇㄹ" hidden="1">#REF!</definedName>
    <definedName name="ㅇㄻㄴㅋㄻㅈㅇㄻㄴㅇㄹ" localSheetId="0" hidden="1">{"장비보유",#N/A,FALSE,"장비소요"}</definedName>
    <definedName name="ㅇㄻㄴㅋㄻㅈㅇㄻㄴㅇㄹ" hidden="1">{"장비보유",#N/A,FALSE,"장비소요"}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ㅎㅎㅎㅎㅎㅎㅎㅎㅎㅎㅎㅎㅎㅎㅎ" localSheetId="0" hidden="1">{#N/A,#N/A,FALSE,"구조2"}</definedName>
    <definedName name="ㅇㅀㅎㅎㅎㅎㅎㅎㅎㅎㅎㅎㅎㅎㅎㅎㅎ" hidden="1">{#N/A,#N/A,FALSE,"구조2"}</definedName>
    <definedName name="ㅇㅁㄴㄻㄴㅇㄻㄴㅇㄻㄴㅇㄻㄴㄹㅇㄻㅇㄻㅇㄴㄹ" hidden="1">{#N/A,#N/A,FALSE,"조골재"}</definedName>
    <definedName name="ㅇㅁㄴㅇ" localSheetId="0" hidden="1">{#N/A,#N/A,FALSE,"2~8번"}</definedName>
    <definedName name="ㅇㅁㄴㅇ" hidden="1">{#N/A,#N/A,FALSE,"2~8번"}</definedName>
    <definedName name="ㅇㅁㄴㅇㄻㄴㅇㄻㄴㅇㄻㄴㅇㄹ" hidden="1">{#N/A,#N/A,FALSE,"골재소요량";#N/A,#N/A,FALSE,"골재소요량"}</definedName>
    <definedName name="ㅇㅁ니ㅓㅇㄹ" hidden="1">{#N/A,#N/A,FALSE,"조골재"}</definedName>
    <definedName name="ㅇㅁㅇㅁ" hidden="1">{#N/A,#N/A,FALSE,"2~8번"}</definedName>
    <definedName name="ㅇㅁㅎㄻㅍㅊ" localSheetId="0" hidden="1">{"장비보유1",#N/A,FALSE,"장비보유현황";"장비보유2",#N/A,FALSE,"장비보유현황"}</definedName>
    <definedName name="ㅇㅁㅎㄻㅍㅊ" hidden="1">{"장비보유1",#N/A,FALSE,"장비보유현황";"장비보유2",#N/A,FALSE,"장비보유현황"}</definedName>
    <definedName name="ㅇㅂㅈㅇㅂ" localSheetId="0" hidden="1">{"개업비1",#N/A,FALSE,"개업비";"개업비2",#N/A,FALSE,"개업비";"개업비3",#N/A,FALSE,"개업비";"개업비4",#N/A,FALSE,"개업비"}</definedName>
    <definedName name="ㅇㅂㅈㅇㅂ" hidden="1">{"개업비1",#N/A,FALSE,"개업비";"개업비2",#N/A,FALSE,"개업비";"개업비3",#N/A,FALSE,"개업비";"개업비4",#N/A,FALSE,"개업비"}</definedName>
    <definedName name="ㅇㅇ" localSheetId="5" hidden="1">#REF!</definedName>
    <definedName name="ㅇㅇ" localSheetId="9" hidden="1">#REF!</definedName>
    <definedName name="ㅇㅇ" localSheetId="8" hidden="1">#REF!</definedName>
    <definedName name="ㅇㅇ" hidden="1">#REF!</definedName>
    <definedName name="ㅇㅇ011" hidden="1">{#N/A,#N/A,FALSE,"조골재"}</definedName>
    <definedName name="ㅇㅇ1212" localSheetId="0" hidden="1">{"부대사업수익총괄",#N/A,FALSE,"배후단지 및 부대사업"}</definedName>
    <definedName name="ㅇㅇ1212" hidden="1">{"부대사업수익총괄",#N/A,FALSE,"배후단지 및 부대사업"}</definedName>
    <definedName name="ㅇㅇㄴ" localSheetId="5" hidden="1">#REF!</definedName>
    <definedName name="ㅇㅇㄴ" localSheetId="9" hidden="1">#REF!</definedName>
    <definedName name="ㅇㅇㄴ" localSheetId="8" hidden="1">#REF!</definedName>
    <definedName name="ㅇㅇㄴ" hidden="1">#REF!</definedName>
    <definedName name="ㅇㅇㄴㄴ" localSheetId="0" hidden="1">{"개업비1",#N/A,FALSE,"개업비";"개업비2",#N/A,FALSE,"개업비";"개업비3",#N/A,FALSE,"개업비";"개업비4",#N/A,FALSE,"개업비"}</definedName>
    <definedName name="ㅇㅇㄴㄴ" hidden="1">{"개업비1",#N/A,FALSE,"개업비";"개업비2",#N/A,FALSE,"개업비";"개업비3",#N/A,FALSE,"개업비";"개업비4",#N/A,FALSE,"개업비"}</definedName>
    <definedName name="ㅇㅇㄹ" localSheetId="5" hidden="1">#REF!</definedName>
    <definedName name="ㅇㅇㄹ" localSheetId="9" hidden="1">#REF!</definedName>
    <definedName name="ㅇㅇㄹ" localSheetId="8" hidden="1">#REF!</definedName>
    <definedName name="ㅇㅇㄹ" hidden="1">#REF!</definedName>
    <definedName name="ㅇㅇㅇ1121" localSheetId="0" hidden="1">{"배후단지",#N/A,FALSE,"배후단지 및 부대사업"}</definedName>
    <definedName name="ㅇㅇㅇ1121" hidden="1">{"배후단지",#N/A,FALSE,"배후단지 및 부대사업"}</definedName>
    <definedName name="ㅇㅇㅇㅇ" localSheetId="0" hidden="1">#REF!</definedName>
    <definedName name="ㅇㅇㅇㅇ" localSheetId="5" hidden="1">#REF!</definedName>
    <definedName name="ㅇㅇㅇㅇ" localSheetId="9" hidden="1">#REF!</definedName>
    <definedName name="ㅇㅇㅇㅇ" localSheetId="8" hidden="1">#REF!</definedName>
    <definedName name="ㅇㅇㅇㅇ" hidden="1">#REF!</definedName>
    <definedName name="ㅇㅇㅇㅇㅇ" localSheetId="0" hidden="1">{#N/A,#N/A,FALSE,"혼합골재"}</definedName>
    <definedName name="ㅇㅇㅇㅇㅇ" hidden="1">{#N/A,#N/A,FALSE,"혼합골재"}</definedName>
    <definedName name="ㅇㅇㅇㅇㅇㄹ" localSheetId="0" hidden="1">{"부대사업수익총괄",#N/A,FALSE,"배후단지 및 부대사업"}</definedName>
    <definedName name="ㅇㅇㅇㅇㅇㄹ" hidden="1">{"부대사업수익총괄",#N/A,FALSE,"배후단지 및 부대사업"}</definedName>
    <definedName name="ㅇㅇㅇㅇㅇㅇ" localSheetId="0" hidden="1">{#N/A,#N/A,FALSE,"조골재"}</definedName>
    <definedName name="ㅇㅇㅇㅇㅇㅇ" hidden="1">{#N/A,#N/A,FALSE,"조골재"}</definedName>
    <definedName name="ㅇㅇㅇㅇㅇㅇㅇㅇㅇ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ㅇㅇㅇㅇㅇㅇㅇㅇㅇ" hidden="1">{"'정산내역서'!$A$1:$I$35","'정산서(절.성토부)'!$A$1:$Q$17","'정산서(교량부)'!$A$1:$Q$84","'총괄표'!$A$1:$M$12","'시행현황'!$A$1:$G$12","'표지'!$A$1:$N$27","'정산서(절.성토부)'!$A$3:$Q$7"}</definedName>
    <definedName name="ㅇㅊㅍㅍㅊㅌㅍㅊㅌㅍㅌ" localSheetId="0" hidden="1">#REF!</definedName>
    <definedName name="ㅇㅊㅍㅍㅊㅌㅍㅊㅌㅍㅌ" localSheetId="5" hidden="1">#REF!</definedName>
    <definedName name="ㅇㅊㅍㅍㅊㅌㅍㅊㅌㅍㅌ" localSheetId="9" hidden="1">#REF!</definedName>
    <definedName name="ㅇㅊㅍㅍㅊㅌㅍㅊㅌㅍㅌ" localSheetId="8" hidden="1">#REF!</definedName>
    <definedName name="ㅇㅊㅍㅍㅊㅌㅍㅊㅌㅍㅌ" hidden="1">#REF!</definedName>
    <definedName name="ㅇㅎㅁㄴ" localSheetId="5" hidden="1">#REF!</definedName>
    <definedName name="ㅇㅎㅁㄴ" localSheetId="9" hidden="1">#REF!</definedName>
    <definedName name="ㅇㅎㅁㄴ" localSheetId="8" hidden="1">#REF!</definedName>
    <definedName name="ㅇㅎㅁㄴ" hidden="1">#REF!</definedName>
    <definedName name="아늘믿">BlankMacro1</definedName>
    <definedName name="아니">BlankMacro1</definedName>
    <definedName name="아다">BlankMacro1</definedName>
    <definedName name="아디">BlankMacro1</definedName>
    <definedName name="아서">BlankMacro1</definedName>
    <definedName name="아스콘깨기" localSheetId="0" hidden="1">{#N/A,#N/A,FALSE,"골재소요량";#N/A,#N/A,FALSE,"골재소요량"}</definedName>
    <definedName name="아스콘깨기" hidden="1">{#N/A,#N/A,FALSE,"골재소요량";#N/A,#N/A,FALSE,"골재소요량"}</definedName>
    <definedName name="암거" localSheetId="0" hidden="1">{#N/A,#N/A,FALSE,"골재소요량";#N/A,#N/A,FALSE,"골재소요량"}</definedName>
    <definedName name="암거" hidden="1">{#N/A,#N/A,FALSE,"골재소요량";#N/A,#N/A,FALSE,"골재소요량"}</definedName>
    <definedName name="암거공1" localSheetId="0" hidden="1">#REF!</definedName>
    <definedName name="암거공1" hidden="1">#REF!</definedName>
    <definedName name="암거날개벽" localSheetId="5" hidden="1">#REF!</definedName>
    <definedName name="암거날개벽" localSheetId="9" hidden="1">#REF!</definedName>
    <definedName name="암거날개벽" localSheetId="8" hidden="1">#REF!</definedName>
    <definedName name="암거날개벽" hidden="1">#REF!</definedName>
    <definedName name="야외무대2" localSheetId="0" hidden="1">{#N/A,#N/A,FALSE,"운반시간"}</definedName>
    <definedName name="야외무대2" hidden="1">{#N/A,#N/A,FALSE,"운반시간"}</definedName>
    <definedName name="억이상" localSheetId="0" hidden="1">{#N/A,#N/A,FALSE,"2~8번"}</definedName>
    <definedName name="억이상" hidden="1">{#N/A,#N/A,FALSE,"2~8번"}</definedName>
    <definedName name="엄마">#N/A</definedName>
    <definedName name="업체" localSheetId="0" hidden="1">#REF!</definedName>
    <definedName name="업체" hidden="1">#REF!</definedName>
    <definedName name="연결관집계표" localSheetId="12">BlankMacro1</definedName>
    <definedName name="연결관집계표" localSheetId="13">BlankMacro1</definedName>
    <definedName name="연결관집계표" localSheetId="14">BlankMacro1</definedName>
    <definedName name="연결관집계표" localSheetId="7">BlankMacro1</definedName>
    <definedName name="연결관집계표" localSheetId="32">BlankMacro1</definedName>
    <definedName name="연결관집계표">BlankMacro1</definedName>
    <definedName name="연습" localSheetId="0" hidden="1">{#N/A,#N/A,FALSE,"현장 NCR 분석";#N/A,#N/A,FALSE,"현장품질감사";#N/A,#N/A,FALSE,"현장품질감사"}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집계" localSheetId="12">BlankMacro1</definedName>
    <definedName name="연집계" localSheetId="13">BlankMacro1</definedName>
    <definedName name="연집계" localSheetId="14">BlankMacro1</definedName>
    <definedName name="연집계" localSheetId="7">BlankMacro1</definedName>
    <definedName name="연집계" localSheetId="32">BlankMacro1</definedName>
    <definedName name="연집계">BlankMacro1</definedName>
    <definedName name="영사실">BlankMacro1</definedName>
    <definedName name="영시스템" localSheetId="5" hidden="1">#REF!</definedName>
    <definedName name="영시스템" localSheetId="9" hidden="1">#REF!</definedName>
    <definedName name="영시스템" localSheetId="8" hidden="1">#REF!</definedName>
    <definedName name="영시스템" hidden="1">#REF!</definedName>
    <definedName name="오수2호" hidden="1">{#N/A,#N/A,FALSE,"단가표지"}</definedName>
    <definedName name="오수맨홀2호수량" hidden="1">{#N/A,#N/A,FALSE,"골재소요량";#N/A,#N/A,FALSE,"골재소요량"}</definedName>
    <definedName name="오수연결관">#N/A</definedName>
    <definedName name="옥외공사" localSheetId="0" hidden="1">{#N/A,#N/A,FALSE,"이태원철근"}</definedName>
    <definedName name="옥외공사" hidden="1">{#N/A,#N/A,FALSE,"이태원철근"}</definedName>
    <definedName name="옥외대비" localSheetId="0" hidden="1">{#N/A,#N/A,FALSE,"이태원철근"}</definedName>
    <definedName name="옥외대비" hidden="1">{#N/A,#N/A,FALSE,"이태원철근"}</definedName>
    <definedName name="옥외토공">BlankMacro1</definedName>
    <definedName name="옹벽수량집계표총괄" localSheetId="0" hidden="1">{#N/A,#N/A,FALSE,"혼합골재"}</definedName>
    <definedName name="옹벽수량집계표총괄" hidden="1">{#N/A,#N/A,FALSE,"혼합골재"}</definedName>
    <definedName name="용접단가" hidden="1">{#N/A,#N/A,FALSE,"표지"}</definedName>
    <definedName name="우각부" localSheetId="0" hidden="1">#REF!</definedName>
    <definedName name="우각부" hidden="1">#REF!</definedName>
    <definedName name="우각부검토11" localSheetId="0" hidden="1">#REF!</definedName>
    <definedName name="우각부검토11" hidden="1">#REF!</definedName>
    <definedName name="우성" localSheetId="5" hidden="1">#REF!</definedName>
    <definedName name="우성" localSheetId="9" hidden="1">#REF!</definedName>
    <definedName name="우성" localSheetId="8" hidden="1">#REF!</definedName>
    <definedName name="우성" hidden="1">#REF!</definedName>
    <definedName name="우수총괄" localSheetId="0" hidden="1">{#N/A,#N/A,FALSE,"골재소요량";#N/A,#N/A,FALSE,"골재소요량"}</definedName>
    <definedName name="우수총괄" hidden="1">{#N/A,#N/A,FALSE,"골재소요량";#N/A,#N/A,FALSE,"골재소요량"}</definedName>
    <definedName name="유수지" localSheetId="0" hidden="1">{#N/A,#N/A,FALSE,"골재소요량";#N/A,#N/A,FALSE,"골재소요량"}</definedName>
    <definedName name="유수지" hidden="1">{#N/A,#N/A,FALSE,"골재소요량";#N/A,#N/A,FALSE,"골재소요량"}</definedName>
    <definedName name="윤창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의" localSheetId="0" hidden="1">{#N/A,#N/A,FALSE,"운반시간"}</definedName>
    <definedName name="의" hidden="1">{#N/A,#N/A,FALSE,"운반시간"}</definedName>
    <definedName name="이동" localSheetId="0" hidden="1">{#N/A,#N/A,FALSE,"조골재"}</definedName>
    <definedName name="이동" hidden="1">{#N/A,#N/A,FALSE,"조골재"}</definedName>
    <definedName name="이성" localSheetId="0" hidden="1">{#N/A,#N/A,FALSE,"골재소요량";#N/A,#N/A,FALSE,"골재소요량"}</definedName>
    <definedName name="이성" hidden="1">{#N/A,#N/A,FALSE,"골재소요량";#N/A,#N/A,FALSE,"골재소요량"}</definedName>
    <definedName name="이성진" localSheetId="0" hidden="1">{#N/A,#N/A,FALSE,"조골재"}</definedName>
    <definedName name="이성진" hidden="1">{#N/A,#N/A,FALSE,"조골재"}</definedName>
    <definedName name="이정" localSheetId="0" hidden="1">{#N/A,#N/A,FALSE,"2~8번"}</definedName>
    <definedName name="이정" hidden="1">{#N/A,#N/A,FALSE,"2~8번"}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ㅏㅁ넝리먼ㅇㄹ" hidden="1">{#N/A,#N/A,FALSE,"골재소요량";#N/A,#N/A,FALSE,"골재소요량"}</definedName>
    <definedName name="인구" localSheetId="0" hidden="1">#REF!</definedName>
    <definedName name="인구" hidden="1">#REF!</definedName>
    <definedName name="인력운반" localSheetId="0" hidden="1">{#N/A,#N/A,FALSE,"현장 NCR 분석";#N/A,#N/A,FALSE,"현장품질감사";#N/A,#N/A,FALSE,"현장품질감사"}</definedName>
    <definedName name="인력운반" hidden="1">{#N/A,#N/A,FALSE,"현장 NCR 분석";#N/A,#N/A,FALSE,"현장품질감사";#N/A,#N/A,FALSE,"현장품질감사"}</definedName>
    <definedName name="인상익">BlankMacro1</definedName>
    <definedName name="인쇄양식">#N/A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반부" localSheetId="0" hidden="1">{#N/A,#N/A,FALSE,"조골재"}</definedName>
    <definedName name="일반부" hidden="1">{#N/A,#N/A,FALSE,"조골재"}</definedName>
    <definedName name="일반부_1" localSheetId="0" hidden="1">{#N/A,#N/A,FALSE,"조골재"}</definedName>
    <definedName name="일반부_1" hidden="1">{#N/A,#N/A,FALSE,"조골재"}</definedName>
    <definedName name="임ㄴ" hidden="1">{"'공사부문'!$A$6:$A$32"}</definedName>
    <definedName name="입출고">#N/A</definedName>
    <definedName name="ㅈ" localSheetId="0" hidden="1">{#N/A,#N/A,FALSE,"혼합골재"}</definedName>
    <definedName name="ㅈ" hidden="1">{#N/A,#N/A,FALSE,"혼합골재"}</definedName>
    <definedName name="ㅈ3ㅈㅈㄷㅈㅇ" localSheetId="12">BlankMacro1</definedName>
    <definedName name="ㅈ3ㅈㅈㄷㅈㅇ" localSheetId="13">BlankMacro1</definedName>
    <definedName name="ㅈ3ㅈㅈㄷㅈㅇ" localSheetId="14">BlankMacro1</definedName>
    <definedName name="ㅈ3ㅈㅈㄷㅈㅇ" localSheetId="7">BlankMacro1</definedName>
    <definedName name="ㅈ3ㅈㅈㄷㅈㅇ" localSheetId="32">BlankMacro1</definedName>
    <definedName name="ㅈ3ㅈㅈㄷㅈㅇ">BlankMacro1</definedName>
    <definedName name="ㅈㄱ" localSheetId="0" hidden="1">{#N/A,#N/A,FALSE,"조골재"}</definedName>
    <definedName name="ㅈㄱ" hidden="1">{#N/A,#N/A,FALSE,"조골재"}</definedName>
    <definedName name="ㅈㄱ_1" localSheetId="0" hidden="1">{#N/A,#N/A,FALSE,"조골재"}</definedName>
    <definedName name="ㅈㄱ_1" hidden="1">{#N/A,#N/A,FALSE,"조골재"}</definedName>
    <definedName name="ㅈㄷ" localSheetId="0" hidden="1">{#N/A,#N/A,FALSE,"혼합골재"}</definedName>
    <definedName name="ㅈㄷ">BlankMacro1</definedName>
    <definedName name="ㅈㄷㄱㄷㅈㄱㄷㅈ" localSheetId="0" hidden="1">{#N/A,#N/A,FALSE,"표지목차"}</definedName>
    <definedName name="ㅈㄷㄱㄷㅈㄱㄷㅈ" hidden="1">{#N/A,#N/A,FALSE,"표지목차"}</definedName>
    <definedName name="ㅈㅈㅈ">BlankMacro1</definedName>
    <definedName name="ㅈㅈㅈㅈㅈ" localSheetId="0" hidden="1">{#N/A,#N/A,FALSE,"2~8번"}</definedName>
    <definedName name="ㅈㅈㅈㅈㅈ" hidden="1">{#N/A,#N/A,FALSE,"2~8번"}</definedName>
    <definedName name="자동제어1차공량산출">BlankMacro1</definedName>
    <definedName name="자료">#N/A</definedName>
    <definedName name="자재" localSheetId="0" hidden="1">{#N/A,#N/A,FALSE,"운반시간"}</definedName>
    <definedName name="자재" hidden="1">{#N/A,#N/A,FALSE,"운반시간"}</definedName>
    <definedName name="장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장" hidden="1">{"'정산내역서'!$A$1:$I$35","'정산서(절.성토부)'!$A$1:$Q$17","'정산서(교량부)'!$A$1:$Q$84","'총괄표'!$A$1:$M$12","'시행현황'!$A$1:$G$12","'표지'!$A$1:$N$27","'정산서(절.성토부)'!$A$3:$Q$7"}</definedName>
    <definedName name="전기변경1">BlankMacro1</definedName>
    <definedName name="전기변경3">BlankMacro1</definedName>
    <definedName name="점">BlankMacro1</definedName>
    <definedName name="접속부" localSheetId="0" hidden="1">{#N/A,#N/A,FALSE,"2~8번"}</definedName>
    <definedName name="접속부" hidden="1">{#N/A,#N/A,FALSE,"2~8번"}</definedName>
    <definedName name="제" localSheetId="5" hidden="1">#REF!</definedName>
    <definedName name="제" localSheetId="9" hidden="1">#REF!</definedName>
    <definedName name="제" localSheetId="8" hidden="1">#REF!</definedName>
    <definedName name="제" hidden="1">#REF!</definedName>
    <definedName name="제1">#N/A</definedName>
    <definedName name="조경자재총괄표" localSheetId="0" hidden="1">{#N/A,#N/A,FALSE,"골재소요량";#N/A,#N/A,FALSE,"골재소요량"}</definedName>
    <definedName name="조경자재총괄표" hidden="1">{#N/A,#N/A,FALSE,"골재소요량";#N/A,#N/A,FALSE,"골재소요량"}</definedName>
    <definedName name="조작실" localSheetId="0" hidden="1">{#N/A,#N/A,FALSE,"혼합골재"}</definedName>
    <definedName name="조작실" hidden="1">{#N/A,#N/A,FALSE,"혼합골재"}</definedName>
    <definedName name="조조조조">BlankMacro1</definedName>
    <definedName name="조조조조좆">BlankMacro1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주영돈">BlankMacro1</definedName>
    <definedName name="주요자재총괄" localSheetId="0" hidden="1">{#N/A,#N/A,FALSE,"골재소요량";#N/A,#N/A,FALSE,"골재소요량"}</definedName>
    <definedName name="주요자재총괄" hidden="1">{#N/A,#N/A,FALSE,"골재소요량";#N/A,#N/A,FALSE,"골재소요량"}</definedName>
    <definedName name="중개태교" localSheetId="0" hidden="1">{#N/A,#N/A,FALSE,"2~8번"}</definedName>
    <definedName name="중개태교" hidden="1">{#N/A,#N/A,FALSE,"2~8번"}</definedName>
    <definedName name="중기단가목록" localSheetId="0" hidden="1">{#N/A,#N/A,FALSE,"골재소요량";#N/A,#N/A,FALSE,"골재소요량"}</definedName>
    <definedName name="중기단가목록" hidden="1">{#N/A,#N/A,FALSE,"골재소요량";#N/A,#N/A,FALSE,"골재소요량"}</definedName>
    <definedName name="지시부" localSheetId="0" hidden="1">{#N/A,#N/A,FALSE,"현장 NCR 분석";#N/A,#N/A,FALSE,"현장품질감사";#N/A,#N/A,FALSE,"현장품질감사"}</definedName>
    <definedName name="지시부" hidden="1">{#N/A,#N/A,FALSE,"현장 NCR 분석";#N/A,#N/A,FALSE,"현장품질감사";#N/A,#N/A,FALSE,"현장품질감사"}</definedName>
    <definedName name="직매54P" localSheetId="0" hidden="1">{#N/A,#N/A,TRUE,"토적및재료집계";#N/A,#N/A,TRUE,"토적및재료집계";#N/A,#N/A,TRUE,"단위량"}</definedName>
    <definedName name="직매54P" hidden="1">{#N/A,#N/A,TRUE,"토적및재료집계";#N/A,#N/A,TRUE,"토적및재료집계";#N/A,#N/A,TRUE,"단위량"}</definedName>
    <definedName name="진" localSheetId="0" hidden="1">{#N/A,#N/A,FALSE,"2~8번"}</definedName>
    <definedName name="진" hidden="1">{#N/A,#N/A,FALSE,"2~8번"}</definedName>
    <definedName name="집수정">BlankMacro1</definedName>
    <definedName name="집수정공">BlankMacro1</definedName>
    <definedName name="ㅊㄴㅇㄴ" localSheetId="0" hidden="1">{"총괄자금운영표",#N/A,FALSE,"자금운영표";"1단계자금운영표(불변)",#N/A,FALSE,"자금운영표";"2단계자금운영표(불변)",#N/A,FALSE,"자금운영표"}</definedName>
    <definedName name="ㅊㄴㅇㄴ" hidden="1">{"총괄자금운영표",#N/A,FALSE,"자금운영표";"1단계자금운영표(불변)",#N/A,FALSE,"자금운영표";"2단계자금운영표(불변)",#N/A,FALSE,"자금운영표"}</definedName>
    <definedName name="ㅊㄴ츄" localSheetId="0" hidden="1">{"추정대차대조표",#N/A,FALSE,"추정BS"}</definedName>
    <definedName name="ㅊㄴ츄" hidden="1">{"추정대차대조표",#N/A,FALSE,"추정BS"}</definedName>
    <definedName name="ㅊㄹ11212" localSheetId="0" hidden="1">{"부대사업공정율",#N/A,FALSE,"배후단지 및 부대사업"}</definedName>
    <definedName name="ㅊㄹ11212" hidden="1">{"부대사업공정율",#N/A,FALSE,"배후단지 및 부대사업"}</definedName>
    <definedName name="ㅊㅊㅍㅊ12121" localSheetId="0" hidden="1">{"부대사업본사업연결자료",#N/A,FALSE,"배후단지및부대사업연결"}</definedName>
    <definedName name="ㅊㅊㅍㅊ12121" hidden="1">{"부대사업본사업연결자료",#N/A,FALSE,"배후단지및부대사업연결"}</definedName>
    <definedName name="ㅊ퓿ㅍ" localSheetId="0" hidden="1">{#N/A,#N/A,FALSE,"혼합골재"}</definedName>
    <definedName name="ㅊ퓿ㅍ" hidden="1">{#N/A,#N/A,FALSE,"혼합골재"}</definedName>
    <definedName name="차" localSheetId="0" hidden="1">{#N/A,#N/A,FALSE,"속도"}</definedName>
    <definedName name="차" hidden="1">{#N/A,#N/A,FALSE,"속도"}</definedName>
    <definedName name="차차" localSheetId="5" hidden="1">#REF!</definedName>
    <definedName name="차차" localSheetId="9" hidden="1">#REF!</definedName>
    <definedName name="차차" localSheetId="8" hidden="1">#REF!</definedName>
    <definedName name="차차" hidden="1">#REF!</definedName>
    <definedName name="찰샇기" localSheetId="5" hidden="1">#REF!</definedName>
    <definedName name="찰샇기" localSheetId="9" hidden="1">#REF!</definedName>
    <definedName name="찰샇기" localSheetId="8" hidden="1">#REF!</definedName>
    <definedName name="찰샇기" hidden="1">#REF!</definedName>
    <definedName name="천공집계">BlankMacro1</definedName>
    <definedName name="철2" localSheetId="0" hidden="1">{#N/A,#N/A,FALSE,"혼합골재"}</definedName>
    <definedName name="철2" hidden="1">{#N/A,#N/A,FALSE,"혼합골재"}</definedName>
    <definedName name="철근집계" localSheetId="0" hidden="1">{#N/A,#N/A,FALSE,"단가표지"}</definedName>
    <definedName name="철근집계" hidden="1">{#N/A,#N/A,FALSE,"단가표지"}</definedName>
    <definedName name="철근집계1" localSheetId="0" hidden="1">{#N/A,#N/A,FALSE,"배수1"}</definedName>
    <definedName name="철근집계1" hidden="1">{#N/A,#N/A,FALSE,"배수1"}</definedName>
    <definedName name="철근집계표" hidden="1">{#N/A,#N/A,FALSE,"단가표지"}</definedName>
    <definedName name="초다" localSheetId="0" hidden="1">{#N/A,#N/A,FALSE,"2~8번"}</definedName>
    <definedName name="초다" hidden="1">{#N/A,#N/A,FALSE,"2~8번"}</definedName>
    <definedName name="총공" localSheetId="0" hidden="1">{#N/A,#N/A,FALSE,"운반시간"}</definedName>
    <definedName name="총공" hidden="1">{#N/A,#N/A,FALSE,"운반시간"}</definedName>
    <definedName name="측구공">BlankMacro1</definedName>
    <definedName name="치환토" localSheetId="0" hidden="1">{#N/A,#N/A,FALSE,"골재소요량";#N/A,#N/A,FALSE,"골재소요량"}</definedName>
    <definedName name="치환토" hidden="1">{#N/A,#N/A,FALSE,"골재소요량";#N/A,#N/A,FALSE,"골재소요량"}</definedName>
    <definedName name="치환토수량집계" localSheetId="0" hidden="1">{#N/A,#N/A,FALSE,"조골재"}</definedName>
    <definedName name="치환토수량집계" hidden="1">{#N/A,#N/A,FALSE,"조골재"}</definedName>
    <definedName name="ㅋ" localSheetId="0" hidden="1">{#N/A,#N/A,FALSE,"조골재"}</definedName>
    <definedName name="ㅋ" hidden="1">{#N/A,#N/A,FALSE,"조골재"}</definedName>
    <definedName name="ㅋ_1" localSheetId="0" hidden="1">{#N/A,#N/A,FALSE,"조골재"}</definedName>
    <definedName name="ㅋ_1" hidden="1">{#N/A,#N/A,FALSE,"조골재"}</definedName>
    <definedName name="ㅋㄹㅇㄴㄹ">#N/A</definedName>
    <definedName name="ㅋㅋ" localSheetId="0" hidden="1">{#N/A,#N/A,FALSE,"조골재"}</definedName>
    <definedName name="ㅋㅋ" hidden="1">{#N/A,#N/A,FALSE,"조골재"}</definedName>
    <definedName name="카" localSheetId="0" hidden="1">{#N/A,#N/A,FALSE,"단가표지"}</definedName>
    <definedName name="카" hidden="1">{#N/A,#N/A,FALSE,"단가표지"}</definedName>
    <definedName name="컻퍼" hidden="1">{#N/A,#N/A,FALSE,"운반시간"}</definedName>
    <definedName name="케러" localSheetId="0" hidden="1">{#N/A,#N/A,FALSE,"2~8번"}</definedName>
    <definedName name="케러" hidden="1">{#N/A,#N/A,FALSE,"2~8번"}</definedName>
    <definedName name="케이블간지" localSheetId="0" hidden="1">{#N/A,#N/A,TRUE,"토적및재료집계";#N/A,#N/A,TRUE,"토적및재료집계";#N/A,#N/A,TRUE,"단위량"}</definedName>
    <definedName name="케이블간지" hidden="1">{#N/A,#N/A,TRUE,"토적및재료집계";#N/A,#N/A,TRUE,"토적및재료집계";#N/A,#N/A,TRUE,"단위량"}</definedName>
    <definedName name="콘크리트2" localSheetId="0" hidden="1">#REF!</definedName>
    <definedName name="콘크리트2" localSheetId="5" hidden="1">#REF!</definedName>
    <definedName name="콘크리트2" localSheetId="9" hidden="1">#REF!</definedName>
    <definedName name="콘크리트2" localSheetId="8" hidden="1">#REF!</definedName>
    <definedName name="콘크리트2" hidden="1">#REF!</definedName>
    <definedName name="ㅌ" localSheetId="0" hidden="1">{#N/A,#N/A,FALSE,"2~8번"}</definedName>
    <definedName name="ㅌ" hidden="1">{#N/A,#N/A,FALSE,"2~8번"}</definedName>
    <definedName name="ㅌ_1" localSheetId="0" hidden="1">{#N/A,#N/A,FALSE,"2~8번"}</definedName>
    <definedName name="ㅌ_1" hidden="1">{#N/A,#N/A,FALSE,"2~8번"}</definedName>
    <definedName name="ㅌㅍㅁㄴㅋ" hidden="1">#REF!</definedName>
    <definedName name="타" localSheetId="0" hidden="1">{#N/A,#N/A,FALSE,"2~8번"}</definedName>
    <definedName name="타" hidden="1">{#N/A,#N/A,FALSE,"2~8번"}</definedName>
    <definedName name="타견적" hidden="1">#REF!</definedName>
    <definedName name="테스트" localSheetId="0" hidden="1">#REF!</definedName>
    <definedName name="테스트" hidden="1">#REF!</definedName>
    <definedName name="템플리트모듈1" localSheetId="12">BlankMacro1</definedName>
    <definedName name="템플리트모듈1" localSheetId="13">BlankMacro1</definedName>
    <definedName name="템플리트모듈1" localSheetId="14">BlankMacro1</definedName>
    <definedName name="템플리트모듈1" localSheetId="7">BlankMacro1</definedName>
    <definedName name="템플리트모듈1" localSheetId="32">BlankMacro1</definedName>
    <definedName name="템플리트모듈1">BlankMacro1</definedName>
    <definedName name="템플리트모듈2" localSheetId="12">BlankMacro1</definedName>
    <definedName name="템플리트모듈2" localSheetId="13">BlankMacro1</definedName>
    <definedName name="템플리트모듈2" localSheetId="14">BlankMacro1</definedName>
    <definedName name="템플리트모듈2" localSheetId="7">BlankMacro1</definedName>
    <definedName name="템플리트모듈2" localSheetId="32">BlankMacro1</definedName>
    <definedName name="템플리트모듈2">BlankMacro1</definedName>
    <definedName name="템플리트모듈3" localSheetId="12">BlankMacro1</definedName>
    <definedName name="템플리트모듈3" localSheetId="13">BlankMacro1</definedName>
    <definedName name="템플리트모듈3" localSheetId="14">BlankMacro1</definedName>
    <definedName name="템플리트모듈3" localSheetId="7">BlankMacro1</definedName>
    <definedName name="템플리트모듈3" localSheetId="32">BlankMacro1</definedName>
    <definedName name="템플리트모듈3">BlankMacro1</definedName>
    <definedName name="템플리트모듈4" localSheetId="12">BlankMacro1</definedName>
    <definedName name="템플리트모듈4" localSheetId="13">BlankMacro1</definedName>
    <definedName name="템플리트모듈4" localSheetId="14">BlankMacro1</definedName>
    <definedName name="템플리트모듈4" localSheetId="7">BlankMacro1</definedName>
    <definedName name="템플리트모듈4" localSheetId="32">BlankMacro1</definedName>
    <definedName name="템플리트모듈4">BlankMacro1</definedName>
    <definedName name="템플리트모듈5" localSheetId="12">BlankMacro1</definedName>
    <definedName name="템플리트모듈5" localSheetId="13">BlankMacro1</definedName>
    <definedName name="템플리트모듈5" localSheetId="14">BlankMacro1</definedName>
    <definedName name="템플리트모듈5" localSheetId="7">BlankMacro1</definedName>
    <definedName name="템플리트모듈5" localSheetId="32">BlankMacro1</definedName>
    <definedName name="템플리트모듈5">BlankMacro1</definedName>
    <definedName name="템플리트모듈6" localSheetId="12">BlankMacro1</definedName>
    <definedName name="템플리트모듈6" localSheetId="13">BlankMacro1</definedName>
    <definedName name="템플리트모듈6" localSheetId="14">BlankMacro1</definedName>
    <definedName name="템플리트모듈6" localSheetId="7">BlankMacro1</definedName>
    <definedName name="템플리트모듈6" localSheetId="32">BlankMacro1</definedName>
    <definedName name="템플리트모듈6">BlankMacro1</definedName>
    <definedName name="토공2" localSheetId="0" hidden="1">{#N/A,#N/A,FALSE,"2~8번"}</definedName>
    <definedName name="토공2" hidden="1">{#N/A,#N/A,FALSE,"2~8번"}</definedName>
    <definedName name="토공이수" localSheetId="0" hidden="1">#REF!</definedName>
    <definedName name="토공이수" hidden="1">#REF!</definedName>
    <definedName name="토공전체" localSheetId="0" hidden="1">{#N/A,#N/A,FALSE,"운반시간"}</definedName>
    <definedName name="토공전체" hidden="1">{#N/A,#N/A,FALSE,"운반시간"}</definedName>
    <definedName name="토공집계표">#N/A</definedName>
    <definedName name="토공추가">#N/A</definedName>
    <definedName name="토목공사" localSheetId="0" hidden="1">{#N/A,#N/A,FALSE,"이태원철근"}</definedName>
    <definedName name="토목공사" hidden="1">{#N/A,#N/A,FALSE,"이태원철근"}</definedName>
    <definedName name="토목공사강릉" localSheetId="0" hidden="1">#REF!</definedName>
    <definedName name="토목공사강릉" hidden="1">#REF!</definedName>
    <definedName name="토목설계" localSheetId="0" hidden="1">{#N/A,#N/A,FALSE,"골재소요량";#N/A,#N/A,FALSE,"골재소요량"}</definedName>
    <definedName name="토목설계" hidden="1">{#N/A,#N/A,FALSE,"골재소요량";#N/A,#N/A,FALSE,"골재소요량"}</definedName>
    <definedName name="토목실견적" localSheetId="0" hidden="1">{#N/A,#N/A,FALSE,"이태원철근"}</definedName>
    <definedName name="토목실견적" hidden="1">{#N/A,#N/A,FALSE,"이태원철근"}</definedName>
    <definedName name="토적표" localSheetId="0" hidden="1">#REF!</definedName>
    <definedName name="토적표" hidden="1">#REF!</definedName>
    <definedName name="토적표01" localSheetId="0" hidden="1">#REF!</definedName>
    <definedName name="토적표01" hidden="1">#REF!</definedName>
    <definedName name="통관총괄" localSheetId="0" hidden="1">#REF!</definedName>
    <definedName name="통관총괄" hidden="1">#REF!</definedName>
    <definedName name="ㅍ" localSheetId="0" hidden="1">{#N/A,#N/A,FALSE,"2~8번"}</definedName>
    <definedName name="ㅍ" hidden="1">{#N/A,#N/A,FALSE,"2~8번"}</definedName>
    <definedName name="ㅍ_1" localSheetId="0" hidden="1">{#N/A,#N/A,FALSE,"2~8번"}</definedName>
    <definedName name="ㅍ_1" hidden="1">{#N/A,#N/A,FALSE,"2~8번"}</definedName>
    <definedName name="ㅍ큪ㅊㅋ" localSheetId="5" hidden="1">#REF!</definedName>
    <definedName name="ㅍ큪ㅊㅋ" localSheetId="9" hidden="1">#REF!</definedName>
    <definedName name="ㅍ큪ㅊㅋ" localSheetId="8" hidden="1">#REF!</definedName>
    <definedName name="ㅍ큪ㅊㅋ" hidden="1">#REF!</definedName>
    <definedName name="ㅍㅍ" localSheetId="0" hidden="1">{#N/A,#N/A,TRUE,"토적및재료집계";#N/A,#N/A,TRUE,"토적및재료집계";#N/A,#N/A,TRUE,"단위량"}</definedName>
    <definedName name="ㅍㅍ" hidden="1">{#N/A,#N/A,TRUE,"토적및재료집계";#N/A,#N/A,TRUE,"토적및재료집계";#N/A,#N/A,TRUE,"단위량"}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{#N/A,#N/A,FALSE,"단가표지"}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12121" localSheetId="0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ㅍㅍㅍ12121" hidden="1">{"운영비용1",#N/A,FALSE,"운영비용";"운영비용2",#N/A,FALSE,"운영비용";"운영비용3",#N/A,FALSE,"운영비용";"운영비용4",#N/A,FALSE,"운영비용";"운영비용5",#N/A,FALSE,"운영비용";"운영비용6",#N/A,FALSE,"운영비용"}</definedName>
    <definedName name="ㅍㅍㅍ1212ㅍㅍ" localSheetId="0" hidden="1">{"총괄자금운영표",#N/A,FALSE,"자금운영표";"1단계자금운영표(불변)",#N/A,FALSE,"자금운영표";"2단계자금운영표(불변)",#N/A,FALSE,"자금운영표"}</definedName>
    <definedName name="ㅍㅍㅍ1212ㅍㅍ" hidden="1">{"총괄자금운영표",#N/A,FALSE,"자금운영표";"1단계자금운영표(불변)",#N/A,FALSE,"자금운영표";"2단계자금운영표(불변)",#N/A,FALSE,"자금운영표"}</definedName>
    <definedName name="ㅍㅍㅍ212121" localSheetId="0" hidden="1">{"불변현금흐름",#N/A,FALSE,"추정IS,CF,무상사용"}</definedName>
    <definedName name="ㅍㅍㅍ212121" hidden="1">{"불변현금흐름",#N/A,FALSE,"추정IS,CF,무상사용"}</definedName>
    <definedName name="ㅍㅍㅍㅍ1212121" localSheetId="0" hidden="1">{"운영설비비1",#N/A,FALSE,"운영설비비";"운영설비비2",#N/A,FALSE,"운영설비비"}</definedName>
    <definedName name="ㅍㅍㅍㅍ1212121" hidden="1">{"운영설비비1",#N/A,FALSE,"운영설비비";"운영설비비2",#N/A,FALSE,"운영설비비"}</definedName>
    <definedName name="ㅍㅍㅍㅍㅍ" localSheetId="0" hidden="1">{#N/A,#N/A,FALSE,"운반시간"}</definedName>
    <definedName name="ㅍㅍㅍㅍㅍ" hidden="1">{#N/A,#N/A,FALSE,"운반시간"}</definedName>
    <definedName name="ㅍㅍㅍㅍㅍㅍ" localSheetId="0" hidden="1">{#N/A,#N/A,FALSE,"조골재"}</definedName>
    <definedName name="ㅍㅍㅍㅍㅍㅍ" hidden="1">{#N/A,#N/A,FALSE,"조골재"}</definedName>
    <definedName name="ㅍㅍㅍㅍㅍㅍㅍㅍ" localSheetId="0" hidden="1">{#N/A,#N/A,FALSE,"표지목차"}</definedName>
    <definedName name="ㅍㅍㅍㅍㅍㅍㅍㅍ" hidden="1">{#N/A,#N/A,FALSE,"표지목차"}</definedName>
    <definedName name="파일" localSheetId="0" hidden="1">#REF!</definedName>
    <definedName name="파일" localSheetId="5" hidden="1">#REF!</definedName>
    <definedName name="파일" localSheetId="9" hidden="1">#REF!</definedName>
    <definedName name="파일" localSheetId="8" hidden="1">#REF!</definedName>
    <definedName name="파일" hidden="1">#REF!</definedName>
    <definedName name="페기갑지" localSheetId="0" hidden="1">#REF!</definedName>
    <definedName name="페기갑지" hidden="1">#REF!</definedName>
    <definedName name="폐공집계1" hidden="1">{#N/A,#N/A,FALSE,"운반시간"}</definedName>
    <definedName name="폐공집계2" hidden="1">{#N/A,#N/A,FALSE,"골재소요량";#N/A,#N/A,FALSE,"골재소요량"}</definedName>
    <definedName name="폐공집계3" hidden="1">{#N/A,#N/A,FALSE,"2~8번"}</definedName>
    <definedName name="폐공집계4" hidden="1">{#N/A,#N/A,FALSE,"2~8번"}</definedName>
    <definedName name="폐공집계5" hidden="1">{#N/A,#N/A,FALSE,"조골재"}</definedName>
    <definedName name="폐기" localSheetId="0" hidden="1">#REF!</definedName>
    <definedName name="폐기" hidden="1">#REF!</definedName>
    <definedName name="폐유" localSheetId="5" hidden="1">#REF!</definedName>
    <definedName name="폐유" localSheetId="9" hidden="1">#REF!</definedName>
    <definedName name="폐유" localSheetId="8" hidden="1">#REF!</definedName>
    <definedName name="폐유" hidden="1">#REF!</definedName>
    <definedName name="포장공1">BlankMacro1</definedName>
    <definedName name="포장공제" localSheetId="5" hidden="1">#REF!</definedName>
    <definedName name="포장공제" localSheetId="9" hidden="1">#REF!</definedName>
    <definedName name="포장공제" localSheetId="8" hidden="1">#REF!</definedName>
    <definedName name="포장공제" hidden="1">#REF!</definedName>
    <definedName name="품위내역서">BlankMacro1</definedName>
    <definedName name="ㅎ5" localSheetId="0" hidden="1">{#N/A,#N/A,FALSE,"골재소요량";#N/A,#N/A,FALSE,"골재소요량"}</definedName>
    <definedName name="ㅎ5" hidden="1">{#N/A,#N/A,FALSE,"골재소요량";#N/A,#N/A,FALSE,"골재소요량"}</definedName>
    <definedName name="ㅎ5_1" localSheetId="0" hidden="1">{#N/A,#N/A,FALSE,"골재소요량";#N/A,#N/A,FALSE,"골재소요량"}</definedName>
    <definedName name="ㅎ5_1" hidden="1">{#N/A,#N/A,FALSE,"골재소요량";#N/A,#N/A,FALSE,"골재소요량"}</definedName>
    <definedName name="ㅎ노ㅠ" localSheetId="0" hidden="1">{#N/A,#N/A,FALSE,"배수1"}</definedName>
    <definedName name="ㅎ노ㅠ" hidden="1">{#N/A,#N/A,FALSE,"배수1"}</definedName>
    <definedName name="ㅎㄶ" localSheetId="0" hidden="1">{#N/A,#N/A,FALSE,"속도"}</definedName>
    <definedName name="ㅎㄶ" hidden="1">{#N/A,#N/A,FALSE,"속도"}</definedName>
    <definedName name="ㅎㄹ" localSheetId="5" hidden="1">#REF!</definedName>
    <definedName name="ㅎㄹ" localSheetId="9" hidden="1">#REF!</definedName>
    <definedName name="ㅎㄹ" localSheetId="8" hidden="1">#REF!</definedName>
    <definedName name="ㅎㄹ" hidden="1">#REF!</definedName>
    <definedName name="ㅎㄹㅇㅀ" localSheetId="0" hidden="1">{#N/A,#N/A,FALSE,"부대1"}</definedName>
    <definedName name="ㅎㄹㅇㅀ" hidden="1">{#N/A,#N/A,FALSE,"부대1"}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ㅓ" localSheetId="0" hidden="1">{#N/A,#N/A,FALSE,"운반시간"}</definedName>
    <definedName name="ㅎ로ㅓ" hidden="1">{#N/A,#N/A,FALSE,"운반시간"}</definedName>
    <definedName name="ㅎㅀ1212" localSheetId="0" hidden="1">{"운영수익1",#N/A,FALSE,"운영수익";"운영수익2",#N/A,FALSE,"운영수익";"운영수익3",#N/A,FALSE,"운영수익"}</definedName>
    <definedName name="ㅎㅀ1212" hidden="1">{"운영수익1",#N/A,FALSE,"운영수익";"운영수익2",#N/A,FALSE,"운영수익";"운영수익3",#N/A,FALSE,"운영수익"}</definedName>
    <definedName name="ㅎㅀㄹ" localSheetId="0" hidden="1">{#N/A,#N/A,FALSE,"운반시간"}</definedName>
    <definedName name="ㅎㅀㄹ" hidden="1">{#N/A,#N/A,FALSE,"운반시간"}</definedName>
    <definedName name="ㅎㅇㄶㄷㄱ" localSheetId="5" hidden="1">#REF!</definedName>
    <definedName name="ㅎㅇㄶㄷㄱ" localSheetId="9" hidden="1">#REF!</definedName>
    <definedName name="ㅎㅇㄶㄷㄱ" localSheetId="8" hidden="1">#REF!</definedName>
    <definedName name="ㅎㅇㄶㄷㄱ" hidden="1">#REF!</definedName>
    <definedName name="ㅎㅇㅀㅇㅀㅇㅎ" localSheetId="0" hidden="1">{#N/A,#N/A,FALSE,"표지목차"}</definedName>
    <definedName name="ㅎㅇㅀㅇㅀㅇㅎ" hidden="1">{#N/A,#N/A,FALSE,"표지목차"}</definedName>
    <definedName name="ㅎㅇㅇㅀㅎㄹ" localSheetId="0" hidden="1">{#N/A,#N/A,FALSE,"속도"}</definedName>
    <definedName name="ㅎㅇㅇㅀㅎㄹ" hidden="1">{#N/A,#N/A,FALSE,"속도"}</definedName>
    <definedName name="ㅎㅎ" localSheetId="0" hidden="1">{#N/A,#N/A,FALSE,"2~8번"}</definedName>
    <definedName name="ㅎㅎ" hidden="1">{#N/A,#N/A,FALSE,"운반시간"}</definedName>
    <definedName name="ㅎㅎㅎ" localSheetId="0" hidden="1">{#N/A,#N/A,FALSE,"배수2"}</definedName>
    <definedName name="ㅎㅎㅎ" hidden="1">{#N/A,#N/A,FALSE,"배수2"}</definedName>
    <definedName name="ㅎㅎㅎㅎㅎ" localSheetId="5" hidden="1">#REF!</definedName>
    <definedName name="ㅎㅎㅎㅎㅎ" localSheetId="9" hidden="1">#REF!</definedName>
    <definedName name="ㅎㅎㅎㅎㅎ" localSheetId="8" hidden="1">#REF!</definedName>
    <definedName name="ㅎㅎㅎㅎㅎ" hidden="1">#REF!</definedName>
    <definedName name="ㅎㅎㅎㅎㅎㅎㅎ" localSheetId="0" hidden="1">{#N/A,#N/A,FALSE,"골재소요량";#N/A,#N/A,FALSE,"골재소요량"}</definedName>
    <definedName name="ㅎㅎㅎㅎㅎㅎㅎ" hidden="1">{#N/A,#N/A,FALSE,"골재소요량";#N/A,#N/A,FALSE,"골재소요량"}</definedName>
    <definedName name="ㅎㅎㅎㅎㅎㅎㅎㅎㅎㅎㅎㅎㅎㅎㅎㅎㅎㅎㅎㅎㅎㅎㅎ" localSheetId="0" hidden="1">#REF!</definedName>
    <definedName name="ㅎㅎㅎㅎㅎㅎㅎㅎㅎㅎㅎㅎㅎㅎㅎㅎㅎㅎㅎㅎㅎㅎㅎ" hidden="1">#REF!</definedName>
    <definedName name="하" localSheetId="0" hidden="1">{"'정산내역서'!$A$1:$I$35","'정산서(절.성토부)'!$A$1:$Q$17","'정산서(교량부)'!$A$1:$Q$84","'총괄표'!$A$1:$M$12","'시행현황'!$A$1:$G$12","'표지'!$A$1:$N$27","'정산서(절.성토부)'!$A$3:$Q$7"}</definedName>
    <definedName name="하" hidden="1">{"'정산내역서'!$A$1:$I$35","'정산서(절.성토부)'!$A$1:$Q$17","'정산서(교량부)'!$A$1:$Q$84","'총괄표'!$A$1:$M$12","'시행현황'!$A$1:$G$12","'표지'!$A$1:$N$27","'정산서(절.성토부)'!$A$3:$Q$7"}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학산P2">BlankMacro1</definedName>
    <definedName name="한동" localSheetId="0" hidden="1">{#N/A,#N/A,FALSE,"단가표지"}</definedName>
    <definedName name="한동" hidden="1">{#N/A,#N/A,FALSE,"단가표지"}</definedName>
    <definedName name="합성을력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해창철콘">#N/A</definedName>
    <definedName name="행창토건">#N/A</definedName>
    <definedName name="허니" localSheetId="0" hidden="1">{#N/A,#N/A,FALSE,"2~8번"}</definedName>
    <definedName name="허니" hidden="1">{#N/A,#N/A,FALSE,"2~8번"}</definedName>
    <definedName name="호안" localSheetId="0" hidden="1">{#N/A,#N/A,FALSE,"민감도"}</definedName>
    <definedName name="호안" hidden="1">{#N/A,#N/A,FALSE,"민감도"}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호호호" localSheetId="0" hidden="1">{#N/A,#N/A,FALSE,"혼합골재"}</definedName>
    <definedName name="호호호호호" hidden="1">{#N/A,#N/A,FALSE,"혼합골재"}</definedName>
    <definedName name="호ㅓㅗ" localSheetId="0" hidden="1">{#N/A,#N/A,FALSE,"포장1";#N/A,#N/A,FALSE,"포장1"}</definedName>
    <definedName name="호ㅓㅗ" hidden="1">{#N/A,#N/A,FALSE,"포장1";#N/A,#N/A,FALSE,"포장1"}</definedName>
    <definedName name="홍ㄹㄴㄷㄱ" localSheetId="5" hidden="1">#REF!</definedName>
    <definedName name="홍ㄹㄴㄷㄱ" localSheetId="9" hidden="1">#REF!</definedName>
    <definedName name="홍ㄹㄴㄷㄱ" localSheetId="8" hidden="1">#REF!</definedName>
    <definedName name="홍ㄹㄴㄷㄱ" hidden="1">#REF!</definedName>
    <definedName name="홓" localSheetId="0" hidden="1">{#N/A,#N/A,FALSE,"조골재"}</definedName>
    <definedName name="홓" hidden="1">{#N/A,#N/A,FALSE,"조골재"}</definedName>
    <definedName name="확인">BlankMacro1</definedName>
    <definedName name="히ㅏㅓㅣㅏㅓㅚㅏ" localSheetId="0" hidden="1">{#N/A,#N/A,FALSE,"구조1"}</definedName>
    <definedName name="히ㅏㅓㅣㅏㅓㅚㅏ" hidden="1">{#N/A,#N/A,FALSE,"구조1"}</definedName>
    <definedName name="ㅏ" localSheetId="0" hidden="1">{#N/A,#N/A,FALSE,"운반시간"}</definedName>
    <definedName name="ㅏ" hidden="1">{#N/A,#N/A,FALSE,"운반시간"}</definedName>
    <definedName name="ㅏ_1" localSheetId="0" hidden="1">{#N/A,#N/A,FALSE,"운반시간"}</definedName>
    <definedName name="ㅏ_1" hidden="1">{#N/A,#N/A,FALSE,"운반시간"}</definedName>
    <definedName name="ㅏ아아아앙" hidden="1">{#N/A,#N/A,FALSE,"운반시간"}</definedName>
    <definedName name="ㅏㅏㅏ">#N/A</definedName>
    <definedName name="ㅏㅓ" localSheetId="0" hidden="1">{#N/A,#N/A,FALSE,"골재소요량";#N/A,#N/A,FALSE,"골재소요량"}</definedName>
    <definedName name="ㅏㅓ" hidden="1">{#N/A,#N/A,FALSE,"운반시간"}</definedName>
    <definedName name="ㅏㅓㅏ" localSheetId="0" hidden="1">{#N/A,#N/A,FALSE,"단가표지"}</definedName>
    <definedName name="ㅏㅓㅏ" hidden="1">{#N/A,#N/A,FALSE,"단가표지"}</definedName>
    <definedName name="ㅏㅓㅏㅓ" localSheetId="0" hidden="1">{#N/A,#N/A,FALSE,"2~8번"}</definedName>
    <definedName name="ㅏㅓㅏㅓ" hidden="1">{#N/A,#N/A,FALSE,"2~8번"}</definedName>
    <definedName name="ㅏㅓㅣㅏㅓㅣ" localSheetId="0" hidden="1">{#N/A,#N/A,FALSE,"부대2"}</definedName>
    <definedName name="ㅏㅓㅣㅏㅓㅣ" hidden="1">{#N/A,#N/A,FALSE,"부대2"}</definedName>
    <definedName name="ㅏㅕㅛㅏㄱㄹㅇ" hidden="1">#REF!</definedName>
    <definedName name="ㅏㅗ014017641" localSheetId="5" hidden="1">#REF!</definedName>
    <definedName name="ㅏㅗ014017641" localSheetId="9" hidden="1">#REF!</definedName>
    <definedName name="ㅏㅗ014017641" localSheetId="8" hidden="1">#REF!</definedName>
    <definedName name="ㅏㅗ014017641" hidden="1">#REF!</definedName>
    <definedName name="ㅏㅗ760723590" localSheetId="5" hidden="1">#REF!</definedName>
    <definedName name="ㅏㅗ760723590" localSheetId="9" hidden="1">#REF!</definedName>
    <definedName name="ㅏㅗ760723590" localSheetId="8" hidden="1">#REF!</definedName>
    <definedName name="ㅏㅗ760723590" hidden="1">#REF!</definedName>
    <definedName name="ㅏㅜ민얼" hidden="1">{#N/A,#N/A,FALSE,"2~8번"}</definedName>
    <definedName name="ㅑ" localSheetId="0" hidden="1">{#N/A,#N/A,FALSE,"조골재"}</definedName>
    <definedName name="ㅑ" hidden="1">{#N/A,#N/A,FALSE,"조골재"}</definedName>
    <definedName name="ㅑ_1" localSheetId="0" hidden="1">{#N/A,#N/A,FALSE,"조골재"}</definedName>
    <definedName name="ㅑ_1" hidden="1">{#N/A,#N/A,FALSE,"조골재"}</definedName>
    <definedName name="ㅓ7" localSheetId="0" hidden="1">{#N/A,#N/A,FALSE,"단가표지"}</definedName>
    <definedName name="ㅓ7" hidden="1">{#N/A,#N/A,FALSE,"단가표지"}</definedName>
    <definedName name="ㅓ7_1" localSheetId="0" hidden="1">{#N/A,#N/A,FALSE,"단가표지"}</definedName>
    <definedName name="ㅓ7_1" hidden="1">{#N/A,#N/A,FALSE,"단가표지"}</definedName>
    <definedName name="ㅓㄴㅇ러" localSheetId="0" hidden="1">{#N/A,#N/A,FALSE,"골재소요량";#N/A,#N/A,FALSE,"골재소요량"}</definedName>
    <definedName name="ㅓㄴㅇ러" hidden="1">{#N/A,#N/A,FALSE,"골재소요량";#N/A,#N/A,FALSE,"골재소요량"}</definedName>
    <definedName name="ㅓㅏ" localSheetId="0" hidden="1">{#N/A,#N/A,FALSE,"골재소요량";#N/A,#N/A,FALSE,"골재소요량"}</definedName>
    <definedName name="ㅓㅏ" hidden="1">{#N/A,#N/A,FALSE,"골재소요량";#N/A,#N/A,FALSE,"골재소요량"}</definedName>
    <definedName name="ㅓㅏㅓ" localSheetId="0" hidden="1">{#N/A,#N/A,FALSE,"조골재"}</definedName>
    <definedName name="ㅓㅏㅓ" hidden="1">{#N/A,#N/A,FALSE,"조골재"}</definedName>
    <definedName name="ㅓㅏㅣㅓㅣㅓ" localSheetId="0" hidden="1">{#N/A,#N/A,FALSE,"혼합골재"}</definedName>
    <definedName name="ㅓㅏㅣㅓㅣㅓ" hidden="1">{#N/A,#N/A,FALSE,"혼합골재"}</definedName>
    <definedName name="ㅓㅓㅎㄹ">#N/A</definedName>
    <definedName name="ㅓㅓㅓ" hidden="1">{#N/A,#N/A,FALSE,"골재소요량";#N/A,#N/A,FALSE,"골재소요량"}</definedName>
    <definedName name="ㅓㅓㅓㅓㅓㅓㅓㅓㅓ" hidden="1">{#N/A,#N/A,FALSE,"조골재"}</definedName>
    <definedName name="ㅓㅓㅗ" localSheetId="0" hidden="1">{#N/A,#N/A,FALSE,"조골재"}</definedName>
    <definedName name="ㅓㅓㅗ" hidden="1">{#N/A,#N/A,FALSE,"조골재"}</definedName>
    <definedName name="ㅓㅗㅅㄹ" localSheetId="0" hidden="1">{#N/A,#N/A,FALSE,"조골재"}</definedName>
    <definedName name="ㅓㅗㅅㄹ" hidden="1">{#N/A,#N/A,FALSE,"조골재"}</definedName>
    <definedName name="ㅓㅗㅓ" localSheetId="0" hidden="1">{#N/A,#N/A,FALSE,"2~8번"}</definedName>
    <definedName name="ㅓㅗㅓ" hidden="1">{#N/A,#N/A,FALSE,"2~8번"}</definedName>
    <definedName name="ㅓㅡㅓ" localSheetId="0" hidden="1">{"1단계 투자비명세",#N/A,FALSE,"투자비명세";"2단계 투자비명세",#N/A,FALSE,"투자비명세"}</definedName>
    <definedName name="ㅓㅡㅓ" hidden="1">{"1단계 투자비명세",#N/A,FALSE,"투자비명세";"2단계 투자비명세",#N/A,FALSE,"투자비명세"}</definedName>
    <definedName name="ㅔ3" localSheetId="0" hidden="1">{#N/A,#N/A,FALSE,"배수1"}</definedName>
    <definedName name="ㅔ3" hidden="1">{#N/A,#N/A,FALSE,"배수1"}</definedName>
    <definedName name="ㅔㅔ">#N/A</definedName>
    <definedName name="ㅕㅛㅎ" localSheetId="0" hidden="1">{#N/A,#N/A,FALSE,"2~8번"}</definedName>
    <definedName name="ㅕㅛㅎ" hidden="1">{#N/A,#N/A,FALSE,"2~8번"}</definedName>
    <definedName name="ㅗㄹ호" localSheetId="0" hidden="1">{#N/A,#N/A,FALSE,"운반시간"}</definedName>
    <definedName name="ㅗㄹ호" hidden="1">{#N/A,#N/A,FALSE,"운반시간"}</definedName>
    <definedName name="ㅗ호" localSheetId="0" hidden="1">{#N/A,#N/A,FALSE,"조골재"}</definedName>
    <definedName name="ㅗ호" hidden="1">{#N/A,#N/A,FALSE,"조골재"}</definedName>
    <definedName name="ㅗ홍ㄹ노" localSheetId="0" hidden="1">{"총괄자금운영표",#N/A,FALSE,"자금운영표";"1단계자금운영표(불변)",#N/A,FALSE,"자금운영표";"2단계자금운영표(불변)",#N/A,FALSE,"자금운영표"}</definedName>
    <definedName name="ㅗ홍ㄹ노" hidden="1">{"총괄자금운영표",#N/A,FALSE,"자금운영표";"1단계자금운영표(불변)",#N/A,FALSE,"자금운영표";"2단계자금운영표(불변)",#N/A,FALSE,"자금운영표"}</definedName>
    <definedName name="ㅗㅓ" localSheetId="0" hidden="1">{#N/A,#N/A,FALSE,"조골재"}</definedName>
    <definedName name="ㅗㅓ" hidden="1">{#N/A,#N/A,FALSE,"조골재"}</definedName>
    <definedName name="ㅗㅓㅗ" localSheetId="0" hidden="1">{#N/A,#N/A,FALSE,"골재소요량";#N/A,#N/A,FALSE,"골재소요량"}</definedName>
    <definedName name="ㅗㅓㅗ" hidden="1">{#N/A,#N/A,FALSE,"골재소요량";#N/A,#N/A,FALSE,"골재소요량"}</definedName>
    <definedName name="ㅗㅗ" localSheetId="0" hidden="1">{#N/A,#N/A,FALSE,"2~8번"}</definedName>
    <definedName name="ㅗㅗ" hidden="1">{#N/A,#N/A,FALSE,"2~8번"}</definedName>
    <definedName name="ㅗㅗㅗ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ㅗㅗㅗㅗ" hidden="1">{#N/A,#N/A,FALSE,"운반시간"}</definedName>
    <definedName name="ㅗㅗㅜㅜ" hidden="1">{#N/A,#N/A,FALSE,"조골재"}</definedName>
    <definedName name="ㅗㅗㅜㅜㅜㅜ" hidden="1">{#N/A,#N/A,FALSE,"운반시간"}</definedName>
    <definedName name="ㅗㅛㅗㅎㄹ" localSheetId="0" hidden="1">{"운영수익1",#N/A,FALSE,"운영수익";"운영수익2",#N/A,FALSE,"운영수익";"운영수익3",#N/A,FALSE,"운영수익"}</definedName>
    <definedName name="ㅗㅛㅗㅎㄹ" hidden="1">{"운영수익1",#N/A,FALSE,"운영수익";"운영수익2",#N/A,FALSE,"운영수익";"운영수익3",#N/A,FALSE,"운영수익"}</definedName>
    <definedName name="ㅗㅜㅗㅜㅗㅜ" hidden="1">{#N/A,#N/A,FALSE,"운반시간"}</definedName>
    <definedName name="ㅗㅜㅗㅜㅗㅜㅗㅗㅗㅗ" hidden="1">{#N/A,#N/A,FALSE,"조골재"}</definedName>
    <definedName name="ㅗㅜㅗㅜㅗㅜㅗㅜㅗㅜ" hidden="1">{#N/A,#N/A,FALSE,"운반시간"}</definedName>
    <definedName name="ㅗㅠㅊㅌㅍㅇㄹㅇㅀ" localSheetId="0" hidden="1">{"배후단지",#N/A,FALSE,"배후단지 및 부대사업"}</definedName>
    <definedName name="ㅗㅠㅊㅌㅍㅇㄹㅇㅀ" hidden="1">{"배후단지",#N/A,FALSE,"배후단지 및 부대사업"}</definedName>
    <definedName name="ㅘㅓ" localSheetId="0" hidden="1">{#N/A,#N/A,FALSE,"운반시간"}</definedName>
    <definedName name="ㅘㅓ" hidden="1">{#N/A,#N/A,FALSE,"운반시간"}</definedName>
    <definedName name="ㅛ" localSheetId="0" hidden="1">{#N/A,#N/A,FALSE,"부대1"}</definedName>
    <definedName name="ㅛ" hidden="1">{#N/A,#N/A,FALSE,"부대1"}</definedName>
    <definedName name="ㅛㅈㅅ" localSheetId="0" hidden="1">{#N/A,#N/A,FALSE,"골재소요량";#N/A,#N/A,FALSE,"골재소요량"}</definedName>
    <definedName name="ㅛㅈㅅ" hidden="1">{#N/A,#N/A,FALSE,"골재소요량";#N/A,#N/A,FALSE,"골재소요량"}</definedName>
    <definedName name="ㅛㅕㅑ" hidden="1">#REF!</definedName>
    <definedName name="ㅛㅛ" localSheetId="0" hidden="1">{#N/A,#N/A,FALSE,"조골재"}</definedName>
    <definedName name="ㅛㅛ" hidden="1">{#N/A,#N/A,FALSE,"조골재"}</definedName>
    <definedName name="ㅛㅛㅗㅛㅗㅛㅗㅛ" localSheetId="0" hidden="1">{"추정대차대조표",#N/A,FALSE,"추정BS"}</definedName>
    <definedName name="ㅛㅛㅗㅛㅗㅛㅗㅛ" hidden="1">{"추정대차대조표",#N/A,FALSE,"추정BS"}</definedName>
    <definedName name="ㅛㅛㅛ" localSheetId="5" hidden="1">#REF!</definedName>
    <definedName name="ㅛㅛㅛ" localSheetId="9" hidden="1">#REF!</definedName>
    <definedName name="ㅛㅛㅛ" localSheetId="8" hidden="1">#REF!</definedName>
    <definedName name="ㅛㅛㅛ" hidden="1">#REF!</definedName>
    <definedName name="ㅛㅛㅛㅛ" hidden="1">#REF!</definedName>
    <definedName name="ㅜ" localSheetId="0" hidden="1">{#N/A,#N/A,FALSE,"조골재"}</definedName>
    <definedName name="ㅜ" hidden="1">{#N/A,#N/A,FALSE,"조골재"}</definedName>
    <definedName name="ㅜ_1" localSheetId="0" hidden="1">{#N/A,#N/A,FALSE,"조골재"}</definedName>
    <definedName name="ㅜ_1" hidden="1">{#N/A,#N/A,FALSE,"조골재"}</definedName>
    <definedName name="ㅜㅁㄴ아ㅑ" hidden="1">{#N/A,#N/A,FALSE,"단가표지"}</definedName>
    <definedName name="ㅜ아ㅏ후" hidden="1">{#N/A,#N/A,FALSE,"골재소요량";#N/A,#N/A,FALSE,"골재소요량"}</definedName>
    <definedName name="ㅜㅗㅗ" hidden="1">{#N/A,#N/A,FALSE,"2~8번"}</definedName>
    <definedName name="ㅜㅗㅜㅜㅜㅜㅜㅜㅜㅜㅜ" hidden="1">{#N/A,#N/A,FALSE,"2~8번"}</definedName>
    <definedName name="ㅜㅜ" hidden="1">{#N/A,#N/A,FALSE,"운반시간"}</definedName>
    <definedName name="ㅜㅜㅜㅜㅜㅜㅜㅜㅜㅜ" hidden="1">{#N/A,#N/A,FALSE,"조골재"}</definedName>
    <definedName name="ㅜㅜㅜㅜㅜㅜㅜㅜㅜㅜㅜ" hidden="1">{#N/A,#N/A,FALSE,"조골재"}</definedName>
    <definedName name="ㅜㅜㅜㅜㅜㅜㅜㅜㅜㅜㅜㅜㅜㅜㅜㅜㅜ" hidden="1">#REF!</definedName>
    <definedName name="ㅜㅠㅊ퓨ㅜ" localSheetId="5" hidden="1">#REF!</definedName>
    <definedName name="ㅜㅠㅊ퓨ㅜ" localSheetId="9" hidden="1">#REF!</definedName>
    <definedName name="ㅜㅠㅊ퓨ㅜ" localSheetId="8" hidden="1">#REF!</definedName>
    <definedName name="ㅜㅠㅊ퓨ㅜ" hidden="1">#REF!</definedName>
    <definedName name="ㅠ뮤ㅐ" localSheetId="0" hidden="1">#REF!</definedName>
    <definedName name="ㅠ뮤ㅐ" localSheetId="5" hidden="1">#REF!</definedName>
    <definedName name="ㅠ뮤ㅐ" localSheetId="9" hidden="1">#REF!</definedName>
    <definedName name="ㅠ뮤ㅐ" localSheetId="8" hidden="1">#REF!</definedName>
    <definedName name="ㅠ뮤ㅐ" hidden="1">#REF!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ㅠㅠ" localSheetId="0" hidden="1">{"대출금상환계획",#N/A,FALSE,"추정IS,CF,무상사용"}</definedName>
    <definedName name="ㅠㅠㅠ" hidden="1">{"대출금상환계획",#N/A,FALSE,"추정IS,CF,무상사용"}</definedName>
    <definedName name="ㅠㅠㅠㅠㅠ" localSheetId="0" hidden="1">{#N/A,#N/A,FALSE,"2~8번"}</definedName>
    <definedName name="ㅠㅠㅠㅠㅠ" hidden="1">{#N/A,#N/A,FALSE,"2~8번"}</definedName>
    <definedName name="ㅡ" localSheetId="0" hidden="1">{#N/A,#N/A,FALSE,"2~8번"}</definedName>
    <definedName name="ㅡ" hidden="1">{#N/A,#N/A,FALSE,"2~8번"}</definedName>
    <definedName name="ㅡ_1" localSheetId="0" hidden="1">{#N/A,#N/A,FALSE,"2~8번"}</definedName>
    <definedName name="ㅡ_1" hidden="1">{#N/A,#N/A,FALSE,"2~8번"}</definedName>
    <definedName name="ㅢㅏㅇ너라ㅓ" hidden="1">{#N/A,#N/A,FALSE,"운반시간"}</definedName>
    <definedName name="ㅣㅎㄹㅇㅇ" localSheetId="0" hidden="1">{#N/A,#N/A,FALSE,"토공2"}</definedName>
    <definedName name="ㅣㅎㄹㅇㅇ" hidden="1">{#N/A,#N/A,FALSE,"토공2"}</definedName>
    <definedName name="ㅣㅏㅓ" localSheetId="0" hidden="1">{#N/A,#N/A,FALSE,"운반시간"}</definedName>
    <definedName name="ㅣㅏㅓ" hidden="1">{#N/A,#N/A,FALSE,"운반시간"}</definedName>
    <definedName name="ㅣㅏㅓㅣㅏㅓㅣ" localSheetId="0" hidden="1">{#N/A,#N/A,FALSE,"속도"}</definedName>
    <definedName name="ㅣㅏㅓㅣㅏㅓㅣ" hidden="1">{#N/A,#N/A,FALSE,"속도"}</definedName>
    <definedName name="ㅣㅑㅁ어리" hidden="1">{#N/A,#N/A,FALSE,"조골재"}</definedName>
    <definedName name="ㅣㅑ엄리먼ㅇㄹ" hidden="1">{#N/A,#N/A,FALSE,"조골재"}</definedName>
    <definedName name="ㅣㅑㅕㅗ" localSheetId="5" hidden="1">#REF!</definedName>
    <definedName name="ㅣㅑㅕㅗ" localSheetId="9" hidden="1">#REF!</definedName>
    <definedName name="ㅣㅑㅕㅗ" localSheetId="8" hidden="1">#REF!</definedName>
    <definedName name="ㅣㅑㅕㅗ" hidden="1">#REF!</definedName>
    <definedName name="ㅣㅑㅣㅣ" localSheetId="0" hidden="1">{#N/A,#N/A,FALSE,"혼합골재"}</definedName>
    <definedName name="ㅣㅑㅣㅣ" hidden="1">{#N/A,#N/A,FALSE,"혼합골재"}</definedName>
    <definedName name="ㅣㅣㅣ" localSheetId="5" hidden="1">#REF!</definedName>
    <definedName name="ㅣㅣㅣ" localSheetId="9" hidden="1">#REF!</definedName>
    <definedName name="ㅣㅣㅣ" localSheetId="8" hidden="1">#REF!</definedName>
    <definedName name="ㅣㅣㅣ" hidden="1">#REF!</definedName>
    <definedName name="ㅣㅣㅣㅣ" localSheetId="5" hidden="1">#REF!</definedName>
    <definedName name="ㅣㅣㅣㅣ" localSheetId="9" hidden="1">#REF!</definedName>
    <definedName name="ㅣㅣㅣㅣ" localSheetId="8" hidden="1">#REF!</definedName>
    <definedName name="ㅣㅣㅣㅣ" hidden="1">#REF!</definedName>
    <definedName name="ㅣㅣㅣㅣㅣ" localSheetId="5" hidden="1">#REF!</definedName>
    <definedName name="ㅣㅣㅣㅣㅣ" localSheetId="9" hidden="1">#REF!</definedName>
    <definedName name="ㅣㅣㅣㅣㅣ" localSheetId="8" hidden="1">#REF!</definedName>
    <definedName name="ㅣㅣㅣㅣㅣ" hidden="1">#REF!</definedName>
    <definedName name="ㅣㅣㅣㅣㅣㅣ" localSheetId="5" hidden="1">#REF!</definedName>
    <definedName name="ㅣㅣㅣㅣㅣㅣ" localSheetId="9" hidden="1">#REF!</definedName>
    <definedName name="ㅣㅣㅣㅣㅣㅣ" localSheetId="8" hidden="1">#REF!</definedName>
    <definedName name="ㅣㅣㅣㅣㅣㅣ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0" i="287" l="1"/>
  <c r="A21" i="287" s="1"/>
  <c r="A22" i="287" s="1"/>
  <c r="A23" i="287" s="1"/>
  <c r="A24" i="287" s="1"/>
  <c r="A25" i="287" s="1"/>
  <c r="A26" i="287" s="1"/>
  <c r="A27" i="287" s="1"/>
  <c r="A28" i="287" s="1"/>
  <c r="A29" i="287" s="1"/>
  <c r="A30" i="287" s="1"/>
  <c r="A31" i="287" s="1"/>
  <c r="A32" i="287" s="1"/>
  <c r="A33" i="287" s="1"/>
  <c r="A34" i="287" s="1"/>
  <c r="A35" i="287" s="1"/>
  <c r="A36" i="287" s="1"/>
  <c r="A37" i="287" s="1"/>
  <c r="A38" i="287" s="1"/>
  <c r="A39" i="287" s="1"/>
  <c r="A40" i="287" s="1"/>
  <c r="A41" i="287" s="1"/>
  <c r="A42" i="287" s="1"/>
  <c r="A43" i="287" s="1"/>
  <c r="A44" i="287" s="1"/>
  <c r="A45" i="287" s="1"/>
  <c r="A46" i="287" s="1"/>
  <c r="A47" i="287" s="1"/>
  <c r="A48" i="287" s="1"/>
  <c r="A49" i="287" s="1"/>
  <c r="A50" i="287" s="1"/>
  <c r="A7" i="243"/>
  <c r="A8" i="243" s="1"/>
  <c r="A9" i="243" s="1"/>
  <c r="A10" i="243" s="1"/>
  <c r="A11" i="243" s="1"/>
  <c r="A12" i="243" s="1"/>
  <c r="A13" i="243" s="1"/>
  <c r="A14" i="243" s="1"/>
  <c r="A15" i="243" s="1"/>
  <c r="A16" i="243" s="1"/>
  <c r="A17" i="243" s="1"/>
  <c r="A18" i="243" s="1"/>
  <c r="A19" i="243" s="1"/>
  <c r="A20" i="243" s="1"/>
  <c r="A21" i="243" s="1"/>
  <c r="A22" i="243" s="1"/>
  <c r="A23" i="243" s="1"/>
  <c r="A24" i="243" s="1"/>
  <c r="A25" i="243" s="1"/>
  <c r="A26" i="243" s="1"/>
  <c r="A27" i="243" s="1"/>
  <c r="A28" i="243" s="1"/>
  <c r="A29" i="243" s="1"/>
  <c r="A30" i="243" s="1"/>
  <c r="A31" i="243" s="1"/>
  <c r="A32" i="243" s="1"/>
  <c r="A33" i="243" s="1"/>
  <c r="A34" i="243" s="1"/>
  <c r="A35" i="243" s="1"/>
  <c r="A36" i="243" s="1"/>
  <c r="A37" i="243" s="1"/>
  <c r="A38" i="243" s="1"/>
  <c r="A39" i="243" s="1"/>
  <c r="A40" i="243" s="1"/>
  <c r="A41" i="243" s="1"/>
  <c r="A42" i="243" s="1"/>
  <c r="A43" i="243" s="1"/>
  <c r="A44" i="243" s="1"/>
  <c r="A45" i="243" s="1"/>
  <c r="A46" i="243" s="1"/>
  <c r="A47" i="243" s="1"/>
  <c r="A48" i="243" s="1"/>
  <c r="A49" i="243" s="1"/>
  <c r="A50" i="243" s="1"/>
  <c r="A51" i="243" s="1"/>
  <c r="A52" i="243" s="1"/>
  <c r="A53" i="243" s="1"/>
  <c r="A54" i="243" s="1"/>
  <c r="A55" i="243" s="1"/>
  <c r="A56" i="243" s="1"/>
  <c r="A57" i="243" s="1"/>
  <c r="A58" i="243" s="1"/>
  <c r="A59" i="243" s="1"/>
  <c r="A60" i="243" s="1"/>
  <c r="A61" i="243" s="1"/>
  <c r="A62" i="243" s="1"/>
  <c r="A63" i="243" s="1"/>
  <c r="A64" i="243" s="1"/>
  <c r="A65" i="243" s="1"/>
  <c r="A66" i="243" s="1"/>
  <c r="A67" i="243" s="1"/>
  <c r="A68" i="243" s="1"/>
  <c r="A69" i="243" s="1"/>
  <c r="A70" i="243" s="1"/>
  <c r="A71" i="243" s="1"/>
  <c r="A72" i="243" s="1"/>
  <c r="A73" i="243" s="1"/>
  <c r="A74" i="243" s="1"/>
  <c r="A75" i="243" s="1"/>
  <c r="A76" i="243" s="1"/>
  <c r="A77" i="243" s="1"/>
  <c r="A78" i="243" s="1"/>
  <c r="B38" i="286"/>
  <c r="C38" i="286"/>
  <c r="S38" i="286"/>
  <c r="T38" i="286"/>
  <c r="X38" i="286"/>
  <c r="V38" i="286" s="1"/>
  <c r="B39" i="286"/>
  <c r="C39" i="286"/>
  <c r="Y39" i="286" s="1"/>
  <c r="S39" i="286"/>
  <c r="T39" i="286"/>
  <c r="X39" i="286"/>
  <c r="V39" i="286" s="1"/>
  <c r="B11" i="286"/>
  <c r="C11" i="286"/>
  <c r="S11" i="286"/>
  <c r="T11" i="286"/>
  <c r="X11" i="286"/>
  <c r="V11" i="286" s="1"/>
  <c r="B12" i="286"/>
  <c r="C12" i="286"/>
  <c r="S12" i="286"/>
  <c r="T12" i="286"/>
  <c r="X12" i="286"/>
  <c r="V12" i="286" s="1"/>
  <c r="Y12" i="286"/>
  <c r="B13" i="286"/>
  <c r="C13" i="286"/>
  <c r="S13" i="286"/>
  <c r="T13" i="286"/>
  <c r="X13" i="286"/>
  <c r="V13" i="286" s="1"/>
  <c r="B14" i="286"/>
  <c r="C14" i="286"/>
  <c r="Y14" i="286" s="1"/>
  <c r="S14" i="286"/>
  <c r="T14" i="286"/>
  <c r="X14" i="286"/>
  <c r="V14" i="286" s="1"/>
  <c r="B15" i="286"/>
  <c r="C15" i="286"/>
  <c r="S15" i="286"/>
  <c r="T15" i="286"/>
  <c r="X15" i="286"/>
  <c r="V15" i="286" s="1"/>
  <c r="B16" i="286"/>
  <c r="C16" i="286"/>
  <c r="S16" i="286"/>
  <c r="T16" i="286"/>
  <c r="X16" i="286"/>
  <c r="V16" i="286" s="1"/>
  <c r="Y16" i="286"/>
  <c r="B17" i="286"/>
  <c r="C17" i="286"/>
  <c r="S17" i="286"/>
  <c r="T17" i="286"/>
  <c r="X17" i="286"/>
  <c r="V17" i="286" s="1"/>
  <c r="B18" i="286"/>
  <c r="C18" i="286"/>
  <c r="Y18" i="286" s="1"/>
  <c r="S18" i="286"/>
  <c r="T18" i="286"/>
  <c r="X18" i="286"/>
  <c r="V18" i="286" s="1"/>
  <c r="B19" i="286"/>
  <c r="C19" i="286"/>
  <c r="S19" i="286"/>
  <c r="T19" i="286"/>
  <c r="X19" i="286"/>
  <c r="V19" i="286" s="1"/>
  <c r="B20" i="286"/>
  <c r="C20" i="286"/>
  <c r="S20" i="286"/>
  <c r="T20" i="286"/>
  <c r="X20" i="286"/>
  <c r="V20" i="286" s="1"/>
  <c r="Y20" i="286"/>
  <c r="B21" i="286"/>
  <c r="C21" i="286"/>
  <c r="S21" i="286"/>
  <c r="T21" i="286"/>
  <c r="X21" i="286"/>
  <c r="V21" i="286" s="1"/>
  <c r="B22" i="286"/>
  <c r="C22" i="286"/>
  <c r="Y22" i="286" s="1"/>
  <c r="S22" i="286"/>
  <c r="T22" i="286"/>
  <c r="X22" i="286"/>
  <c r="B23" i="286"/>
  <c r="C23" i="286"/>
  <c r="S23" i="286"/>
  <c r="T23" i="286"/>
  <c r="X23" i="286"/>
  <c r="B24" i="286"/>
  <c r="C24" i="286"/>
  <c r="S24" i="286"/>
  <c r="T24" i="286"/>
  <c r="X24" i="286"/>
  <c r="V24" i="286" s="1"/>
  <c r="Y24" i="286"/>
  <c r="B25" i="286"/>
  <c r="C25" i="286"/>
  <c r="S25" i="286"/>
  <c r="T25" i="286"/>
  <c r="X25" i="286"/>
  <c r="V25" i="286" s="1"/>
  <c r="B26" i="286"/>
  <c r="C26" i="286"/>
  <c r="Y26" i="286" s="1"/>
  <c r="S26" i="286"/>
  <c r="T26" i="286"/>
  <c r="X26" i="286"/>
  <c r="B27" i="286"/>
  <c r="C27" i="286"/>
  <c r="S27" i="286"/>
  <c r="T27" i="286"/>
  <c r="X27" i="286"/>
  <c r="V27" i="286" s="1"/>
  <c r="B28" i="286"/>
  <c r="C28" i="286"/>
  <c r="S28" i="286"/>
  <c r="T28" i="286"/>
  <c r="X28" i="286"/>
  <c r="V28" i="286" s="1"/>
  <c r="Y28" i="286"/>
  <c r="B29" i="286"/>
  <c r="C29" i="286"/>
  <c r="S29" i="286"/>
  <c r="T29" i="286"/>
  <c r="X29" i="286"/>
  <c r="B30" i="286"/>
  <c r="C30" i="286"/>
  <c r="Y30" i="286" s="1"/>
  <c r="S30" i="286"/>
  <c r="T30" i="286"/>
  <c r="X30" i="286"/>
  <c r="B31" i="286"/>
  <c r="C31" i="286"/>
  <c r="S31" i="286"/>
  <c r="T31" i="286"/>
  <c r="X31" i="286"/>
  <c r="B32" i="286"/>
  <c r="C32" i="286"/>
  <c r="S32" i="286"/>
  <c r="T32" i="286"/>
  <c r="X32" i="286"/>
  <c r="V32" i="286" s="1"/>
  <c r="Y32" i="286"/>
  <c r="B33" i="286"/>
  <c r="C33" i="286"/>
  <c r="S33" i="286"/>
  <c r="T33" i="286"/>
  <c r="X33" i="286"/>
  <c r="V33" i="286" s="1"/>
  <c r="B34" i="286"/>
  <c r="C34" i="286"/>
  <c r="Y34" i="286" s="1"/>
  <c r="S34" i="286"/>
  <c r="T34" i="286"/>
  <c r="X34" i="286"/>
  <c r="V34" i="286" s="1"/>
  <c r="B35" i="286"/>
  <c r="C35" i="286"/>
  <c r="S35" i="286"/>
  <c r="T35" i="286"/>
  <c r="X35" i="286"/>
  <c r="V35" i="286" s="1"/>
  <c r="B36" i="286"/>
  <c r="C36" i="286"/>
  <c r="S36" i="286"/>
  <c r="T36" i="286"/>
  <c r="X36" i="286"/>
  <c r="V36" i="286" s="1"/>
  <c r="Y36" i="286"/>
  <c r="B37" i="286"/>
  <c r="C37" i="286"/>
  <c r="S37" i="286"/>
  <c r="T37" i="286"/>
  <c r="X37" i="286"/>
  <c r="V37" i="286" s="1"/>
  <c r="B40" i="286"/>
  <c r="C40" i="286"/>
  <c r="Y40" i="286" s="1"/>
  <c r="S40" i="286"/>
  <c r="T40" i="286"/>
  <c r="X40" i="286"/>
  <c r="V40" i="286" s="1"/>
  <c r="B41" i="286"/>
  <c r="C41" i="286"/>
  <c r="S41" i="286"/>
  <c r="T41" i="286"/>
  <c r="X41" i="286"/>
  <c r="V41" i="286" s="1"/>
  <c r="B42" i="286"/>
  <c r="C42" i="286"/>
  <c r="S42" i="286"/>
  <c r="T42" i="286"/>
  <c r="X42" i="286"/>
  <c r="Y42" i="286"/>
  <c r="B43" i="286"/>
  <c r="C43" i="286"/>
  <c r="S43" i="286"/>
  <c r="T43" i="286"/>
  <c r="X43" i="286"/>
  <c r="B10" i="286"/>
  <c r="C10" i="286"/>
  <c r="Y10" i="286" s="1"/>
  <c r="S10" i="286"/>
  <c r="T10" i="286"/>
  <c r="X10" i="286"/>
  <c r="A7" i="282"/>
  <c r="A8" i="282" s="1"/>
  <c r="A9" i="282" s="1"/>
  <c r="A10" i="282" s="1"/>
  <c r="A11" i="282" s="1"/>
  <c r="A12" i="282" s="1"/>
  <c r="A13" i="282" s="1"/>
  <c r="A14" i="282" s="1"/>
  <c r="A15" i="282" s="1"/>
  <c r="A16" i="282" s="1"/>
  <c r="A17" i="282" s="1"/>
  <c r="A18" i="282" s="1"/>
  <c r="A19" i="282" s="1"/>
  <c r="A20" i="282" s="1"/>
  <c r="A21" i="282" s="1"/>
  <c r="A22" i="282" s="1"/>
  <c r="A23" i="282" s="1"/>
  <c r="A24" i="282" s="1"/>
  <c r="A25" i="282" s="1"/>
  <c r="A26" i="282" s="1"/>
  <c r="A27" i="282" s="1"/>
  <c r="A28" i="282" s="1"/>
  <c r="A29" i="282" s="1"/>
  <c r="A30" i="282" s="1"/>
  <c r="A31" i="282" s="1"/>
  <c r="A32" i="282" s="1"/>
  <c r="A33" i="282" s="1"/>
  <c r="A34" i="282" s="1"/>
  <c r="A35" i="282" s="1"/>
  <c r="A36" i="282" s="1"/>
  <c r="A37" i="282" s="1"/>
  <c r="A38" i="282" s="1"/>
  <c r="A39" i="282" s="1"/>
  <c r="A40" i="282" s="1"/>
  <c r="C44" i="287"/>
  <c r="B44" i="287"/>
  <c r="S44" i="287"/>
  <c r="T44" i="287"/>
  <c r="V44" i="287"/>
  <c r="B45" i="287"/>
  <c r="C45" i="287"/>
  <c r="S45" i="287"/>
  <c r="T45" i="287"/>
  <c r="V45" i="287"/>
  <c r="A7" i="287"/>
  <c r="A8" i="287" s="1"/>
  <c r="A9" i="287" s="1"/>
  <c r="A10" i="287" s="1"/>
  <c r="A11" i="287" s="1"/>
  <c r="A12" i="287" s="1"/>
  <c r="A13" i="287" s="1"/>
  <c r="A14" i="287" s="1"/>
  <c r="A15" i="287" s="1"/>
  <c r="A16" i="287" s="1"/>
  <c r="A17" i="287" s="1"/>
  <c r="A18" i="287" s="1"/>
  <c r="A19" i="287" s="1"/>
  <c r="B10" i="287"/>
  <c r="C10" i="287"/>
  <c r="S10" i="287"/>
  <c r="T10" i="287"/>
  <c r="B11" i="287"/>
  <c r="C11" i="287"/>
  <c r="S11" i="287"/>
  <c r="T11" i="287"/>
  <c r="B12" i="287"/>
  <c r="C12" i="287"/>
  <c r="S12" i="287"/>
  <c r="T12" i="287"/>
  <c r="B13" i="287"/>
  <c r="C13" i="287"/>
  <c r="S13" i="287"/>
  <c r="T13" i="287"/>
  <c r="B14" i="287"/>
  <c r="C14" i="287"/>
  <c r="S14" i="287"/>
  <c r="T14" i="287"/>
  <c r="E175" i="266"/>
  <c r="F175" i="266"/>
  <c r="E176" i="266"/>
  <c r="F176" i="266"/>
  <c r="E177" i="266"/>
  <c r="F177" i="266"/>
  <c r="E178" i="266"/>
  <c r="F178" i="266"/>
  <c r="E179" i="266"/>
  <c r="F179" i="266"/>
  <c r="E180" i="266"/>
  <c r="F180" i="266"/>
  <c r="E181" i="266"/>
  <c r="F181" i="266"/>
  <c r="E182" i="266"/>
  <c r="F182" i="266"/>
  <c r="E183" i="266"/>
  <c r="F183" i="266"/>
  <c r="E184" i="266"/>
  <c r="F184" i="266"/>
  <c r="E185" i="266"/>
  <c r="F185" i="266"/>
  <c r="E186" i="266"/>
  <c r="F186" i="266"/>
  <c r="E187" i="266"/>
  <c r="F187" i="266"/>
  <c r="E188" i="266"/>
  <c r="F188" i="266"/>
  <c r="E189" i="266"/>
  <c r="F189" i="266"/>
  <c r="E190" i="266"/>
  <c r="F190" i="266"/>
  <c r="E191" i="266"/>
  <c r="F191" i="266"/>
  <c r="E192" i="266"/>
  <c r="F192" i="266"/>
  <c r="E193" i="266"/>
  <c r="F193" i="266"/>
  <c r="E194" i="266"/>
  <c r="F194" i="266"/>
  <c r="E195" i="266"/>
  <c r="F195" i="266"/>
  <c r="E196" i="266"/>
  <c r="F196" i="266"/>
  <c r="E197" i="266"/>
  <c r="F197" i="266"/>
  <c r="E198" i="266"/>
  <c r="F198" i="266"/>
  <c r="E199" i="266"/>
  <c r="F199" i="266"/>
  <c r="E200" i="266"/>
  <c r="F200" i="266"/>
  <c r="E201" i="266"/>
  <c r="F201" i="266"/>
  <c r="E202" i="266"/>
  <c r="F202" i="266"/>
  <c r="E203" i="266"/>
  <c r="F203" i="266"/>
  <c r="E204" i="266"/>
  <c r="F204" i="266"/>
  <c r="E205" i="266"/>
  <c r="F205" i="266"/>
  <c r="E206" i="266"/>
  <c r="F206" i="266"/>
  <c r="E207" i="266"/>
  <c r="F207" i="266"/>
  <c r="E208" i="266"/>
  <c r="F208" i="266"/>
  <c r="E209" i="266"/>
  <c r="F209" i="266"/>
  <c r="E210" i="266"/>
  <c r="F210" i="266"/>
  <c r="E211" i="266"/>
  <c r="F211" i="266"/>
  <c r="E212" i="266"/>
  <c r="F212" i="266"/>
  <c r="E213" i="266"/>
  <c r="F213" i="266"/>
  <c r="E214" i="266"/>
  <c r="F214" i="266"/>
  <c r="E215" i="266"/>
  <c r="F215" i="266"/>
  <c r="E216" i="266"/>
  <c r="F216" i="266"/>
  <c r="E217" i="266"/>
  <c r="F217" i="266"/>
  <c r="E218" i="266"/>
  <c r="F218" i="266"/>
  <c r="E219" i="266"/>
  <c r="F219" i="266"/>
  <c r="E220" i="266"/>
  <c r="F220" i="266"/>
  <c r="E221" i="266"/>
  <c r="F221" i="266"/>
  <c r="E222" i="266"/>
  <c r="F222" i="266"/>
  <c r="E223" i="266"/>
  <c r="F223" i="266"/>
  <c r="E224" i="266"/>
  <c r="F224" i="266"/>
  <c r="E225" i="266"/>
  <c r="F225" i="266"/>
  <c r="E226" i="266"/>
  <c r="F226" i="266"/>
  <c r="E227" i="266"/>
  <c r="F227" i="266"/>
  <c r="E228" i="266"/>
  <c r="F228" i="266"/>
  <c r="E229" i="266"/>
  <c r="F229" i="266"/>
  <c r="E230" i="266"/>
  <c r="F230" i="266"/>
  <c r="E231" i="266"/>
  <c r="F231" i="266"/>
  <c r="E232" i="266"/>
  <c r="F232" i="266"/>
  <c r="E233" i="266"/>
  <c r="F233" i="266"/>
  <c r="E234" i="266"/>
  <c r="F234" i="266"/>
  <c r="E235" i="266"/>
  <c r="F235" i="266"/>
  <c r="E236" i="266"/>
  <c r="F236" i="266"/>
  <c r="E237" i="266"/>
  <c r="F237" i="266"/>
  <c r="E238" i="266"/>
  <c r="F238" i="266"/>
  <c r="E239" i="266"/>
  <c r="F239" i="266"/>
  <c r="E240" i="266"/>
  <c r="F240" i="266"/>
  <c r="E241" i="266"/>
  <c r="F241" i="266"/>
  <c r="E242" i="266"/>
  <c r="F242" i="266"/>
  <c r="E243" i="266"/>
  <c r="F243" i="266"/>
  <c r="E170" i="266"/>
  <c r="F170" i="266"/>
  <c r="E171" i="266"/>
  <c r="F171" i="266"/>
  <c r="E172" i="266"/>
  <c r="F172" i="266"/>
  <c r="E173" i="266"/>
  <c r="F173" i="266"/>
  <c r="E174" i="266"/>
  <c r="F174" i="266"/>
  <c r="E169" i="266"/>
  <c r="F169" i="266"/>
  <c r="E168" i="266"/>
  <c r="F168" i="266"/>
  <c r="A28" i="249"/>
  <c r="G28" i="249" s="1"/>
  <c r="A23" i="249"/>
  <c r="C23" i="249" s="1"/>
  <c r="H23" i="249" s="1"/>
  <c r="A24" i="249"/>
  <c r="C24" i="249" s="1"/>
  <c r="H24" i="249" s="1"/>
  <c r="A18" i="249"/>
  <c r="G18" i="249" s="1"/>
  <c r="E18" i="249"/>
  <c r="A19" i="249"/>
  <c r="C19" i="249" s="1"/>
  <c r="H19" i="249" s="1"/>
  <c r="C18" i="249" l="1"/>
  <c r="H18" i="249" s="1"/>
  <c r="I19" i="249"/>
  <c r="J19" i="249" s="1"/>
  <c r="G19" i="249"/>
  <c r="E28" i="249"/>
  <c r="Y38" i="286"/>
  <c r="Y43" i="286"/>
  <c r="Y41" i="286"/>
  <c r="Y37" i="286"/>
  <c r="Y35" i="286"/>
  <c r="Y33" i="286"/>
  <c r="Y31" i="286"/>
  <c r="Y29" i="286"/>
  <c r="Y27" i="286"/>
  <c r="Y25" i="286"/>
  <c r="Y23" i="286"/>
  <c r="Y21" i="286"/>
  <c r="Y19" i="286"/>
  <c r="Y17" i="286"/>
  <c r="Y15" i="286"/>
  <c r="Y13" i="286"/>
  <c r="Y11" i="286"/>
  <c r="G23" i="249"/>
  <c r="I23" i="249" s="1"/>
  <c r="J23" i="249" s="1"/>
  <c r="E19" i="249"/>
  <c r="I18" i="249"/>
  <c r="J18" i="249" s="1"/>
  <c r="C28" i="249"/>
  <c r="H28" i="249" s="1"/>
  <c r="I28" i="249" s="1"/>
  <c r="J28" i="249" s="1"/>
  <c r="G24" i="249"/>
  <c r="I24" i="249" s="1"/>
  <c r="J24" i="249" s="1"/>
  <c r="E23" i="249"/>
  <c r="E24" i="249"/>
  <c r="B7" i="282" l="1"/>
  <c r="C7" i="282"/>
  <c r="D7" i="282" s="1"/>
  <c r="E7" i="282" s="1"/>
  <c r="B8" i="282"/>
  <c r="C8" i="282"/>
  <c r="D8" i="282" s="1"/>
  <c r="E8" i="282" s="1"/>
  <c r="B9" i="282"/>
  <c r="C9" i="282"/>
  <c r="D9" i="282" s="1"/>
  <c r="E9" i="282" s="1"/>
  <c r="B10" i="282"/>
  <c r="C10" i="282"/>
  <c r="D10" i="282" s="1"/>
  <c r="E10" i="282" s="1"/>
  <c r="B11" i="282"/>
  <c r="C11" i="282"/>
  <c r="D11" i="282" s="1"/>
  <c r="E11" i="282" s="1"/>
  <c r="B12" i="282"/>
  <c r="C12" i="282"/>
  <c r="D12" i="282" s="1"/>
  <c r="E12" i="282" s="1"/>
  <c r="B13" i="282"/>
  <c r="C13" i="282"/>
  <c r="D13" i="282" s="1"/>
  <c r="E13" i="282" s="1"/>
  <c r="B14" i="282"/>
  <c r="C14" i="282"/>
  <c r="D14" i="282" s="1"/>
  <c r="E14" i="282" s="1"/>
  <c r="B15" i="282"/>
  <c r="C15" i="282"/>
  <c r="D15" i="282" s="1"/>
  <c r="E15" i="282" s="1"/>
  <c r="B16" i="282"/>
  <c r="C16" i="282"/>
  <c r="D16" i="282" s="1"/>
  <c r="E16" i="282" s="1"/>
  <c r="B17" i="282"/>
  <c r="C17" i="282"/>
  <c r="D17" i="282" s="1"/>
  <c r="E17" i="282" s="1"/>
  <c r="B18" i="282"/>
  <c r="C18" i="282"/>
  <c r="D18" i="282" s="1"/>
  <c r="E18" i="282" s="1"/>
  <c r="B19" i="282"/>
  <c r="C19" i="282"/>
  <c r="D19" i="282" s="1"/>
  <c r="E19" i="282" s="1"/>
  <c r="B20" i="282"/>
  <c r="C20" i="282"/>
  <c r="D20" i="282" s="1"/>
  <c r="E20" i="282" s="1"/>
  <c r="B21" i="282"/>
  <c r="C21" i="282"/>
  <c r="D21" i="282" s="1"/>
  <c r="E21" i="282" s="1"/>
  <c r="B22" i="282"/>
  <c r="C22" i="282"/>
  <c r="D22" i="282" s="1"/>
  <c r="E22" i="282" s="1"/>
  <c r="B23" i="282"/>
  <c r="C23" i="282"/>
  <c r="D23" i="282" s="1"/>
  <c r="E23" i="282" s="1"/>
  <c r="B24" i="282"/>
  <c r="C24" i="282"/>
  <c r="D24" i="282" s="1"/>
  <c r="E24" i="282" s="1"/>
  <c r="B25" i="282"/>
  <c r="C25" i="282"/>
  <c r="D25" i="282" s="1"/>
  <c r="E25" i="282" s="1"/>
  <c r="B26" i="282"/>
  <c r="C26" i="282"/>
  <c r="D26" i="282" s="1"/>
  <c r="E26" i="282" s="1"/>
  <c r="B27" i="282"/>
  <c r="C27" i="282"/>
  <c r="D27" i="282" s="1"/>
  <c r="E27" i="282" s="1"/>
  <c r="B28" i="282"/>
  <c r="C28" i="282"/>
  <c r="D28" i="282" s="1"/>
  <c r="E28" i="282" s="1"/>
  <c r="B29" i="282"/>
  <c r="C29" i="282"/>
  <c r="D29" i="282" s="1"/>
  <c r="E29" i="282" s="1"/>
  <c r="B30" i="282"/>
  <c r="C30" i="282"/>
  <c r="D30" i="282" s="1"/>
  <c r="E30" i="282" s="1"/>
  <c r="B31" i="282"/>
  <c r="C31" i="282"/>
  <c r="D31" i="282" s="1"/>
  <c r="E31" i="282" s="1"/>
  <c r="B32" i="282"/>
  <c r="C32" i="282"/>
  <c r="D32" i="282" s="1"/>
  <c r="E32" i="282" s="1"/>
  <c r="B33" i="282"/>
  <c r="C33" i="282"/>
  <c r="D33" i="282" s="1"/>
  <c r="E33" i="282" s="1"/>
  <c r="B34" i="282"/>
  <c r="C34" i="282"/>
  <c r="D34" i="282" s="1"/>
  <c r="E34" i="282" s="1"/>
  <c r="B35" i="282"/>
  <c r="C35" i="282"/>
  <c r="D35" i="282" s="1"/>
  <c r="E35" i="282" s="1"/>
  <c r="B36" i="282"/>
  <c r="C36" i="282"/>
  <c r="D36" i="282" s="1"/>
  <c r="E36" i="282" s="1"/>
  <c r="B37" i="282"/>
  <c r="C37" i="282"/>
  <c r="D37" i="282" s="1"/>
  <c r="E37" i="282" s="1"/>
  <c r="B38" i="282"/>
  <c r="C38" i="282"/>
  <c r="D38" i="282" s="1"/>
  <c r="E38" i="282" s="1"/>
  <c r="B39" i="282"/>
  <c r="C39" i="282"/>
  <c r="D39" i="282" s="1"/>
  <c r="E39" i="282" s="1"/>
  <c r="B40" i="282"/>
  <c r="C40" i="282"/>
  <c r="D40" i="282" s="1"/>
  <c r="E40" i="282" s="1"/>
  <c r="V7" i="282"/>
  <c r="W7" i="282"/>
  <c r="V8" i="282"/>
  <c r="W8" i="282"/>
  <c r="V9" i="282"/>
  <c r="W9" i="282"/>
  <c r="V10" i="282"/>
  <c r="W10" i="282"/>
  <c r="V11" i="282"/>
  <c r="W11" i="282"/>
  <c r="V12" i="282"/>
  <c r="W12" i="282"/>
  <c r="V13" i="282"/>
  <c r="W13" i="282"/>
  <c r="V14" i="282"/>
  <c r="W14" i="282"/>
  <c r="V15" i="282"/>
  <c r="W15" i="282"/>
  <c r="V16" i="282"/>
  <c r="W16" i="282"/>
  <c r="V17" i="282"/>
  <c r="W17" i="282"/>
  <c r="V18" i="282"/>
  <c r="W18" i="282"/>
  <c r="V19" i="282"/>
  <c r="W19" i="282"/>
  <c r="V20" i="282"/>
  <c r="W20" i="282"/>
  <c r="V21" i="282"/>
  <c r="W21" i="282"/>
  <c r="V22" i="282"/>
  <c r="W22" i="282"/>
  <c r="V23" i="282"/>
  <c r="W23" i="282"/>
  <c r="V24" i="282"/>
  <c r="W24" i="282"/>
  <c r="V25" i="282"/>
  <c r="W25" i="282"/>
  <c r="V26" i="282"/>
  <c r="W26" i="282"/>
  <c r="V27" i="282"/>
  <c r="W27" i="282"/>
  <c r="V28" i="282"/>
  <c r="W28" i="282"/>
  <c r="V29" i="282"/>
  <c r="W29" i="282"/>
  <c r="V30" i="282"/>
  <c r="W30" i="282"/>
  <c r="V31" i="282"/>
  <c r="W31" i="282"/>
  <c r="V32" i="282"/>
  <c r="W32" i="282"/>
  <c r="V33" i="282"/>
  <c r="W33" i="282"/>
  <c r="V34" i="282"/>
  <c r="W34" i="282"/>
  <c r="V35" i="282"/>
  <c r="W35" i="282"/>
  <c r="V36" i="282"/>
  <c r="W36" i="282"/>
  <c r="V37" i="282"/>
  <c r="W37" i="282"/>
  <c r="V38" i="282"/>
  <c r="W38" i="282"/>
  <c r="V39" i="282"/>
  <c r="W39" i="282"/>
  <c r="V40" i="282"/>
  <c r="W40" i="282"/>
  <c r="B7" i="243"/>
  <c r="C7" i="243"/>
  <c r="D7" i="243" s="1"/>
  <c r="B8" i="243"/>
  <c r="C8" i="243"/>
  <c r="D8" i="243" s="1"/>
  <c r="B9" i="243"/>
  <c r="C9" i="243"/>
  <c r="D9" i="243" s="1"/>
  <c r="B10" i="243"/>
  <c r="C10" i="243"/>
  <c r="D10" i="243" s="1"/>
  <c r="B11" i="243"/>
  <c r="C11" i="243"/>
  <c r="D11" i="243" s="1"/>
  <c r="B12" i="243"/>
  <c r="C12" i="243"/>
  <c r="D12" i="243"/>
  <c r="B13" i="243"/>
  <c r="C13" i="243"/>
  <c r="D13" i="243" s="1"/>
  <c r="B14" i="243"/>
  <c r="C14" i="243"/>
  <c r="D14" i="243" s="1"/>
  <c r="B15" i="243"/>
  <c r="C15" i="243"/>
  <c r="D15" i="243" s="1"/>
  <c r="B16" i="243"/>
  <c r="C16" i="243"/>
  <c r="D16" i="243" s="1"/>
  <c r="B17" i="243"/>
  <c r="C17" i="243"/>
  <c r="D17" i="243" s="1"/>
  <c r="B18" i="243"/>
  <c r="C18" i="243"/>
  <c r="D18" i="243" s="1"/>
  <c r="B19" i="243"/>
  <c r="C19" i="243"/>
  <c r="D19" i="243" s="1"/>
  <c r="B20" i="243"/>
  <c r="C20" i="243"/>
  <c r="D20" i="243" s="1"/>
  <c r="B21" i="243"/>
  <c r="C21" i="243"/>
  <c r="D21" i="243" s="1"/>
  <c r="B22" i="243"/>
  <c r="C22" i="243"/>
  <c r="D22" i="243" s="1"/>
  <c r="B23" i="243"/>
  <c r="C23" i="243"/>
  <c r="D23" i="243" s="1"/>
  <c r="B24" i="243"/>
  <c r="C24" i="243"/>
  <c r="D24" i="243" s="1"/>
  <c r="B25" i="243"/>
  <c r="C25" i="243"/>
  <c r="D25" i="243"/>
  <c r="B26" i="243"/>
  <c r="C26" i="243"/>
  <c r="D26" i="243" s="1"/>
  <c r="B27" i="243"/>
  <c r="C27" i="243"/>
  <c r="D27" i="243" s="1"/>
  <c r="B28" i="243"/>
  <c r="C28" i="243"/>
  <c r="D28" i="243" s="1"/>
  <c r="B29" i="243"/>
  <c r="C29" i="243"/>
  <c r="D29" i="243" s="1"/>
  <c r="B30" i="243"/>
  <c r="C30" i="243"/>
  <c r="D30" i="243" s="1"/>
  <c r="B31" i="243"/>
  <c r="C31" i="243"/>
  <c r="D31" i="243" s="1"/>
  <c r="B32" i="243"/>
  <c r="C32" i="243"/>
  <c r="D32" i="243" s="1"/>
  <c r="B33" i="243"/>
  <c r="C33" i="243"/>
  <c r="D33" i="243" s="1"/>
  <c r="B34" i="243"/>
  <c r="C34" i="243"/>
  <c r="D34" i="243" s="1"/>
  <c r="B35" i="243"/>
  <c r="C35" i="243"/>
  <c r="D35" i="243" s="1"/>
  <c r="B36" i="243"/>
  <c r="C36" i="243"/>
  <c r="D36" i="243" s="1"/>
  <c r="B37" i="243"/>
  <c r="C37" i="243"/>
  <c r="D37" i="243" s="1"/>
  <c r="B38" i="243"/>
  <c r="C38" i="243"/>
  <c r="D38" i="243" s="1"/>
  <c r="B39" i="243"/>
  <c r="C39" i="243"/>
  <c r="D39" i="243" s="1"/>
  <c r="B40" i="243"/>
  <c r="C40" i="243"/>
  <c r="D40" i="243" s="1"/>
  <c r="B41" i="243"/>
  <c r="C41" i="243"/>
  <c r="D41" i="243"/>
  <c r="B42" i="243"/>
  <c r="C42" i="243"/>
  <c r="D42" i="243" s="1"/>
  <c r="B43" i="243"/>
  <c r="C43" i="243"/>
  <c r="D43" i="243" s="1"/>
  <c r="B44" i="243"/>
  <c r="C44" i="243"/>
  <c r="D44" i="243" s="1"/>
  <c r="B45" i="243"/>
  <c r="C45" i="243"/>
  <c r="D45" i="243" s="1"/>
  <c r="B46" i="243"/>
  <c r="C46" i="243"/>
  <c r="D46" i="243" s="1"/>
  <c r="B47" i="243"/>
  <c r="C47" i="243"/>
  <c r="D47" i="243" s="1"/>
  <c r="B48" i="243"/>
  <c r="C48" i="243"/>
  <c r="D48" i="243" s="1"/>
  <c r="B49" i="243"/>
  <c r="C49" i="243"/>
  <c r="D49" i="243" s="1"/>
  <c r="B50" i="243"/>
  <c r="C50" i="243"/>
  <c r="D50" i="243" s="1"/>
  <c r="B51" i="243"/>
  <c r="C51" i="243"/>
  <c r="D51" i="243" s="1"/>
  <c r="B52" i="243"/>
  <c r="C52" i="243"/>
  <c r="D52" i="243" s="1"/>
  <c r="B53" i="243"/>
  <c r="C53" i="243"/>
  <c r="D53" i="243" s="1"/>
  <c r="B54" i="243"/>
  <c r="C54" i="243"/>
  <c r="D54" i="243" s="1"/>
  <c r="B55" i="243"/>
  <c r="C55" i="243"/>
  <c r="D55" i="243" s="1"/>
  <c r="B56" i="243"/>
  <c r="C56" i="243"/>
  <c r="D56" i="243" s="1"/>
  <c r="B57" i="243"/>
  <c r="C57" i="243"/>
  <c r="D57" i="243" s="1"/>
  <c r="B58" i="243"/>
  <c r="C58" i="243"/>
  <c r="D58" i="243" s="1"/>
  <c r="B59" i="243"/>
  <c r="C59" i="243"/>
  <c r="D59" i="243" s="1"/>
  <c r="B60" i="243"/>
  <c r="C60" i="243"/>
  <c r="D60" i="243" s="1"/>
  <c r="B61" i="243"/>
  <c r="C61" i="243"/>
  <c r="D61" i="243"/>
  <c r="B62" i="243"/>
  <c r="C62" i="243"/>
  <c r="D62" i="243" s="1"/>
  <c r="B63" i="243"/>
  <c r="C63" i="243"/>
  <c r="D63" i="243" s="1"/>
  <c r="B64" i="243"/>
  <c r="C64" i="243"/>
  <c r="D64" i="243" s="1"/>
  <c r="B65" i="243"/>
  <c r="C65" i="243"/>
  <c r="D65" i="243" s="1"/>
  <c r="B66" i="243"/>
  <c r="C66" i="243"/>
  <c r="D66" i="243" s="1"/>
  <c r="B67" i="243"/>
  <c r="C67" i="243"/>
  <c r="D67" i="243" s="1"/>
  <c r="B68" i="243"/>
  <c r="C68" i="243"/>
  <c r="D68" i="243" s="1"/>
  <c r="B69" i="243"/>
  <c r="C69" i="243"/>
  <c r="D69" i="243" s="1"/>
  <c r="B70" i="243"/>
  <c r="C70" i="243"/>
  <c r="D70" i="243" s="1"/>
  <c r="B71" i="243"/>
  <c r="C71" i="243"/>
  <c r="D71" i="243" s="1"/>
  <c r="B72" i="243"/>
  <c r="C72" i="243"/>
  <c r="D72" i="243" s="1"/>
  <c r="B73" i="243"/>
  <c r="C73" i="243"/>
  <c r="D73" i="243" s="1"/>
  <c r="B74" i="243"/>
  <c r="C74" i="243"/>
  <c r="D74" i="243" s="1"/>
  <c r="B75" i="243"/>
  <c r="C75" i="243"/>
  <c r="D75" i="243" s="1"/>
  <c r="B76" i="243"/>
  <c r="C76" i="243"/>
  <c r="D76" i="243" s="1"/>
  <c r="B77" i="243"/>
  <c r="C77" i="243"/>
  <c r="D77" i="243" s="1"/>
  <c r="B78" i="243"/>
  <c r="C78" i="243"/>
  <c r="D78" i="243" s="1"/>
  <c r="V7" i="243"/>
  <c r="W7" i="243"/>
  <c r="V8" i="243"/>
  <c r="W8" i="243"/>
  <c r="V9" i="243"/>
  <c r="W9" i="243"/>
  <c r="V10" i="243"/>
  <c r="W10" i="243"/>
  <c r="V11" i="243"/>
  <c r="W11" i="243"/>
  <c r="V12" i="243"/>
  <c r="W12" i="243"/>
  <c r="V13" i="243"/>
  <c r="W13" i="243"/>
  <c r="V14" i="243"/>
  <c r="W14" i="243"/>
  <c r="V15" i="243"/>
  <c r="W15" i="243"/>
  <c r="V16" i="243"/>
  <c r="W16" i="243"/>
  <c r="V17" i="243"/>
  <c r="W17" i="243"/>
  <c r="V18" i="243"/>
  <c r="W18" i="243"/>
  <c r="V19" i="243"/>
  <c r="W19" i="243"/>
  <c r="V20" i="243"/>
  <c r="W20" i="243"/>
  <c r="V21" i="243"/>
  <c r="W21" i="243"/>
  <c r="V22" i="243"/>
  <c r="W22" i="243"/>
  <c r="V23" i="243"/>
  <c r="W23" i="243"/>
  <c r="V24" i="243"/>
  <c r="W24" i="243"/>
  <c r="V25" i="243"/>
  <c r="W25" i="243"/>
  <c r="V26" i="243"/>
  <c r="W26" i="243"/>
  <c r="V27" i="243"/>
  <c r="W27" i="243"/>
  <c r="V28" i="243"/>
  <c r="W28" i="243"/>
  <c r="V29" i="243"/>
  <c r="W29" i="243"/>
  <c r="V30" i="243"/>
  <c r="W30" i="243"/>
  <c r="V31" i="243"/>
  <c r="W31" i="243"/>
  <c r="V32" i="243"/>
  <c r="W32" i="243"/>
  <c r="V33" i="243"/>
  <c r="W33" i="243"/>
  <c r="V34" i="243"/>
  <c r="W34" i="243"/>
  <c r="V35" i="243"/>
  <c r="W35" i="243"/>
  <c r="V36" i="243"/>
  <c r="W36" i="243"/>
  <c r="V37" i="243"/>
  <c r="W37" i="243"/>
  <c r="V38" i="243"/>
  <c r="W38" i="243"/>
  <c r="V39" i="243"/>
  <c r="W39" i="243"/>
  <c r="V40" i="243"/>
  <c r="W40" i="243"/>
  <c r="V41" i="243"/>
  <c r="W41" i="243"/>
  <c r="V42" i="243"/>
  <c r="W42" i="243"/>
  <c r="V43" i="243"/>
  <c r="W43" i="243"/>
  <c r="V44" i="243"/>
  <c r="W44" i="243"/>
  <c r="V45" i="243"/>
  <c r="W45" i="243"/>
  <c r="V46" i="243"/>
  <c r="W46" i="243"/>
  <c r="V47" i="243"/>
  <c r="W47" i="243"/>
  <c r="V48" i="243"/>
  <c r="W48" i="243"/>
  <c r="V49" i="243"/>
  <c r="W49" i="243"/>
  <c r="V50" i="243"/>
  <c r="W50" i="243"/>
  <c r="V51" i="243"/>
  <c r="W51" i="243"/>
  <c r="V52" i="243"/>
  <c r="W52" i="243"/>
  <c r="V53" i="243"/>
  <c r="W53" i="243"/>
  <c r="V54" i="243"/>
  <c r="W54" i="243"/>
  <c r="V55" i="243"/>
  <c r="W55" i="243"/>
  <c r="V56" i="243"/>
  <c r="W56" i="243"/>
  <c r="V57" i="243"/>
  <c r="W57" i="243"/>
  <c r="V58" i="243"/>
  <c r="W58" i="243"/>
  <c r="V59" i="243"/>
  <c r="W59" i="243"/>
  <c r="V60" i="243"/>
  <c r="W60" i="243"/>
  <c r="V61" i="243"/>
  <c r="W61" i="243"/>
  <c r="V62" i="243"/>
  <c r="W62" i="243"/>
  <c r="V63" i="243"/>
  <c r="W63" i="243"/>
  <c r="V64" i="243"/>
  <c r="W64" i="243"/>
  <c r="V65" i="243"/>
  <c r="W65" i="243"/>
  <c r="V66" i="243"/>
  <c r="W66" i="243"/>
  <c r="V67" i="243"/>
  <c r="W67" i="243"/>
  <c r="V68" i="243"/>
  <c r="W68" i="243"/>
  <c r="V69" i="243"/>
  <c r="W69" i="243"/>
  <c r="V70" i="243"/>
  <c r="W70" i="243"/>
  <c r="V71" i="243"/>
  <c r="W71" i="243"/>
  <c r="V72" i="243"/>
  <c r="W72" i="243"/>
  <c r="V73" i="243"/>
  <c r="W73" i="243"/>
  <c r="V74" i="243"/>
  <c r="W74" i="243"/>
  <c r="V75" i="243"/>
  <c r="W75" i="243"/>
  <c r="V76" i="243"/>
  <c r="W76" i="243"/>
  <c r="V77" i="243"/>
  <c r="W77" i="243"/>
  <c r="V78" i="243"/>
  <c r="W78" i="243"/>
  <c r="B7" i="287"/>
  <c r="C7" i="287"/>
  <c r="B8" i="287"/>
  <c r="C8" i="287"/>
  <c r="B9" i="287"/>
  <c r="C9" i="287"/>
  <c r="B15" i="287"/>
  <c r="C15" i="287"/>
  <c r="B16" i="287"/>
  <c r="C16" i="287"/>
  <c r="B17" i="287"/>
  <c r="C17" i="287"/>
  <c r="B18" i="287"/>
  <c r="C18" i="287"/>
  <c r="B19" i="287"/>
  <c r="C19" i="287"/>
  <c r="B20" i="287"/>
  <c r="C20" i="287"/>
  <c r="B21" i="287"/>
  <c r="C21" i="287"/>
  <c r="B22" i="287"/>
  <c r="C22" i="287"/>
  <c r="B23" i="287"/>
  <c r="C23" i="287"/>
  <c r="B24" i="287"/>
  <c r="C24" i="287"/>
  <c r="B25" i="287"/>
  <c r="C25" i="287"/>
  <c r="B26" i="287"/>
  <c r="C26" i="287"/>
  <c r="B27" i="287"/>
  <c r="C27" i="287"/>
  <c r="B28" i="287"/>
  <c r="C28" i="287"/>
  <c r="B29" i="287"/>
  <c r="C29" i="287"/>
  <c r="B30" i="287"/>
  <c r="C30" i="287"/>
  <c r="B31" i="287"/>
  <c r="C31" i="287"/>
  <c r="B32" i="287"/>
  <c r="C32" i="287"/>
  <c r="B33" i="287"/>
  <c r="C33" i="287"/>
  <c r="B34" i="287"/>
  <c r="C34" i="287"/>
  <c r="B35" i="287"/>
  <c r="C35" i="287"/>
  <c r="B36" i="287"/>
  <c r="C36" i="287"/>
  <c r="B37" i="287"/>
  <c r="C37" i="287"/>
  <c r="B38" i="287"/>
  <c r="C38" i="287"/>
  <c r="B39" i="287"/>
  <c r="C39" i="287"/>
  <c r="B40" i="287"/>
  <c r="C40" i="287"/>
  <c r="B41" i="287"/>
  <c r="C41" i="287"/>
  <c r="B42" i="287"/>
  <c r="C42" i="287"/>
  <c r="B43" i="287"/>
  <c r="C43" i="287"/>
  <c r="B46" i="287"/>
  <c r="C46" i="287"/>
  <c r="B47" i="287"/>
  <c r="C47" i="287"/>
  <c r="B48" i="287"/>
  <c r="C48" i="287"/>
  <c r="B49" i="287"/>
  <c r="C49" i="287"/>
  <c r="B50" i="287"/>
  <c r="C50" i="287"/>
  <c r="S7" i="287"/>
  <c r="T7" i="287"/>
  <c r="S8" i="287"/>
  <c r="T8" i="287"/>
  <c r="S9" i="287"/>
  <c r="T9" i="287"/>
  <c r="S15" i="287"/>
  <c r="T15" i="287"/>
  <c r="S16" i="287"/>
  <c r="T16" i="287"/>
  <c r="S17" i="287"/>
  <c r="T17" i="287"/>
  <c r="S18" i="287"/>
  <c r="T18" i="287"/>
  <c r="S19" i="287"/>
  <c r="T19" i="287"/>
  <c r="S20" i="287"/>
  <c r="T20" i="287"/>
  <c r="S21" i="287"/>
  <c r="T21" i="287"/>
  <c r="S22" i="287"/>
  <c r="T22" i="287"/>
  <c r="S23" i="287"/>
  <c r="T23" i="287"/>
  <c r="S24" i="287"/>
  <c r="T24" i="287"/>
  <c r="S25" i="287"/>
  <c r="T25" i="287"/>
  <c r="S26" i="287"/>
  <c r="T26" i="287"/>
  <c r="S27" i="287"/>
  <c r="T27" i="287"/>
  <c r="S28" i="287"/>
  <c r="T28" i="287"/>
  <c r="S29" i="287"/>
  <c r="T29" i="287"/>
  <c r="S30" i="287"/>
  <c r="T30" i="287"/>
  <c r="S31" i="287"/>
  <c r="T31" i="287"/>
  <c r="S32" i="287"/>
  <c r="T32" i="287"/>
  <c r="S33" i="287"/>
  <c r="T33" i="287"/>
  <c r="S34" i="287"/>
  <c r="T34" i="287"/>
  <c r="S35" i="287"/>
  <c r="T35" i="287"/>
  <c r="S36" i="287"/>
  <c r="T36" i="287"/>
  <c r="S37" i="287"/>
  <c r="T37" i="287"/>
  <c r="S38" i="287"/>
  <c r="T38" i="287"/>
  <c r="S39" i="287"/>
  <c r="T39" i="287"/>
  <c r="S40" i="287"/>
  <c r="T40" i="287"/>
  <c r="S41" i="287"/>
  <c r="T41" i="287"/>
  <c r="S42" i="287"/>
  <c r="T42" i="287"/>
  <c r="S43" i="287"/>
  <c r="T43" i="287"/>
  <c r="S46" i="287"/>
  <c r="T46" i="287"/>
  <c r="S47" i="287"/>
  <c r="T47" i="287"/>
  <c r="S48" i="287"/>
  <c r="T48" i="287"/>
  <c r="S49" i="287"/>
  <c r="T49" i="287"/>
  <c r="S50" i="287"/>
  <c r="T50" i="287"/>
  <c r="B7" i="286"/>
  <c r="C7" i="286"/>
  <c r="B8" i="286"/>
  <c r="C8" i="286"/>
  <c r="B9" i="286"/>
  <c r="C9" i="286"/>
  <c r="A44" i="286"/>
  <c r="A45" i="286" s="1"/>
  <c r="A46" i="286" s="1"/>
  <c r="A47" i="286" s="1"/>
  <c r="A48" i="286" s="1"/>
  <c r="A49" i="286" s="1"/>
  <c r="A50" i="286" s="1"/>
  <c r="A51" i="286" s="1"/>
  <c r="A52" i="286" s="1"/>
  <c r="A53" i="286" s="1"/>
  <c r="A54" i="286" s="1"/>
  <c r="A55" i="286" s="1"/>
  <c r="A56" i="286" s="1"/>
  <c r="A57" i="286" s="1"/>
  <c r="A58" i="286" s="1"/>
  <c r="A59" i="286" s="1"/>
  <c r="A60" i="286" s="1"/>
  <c r="A61" i="286" s="1"/>
  <c r="A62" i="286" s="1"/>
  <c r="A63" i="286" s="1"/>
  <c r="A64" i="286" s="1"/>
  <c r="A65" i="286" s="1"/>
  <c r="A66" i="286" s="1"/>
  <c r="A67" i="286" s="1"/>
  <c r="A68" i="286" s="1"/>
  <c r="A69" i="286" s="1"/>
  <c r="A70" i="286" s="1"/>
  <c r="A71" i="286" s="1"/>
  <c r="A72" i="286" s="1"/>
  <c r="A73" i="286" s="1"/>
  <c r="S7" i="286"/>
  <c r="T7" i="286"/>
  <c r="S8" i="286"/>
  <c r="T8" i="286"/>
  <c r="S9" i="286"/>
  <c r="T9" i="286"/>
  <c r="A7" i="286"/>
  <c r="A8" i="286" s="1"/>
  <c r="A9" i="286" s="1"/>
  <c r="A10" i="286" s="1"/>
  <c r="A11" i="286" s="1"/>
  <c r="A12" i="286" s="1"/>
  <c r="A13" i="286" s="1"/>
  <c r="A14" i="286" s="1"/>
  <c r="A15" i="286" s="1"/>
  <c r="A16" i="286" s="1"/>
  <c r="A17" i="286" s="1"/>
  <c r="A18" i="286" s="1"/>
  <c r="A19" i="286" s="1"/>
  <c r="A20" i="286" s="1"/>
  <c r="A21" i="286" s="1"/>
  <c r="A22" i="286" s="1"/>
  <c r="A23" i="286" s="1"/>
  <c r="A24" i="286" s="1"/>
  <c r="A25" i="286" s="1"/>
  <c r="A26" i="286" s="1"/>
  <c r="A27" i="286" s="1"/>
  <c r="A28" i="286" s="1"/>
  <c r="A29" i="286" s="1"/>
  <c r="A30" i="286" s="1"/>
  <c r="A31" i="286" s="1"/>
  <c r="A32" i="286" s="1"/>
  <c r="A33" i="286" s="1"/>
  <c r="A34" i="286" s="1"/>
  <c r="A35" i="286" s="1"/>
  <c r="A36" i="286" s="1"/>
  <c r="A37" i="286" s="1"/>
  <c r="A38" i="286" s="1"/>
  <c r="A39" i="286" s="1"/>
  <c r="A40" i="286" s="1"/>
  <c r="A41" i="286" s="1"/>
  <c r="A42" i="286" s="1"/>
  <c r="A43" i="286" s="1"/>
  <c r="X7" i="286"/>
  <c r="X8" i="286"/>
  <c r="X9" i="286"/>
  <c r="V48" i="287"/>
  <c r="F244" i="266"/>
  <c r="E244" i="266"/>
  <c r="V47" i="287"/>
  <c r="V15" i="287"/>
  <c r="X199" i="222"/>
  <c r="W199" i="222"/>
  <c r="E199" i="222" s="1"/>
  <c r="V199" i="222"/>
  <c r="C199" i="222" s="1"/>
  <c r="T199" i="222"/>
  <c r="S199" i="222"/>
  <c r="A199" i="222"/>
  <c r="G180" i="266"/>
  <c r="B180" i="266"/>
  <c r="A180" i="266"/>
  <c r="A195" i="222"/>
  <c r="I195" i="222"/>
  <c r="K195" i="222"/>
  <c r="S195" i="222"/>
  <c r="T195" i="222"/>
  <c r="V195" i="222"/>
  <c r="C195" i="222" s="1"/>
  <c r="W195" i="222"/>
  <c r="E195" i="222" s="1"/>
  <c r="X195" i="222"/>
  <c r="G195" i="222" s="1"/>
  <c r="N199" i="222" l="1"/>
  <c r="O199" i="222" s="1"/>
  <c r="N195" i="222"/>
  <c r="O195" i="222" s="1"/>
  <c r="W6" i="282" l="1"/>
  <c r="V6" i="282"/>
  <c r="AA6" i="282" l="1"/>
  <c r="Y6" i="282" s="1"/>
  <c r="C6" i="282"/>
  <c r="B6" i="282"/>
  <c r="V20" i="287"/>
  <c r="V21" i="287"/>
  <c r="V22" i="287"/>
  <c r="V23" i="287"/>
  <c r="V24" i="287"/>
  <c r="V25" i="287"/>
  <c r="V26" i="287"/>
  <c r="V27" i="287"/>
  <c r="V28" i="287"/>
  <c r="V29" i="287"/>
  <c r="V30" i="287"/>
  <c r="V31" i="287"/>
  <c r="V32" i="287"/>
  <c r="V33" i="287"/>
  <c r="V34" i="287"/>
  <c r="V35" i="287"/>
  <c r="V36" i="287"/>
  <c r="V37" i="287"/>
  <c r="V38" i="287"/>
  <c r="V39" i="287"/>
  <c r="V40" i="287"/>
  <c r="V41" i="287"/>
  <c r="V42" i="287"/>
  <c r="V43" i="287"/>
  <c r="V46" i="287"/>
  <c r="V49" i="287"/>
  <c r="V16" i="287"/>
  <c r="V17" i="287"/>
  <c r="V18" i="287"/>
  <c r="V19" i="287"/>
  <c r="X6" i="286"/>
  <c r="F167" i="266"/>
  <c r="E167" i="266"/>
  <c r="V181" i="222"/>
  <c r="W181" i="222"/>
  <c r="X181" i="222"/>
  <c r="V182" i="222"/>
  <c r="W182" i="222"/>
  <c r="X182" i="222"/>
  <c r="V183" i="222"/>
  <c r="W183" i="222"/>
  <c r="X183" i="222"/>
  <c r="V184" i="222"/>
  <c r="W184" i="222"/>
  <c r="X184" i="222"/>
  <c r="V185" i="222"/>
  <c r="W185" i="222"/>
  <c r="X185" i="222"/>
  <c r="V188" i="222"/>
  <c r="W188" i="222"/>
  <c r="X188" i="222"/>
  <c r="V194" i="222"/>
  <c r="W194" i="222"/>
  <c r="X194" i="222"/>
  <c r="V196" i="222"/>
  <c r="W196" i="222"/>
  <c r="X196" i="222"/>
  <c r="V197" i="222"/>
  <c r="W197" i="222"/>
  <c r="X197" i="222"/>
  <c r="V198" i="222"/>
  <c r="W198" i="222"/>
  <c r="X198" i="222"/>
  <c r="V200" i="222"/>
  <c r="W200" i="222"/>
  <c r="X200" i="222"/>
  <c r="V201" i="222"/>
  <c r="W201" i="222"/>
  <c r="X201" i="222"/>
  <c r="V202" i="222"/>
  <c r="W202" i="222"/>
  <c r="X202" i="222"/>
  <c r="V203" i="222"/>
  <c r="W203" i="222"/>
  <c r="X203" i="222"/>
  <c r="V204" i="222"/>
  <c r="W204" i="222"/>
  <c r="X204" i="222"/>
  <c r="V205" i="222"/>
  <c r="W205" i="222"/>
  <c r="X205" i="222"/>
  <c r="V206" i="222"/>
  <c r="W206" i="222"/>
  <c r="X206" i="222"/>
  <c r="V207" i="222"/>
  <c r="W207" i="222"/>
  <c r="X207" i="222"/>
  <c r="V208" i="222"/>
  <c r="W208" i="222"/>
  <c r="X208" i="222"/>
  <c r="V209" i="222"/>
  <c r="W209" i="222"/>
  <c r="X209" i="222"/>
  <c r="V210" i="222"/>
  <c r="W210" i="222"/>
  <c r="X210" i="222"/>
  <c r="V211" i="222"/>
  <c r="W211" i="222"/>
  <c r="X211" i="222"/>
  <c r="V212" i="222"/>
  <c r="W212" i="222"/>
  <c r="X212" i="222"/>
  <c r="V213" i="222"/>
  <c r="W213" i="222"/>
  <c r="X213" i="222"/>
  <c r="V214" i="222"/>
  <c r="W214" i="222"/>
  <c r="X214" i="222"/>
  <c r="V215" i="222"/>
  <c r="W215" i="222"/>
  <c r="X215" i="222"/>
  <c r="V216" i="222"/>
  <c r="W216" i="222"/>
  <c r="X216" i="222"/>
  <c r="V217" i="222"/>
  <c r="W217" i="222"/>
  <c r="X217" i="222"/>
  <c r="V218" i="222"/>
  <c r="W218" i="222"/>
  <c r="X218" i="222"/>
  <c r="V219" i="222"/>
  <c r="W219" i="222"/>
  <c r="X219" i="222"/>
  <c r="V220" i="222"/>
  <c r="W220" i="222"/>
  <c r="X220" i="222"/>
  <c r="V221" i="222"/>
  <c r="W221" i="222"/>
  <c r="X221" i="222"/>
  <c r="V222" i="222"/>
  <c r="W222" i="222"/>
  <c r="X222" i="222"/>
  <c r="V223" i="222"/>
  <c r="W223" i="222"/>
  <c r="X223" i="222"/>
  <c r="V224" i="222"/>
  <c r="W224" i="222"/>
  <c r="X224" i="222"/>
  <c r="V225" i="222"/>
  <c r="W225" i="222"/>
  <c r="X225" i="222"/>
  <c r="V226" i="222"/>
  <c r="W226" i="222"/>
  <c r="X226" i="222"/>
  <c r="V227" i="222"/>
  <c r="W227" i="222"/>
  <c r="X227" i="222"/>
  <c r="V228" i="222"/>
  <c r="W228" i="222"/>
  <c r="X228" i="222"/>
  <c r="V229" i="222"/>
  <c r="W229" i="222"/>
  <c r="X229" i="222"/>
  <c r="V230" i="222"/>
  <c r="W230" i="222"/>
  <c r="X230" i="222"/>
  <c r="V231" i="222"/>
  <c r="W231" i="222"/>
  <c r="X231" i="222"/>
  <c r="V232" i="222"/>
  <c r="W232" i="222"/>
  <c r="X232" i="222"/>
  <c r="V233" i="222"/>
  <c r="W233" i="222"/>
  <c r="X233" i="222"/>
  <c r="V234" i="222"/>
  <c r="W234" i="222"/>
  <c r="X234" i="222"/>
  <c r="V235" i="222"/>
  <c r="W235" i="222"/>
  <c r="X235" i="222"/>
  <c r="V236" i="222"/>
  <c r="W236" i="222"/>
  <c r="X236" i="222"/>
  <c r="V237" i="222"/>
  <c r="W237" i="222"/>
  <c r="X237" i="222"/>
  <c r="V238" i="222"/>
  <c r="W238" i="222"/>
  <c r="X238" i="222"/>
  <c r="V239" i="222"/>
  <c r="W239" i="222"/>
  <c r="X239" i="222"/>
  <c r="V240" i="222"/>
  <c r="W240" i="222"/>
  <c r="X240" i="222"/>
  <c r="V241" i="222"/>
  <c r="W241" i="222"/>
  <c r="X241" i="222"/>
  <c r="V242" i="222"/>
  <c r="W242" i="222"/>
  <c r="X242" i="222"/>
  <c r="V243" i="222"/>
  <c r="W243" i="222"/>
  <c r="X243" i="222"/>
  <c r="V244" i="222"/>
  <c r="W244" i="222"/>
  <c r="X244" i="222"/>
  <c r="V245" i="222"/>
  <c r="W245" i="222"/>
  <c r="X245" i="222"/>
  <c r="V246" i="222"/>
  <c r="W246" i="222"/>
  <c r="X246" i="222"/>
  <c r="V247" i="222"/>
  <c r="W247" i="222"/>
  <c r="X247" i="222"/>
  <c r="V248" i="222"/>
  <c r="W248" i="222"/>
  <c r="X248" i="222"/>
  <c r="V251" i="222"/>
  <c r="W251" i="222"/>
  <c r="X251" i="222"/>
  <c r="V252" i="222"/>
  <c r="W252" i="222"/>
  <c r="X252" i="222"/>
  <c r="V256" i="222"/>
  <c r="W256" i="222"/>
  <c r="X256" i="222"/>
  <c r="V257" i="222"/>
  <c r="W257" i="222"/>
  <c r="X257" i="222"/>
  <c r="V260" i="222"/>
  <c r="W260" i="222"/>
  <c r="X260" i="222"/>
  <c r="X180" i="222"/>
  <c r="W180" i="222"/>
  <c r="V180" i="222"/>
  <c r="V5" i="222"/>
  <c r="W5" i="222"/>
  <c r="X5" i="222"/>
  <c r="V6" i="222"/>
  <c r="W6" i="222"/>
  <c r="X6" i="222"/>
  <c r="V7" i="222"/>
  <c r="W7" i="222"/>
  <c r="X7" i="222"/>
  <c r="V8" i="222"/>
  <c r="W8" i="222"/>
  <c r="X8" i="222"/>
  <c r="V9" i="222"/>
  <c r="W9" i="222"/>
  <c r="X9" i="222"/>
  <c r="V10" i="222"/>
  <c r="W10" i="222"/>
  <c r="X10" i="222"/>
  <c r="V11" i="222"/>
  <c r="W11" i="222"/>
  <c r="X11" i="222"/>
  <c r="V12" i="222"/>
  <c r="W12" i="222"/>
  <c r="X12" i="222"/>
  <c r="V13" i="222"/>
  <c r="W13" i="222"/>
  <c r="X13" i="222"/>
  <c r="V186" i="222"/>
  <c r="W186" i="222"/>
  <c r="X186" i="222"/>
  <c r="V14" i="222"/>
  <c r="W14" i="222"/>
  <c r="X14" i="222"/>
  <c r="V15" i="222"/>
  <c r="W15" i="222"/>
  <c r="X15" i="222"/>
  <c r="V16" i="222"/>
  <c r="W16" i="222"/>
  <c r="X16" i="222"/>
  <c r="V17" i="222"/>
  <c r="W17" i="222"/>
  <c r="X17" i="222"/>
  <c r="V18" i="222"/>
  <c r="W18" i="222"/>
  <c r="X18" i="222"/>
  <c r="V19" i="222"/>
  <c r="W19" i="222"/>
  <c r="X19" i="222"/>
  <c r="V187" i="222"/>
  <c r="W187" i="222"/>
  <c r="X187" i="222"/>
  <c r="V21" i="222"/>
  <c r="W21" i="222"/>
  <c r="X21" i="222"/>
  <c r="V189" i="222"/>
  <c r="W189" i="222"/>
  <c r="X189" i="222"/>
  <c r="V23" i="222"/>
  <c r="W23" i="222"/>
  <c r="X23" i="222"/>
  <c r="V24" i="222"/>
  <c r="W24" i="222"/>
  <c r="X24" i="222"/>
  <c r="V25" i="222"/>
  <c r="W25" i="222"/>
  <c r="X25" i="222"/>
  <c r="V190" i="222"/>
  <c r="W190" i="222"/>
  <c r="X190" i="222"/>
  <c r="V191" i="222"/>
  <c r="W191" i="222"/>
  <c r="X191" i="222"/>
  <c r="V28" i="222"/>
  <c r="W28" i="222"/>
  <c r="X28" i="222"/>
  <c r="V29" i="222"/>
  <c r="W29" i="222"/>
  <c r="X29" i="222"/>
  <c r="V192" i="222"/>
  <c r="W192" i="222"/>
  <c r="X192" i="222"/>
  <c r="V31" i="222"/>
  <c r="W31" i="222"/>
  <c r="X31" i="222"/>
  <c r="V32" i="222"/>
  <c r="W32" i="222"/>
  <c r="X32" i="222"/>
  <c r="V33" i="222"/>
  <c r="W33" i="222"/>
  <c r="X33" i="222"/>
  <c r="V193" i="222"/>
  <c r="W193" i="222"/>
  <c r="X193" i="222"/>
  <c r="V35" i="222"/>
  <c r="W35" i="222"/>
  <c r="X35" i="222"/>
  <c r="V36" i="222"/>
  <c r="W36" i="222"/>
  <c r="X36" i="222"/>
  <c r="V37" i="222"/>
  <c r="W37" i="222"/>
  <c r="X37" i="222"/>
  <c r="V38" i="222"/>
  <c r="W38" i="222"/>
  <c r="X38" i="222"/>
  <c r="V39" i="222"/>
  <c r="W39" i="222"/>
  <c r="X39" i="222"/>
  <c r="V40" i="222"/>
  <c r="W40" i="222"/>
  <c r="V41" i="222"/>
  <c r="W41" i="222"/>
  <c r="X41" i="222"/>
  <c r="V42" i="222"/>
  <c r="W42" i="222"/>
  <c r="X42" i="222"/>
  <c r="V43" i="222"/>
  <c r="W43" i="222"/>
  <c r="X43" i="222"/>
  <c r="V44" i="222"/>
  <c r="W44" i="222"/>
  <c r="X44" i="222"/>
  <c r="V45" i="222"/>
  <c r="W45" i="222"/>
  <c r="X45" i="222"/>
  <c r="V46" i="222"/>
  <c r="W46" i="222"/>
  <c r="X46" i="222"/>
  <c r="V47" i="222"/>
  <c r="W47" i="222"/>
  <c r="X47" i="222"/>
  <c r="V48" i="222"/>
  <c r="W48" i="222"/>
  <c r="X48" i="222"/>
  <c r="V49" i="222"/>
  <c r="W49" i="222"/>
  <c r="X49" i="222"/>
  <c r="V50" i="222"/>
  <c r="W50" i="222"/>
  <c r="X50" i="222"/>
  <c r="V51" i="222"/>
  <c r="W51" i="222"/>
  <c r="X51" i="222"/>
  <c r="V52" i="222"/>
  <c r="W52" i="222"/>
  <c r="X52" i="222"/>
  <c r="V53" i="222"/>
  <c r="W53" i="222"/>
  <c r="X53" i="222"/>
  <c r="V54" i="222"/>
  <c r="W54" i="222"/>
  <c r="X54" i="222"/>
  <c r="V55" i="222"/>
  <c r="W55" i="222"/>
  <c r="X55" i="222"/>
  <c r="V56" i="222"/>
  <c r="W56" i="222"/>
  <c r="X56" i="222"/>
  <c r="V57" i="222"/>
  <c r="W57" i="222"/>
  <c r="X57" i="222"/>
  <c r="V58" i="222"/>
  <c r="W58" i="222"/>
  <c r="X58" i="222"/>
  <c r="V59" i="222"/>
  <c r="W59" i="222"/>
  <c r="X59" i="222"/>
  <c r="V60" i="222"/>
  <c r="W60" i="222"/>
  <c r="X60" i="222"/>
  <c r="V61" i="222"/>
  <c r="W61" i="222"/>
  <c r="X61" i="222"/>
  <c r="V62" i="222"/>
  <c r="W62" i="222"/>
  <c r="X62" i="222"/>
  <c r="V63" i="222"/>
  <c r="W63" i="222"/>
  <c r="X63" i="222"/>
  <c r="V64" i="222"/>
  <c r="W64" i="222"/>
  <c r="X64" i="222"/>
  <c r="V65" i="222"/>
  <c r="W65" i="222"/>
  <c r="X65" i="222"/>
  <c r="V66" i="222"/>
  <c r="W66" i="222"/>
  <c r="X66" i="222"/>
  <c r="V67" i="222"/>
  <c r="W67" i="222"/>
  <c r="X67" i="222"/>
  <c r="V68" i="222"/>
  <c r="W68" i="222"/>
  <c r="X68" i="222"/>
  <c r="V69" i="222"/>
  <c r="W69" i="222"/>
  <c r="X69" i="222"/>
  <c r="V70" i="222"/>
  <c r="W70" i="222"/>
  <c r="X70" i="222"/>
  <c r="V71" i="222"/>
  <c r="W71" i="222"/>
  <c r="X71" i="222"/>
  <c r="V72" i="222"/>
  <c r="W72" i="222"/>
  <c r="X72" i="222"/>
  <c r="V73" i="222"/>
  <c r="W73" i="222"/>
  <c r="X73" i="222"/>
  <c r="V74" i="222"/>
  <c r="W74" i="222"/>
  <c r="X74" i="222"/>
  <c r="V75" i="222"/>
  <c r="W75" i="222"/>
  <c r="X75" i="222"/>
  <c r="V76" i="222"/>
  <c r="W76" i="222"/>
  <c r="X76" i="222"/>
  <c r="V77" i="222"/>
  <c r="W77" i="222"/>
  <c r="X77" i="222"/>
  <c r="V78" i="222"/>
  <c r="W78" i="222"/>
  <c r="X78" i="222"/>
  <c r="V79" i="222"/>
  <c r="W79" i="222"/>
  <c r="X79" i="222"/>
  <c r="V80" i="222"/>
  <c r="W80" i="222"/>
  <c r="X80" i="222"/>
  <c r="V81" i="222"/>
  <c r="W81" i="222"/>
  <c r="X81" i="222"/>
  <c r="V82" i="222"/>
  <c r="W82" i="222"/>
  <c r="X82" i="222"/>
  <c r="V249" i="222"/>
  <c r="W249" i="222"/>
  <c r="X249" i="222"/>
  <c r="V84" i="222"/>
  <c r="W84" i="222"/>
  <c r="X84" i="222"/>
  <c r="V85" i="222"/>
  <c r="W85" i="222"/>
  <c r="X85" i="222"/>
  <c r="V86" i="222"/>
  <c r="W86" i="222"/>
  <c r="X86" i="222"/>
  <c r="V250" i="222"/>
  <c r="W250" i="222"/>
  <c r="X250" i="222"/>
  <c r="V88" i="222"/>
  <c r="W88" i="222"/>
  <c r="X88" i="222"/>
  <c r="V89" i="222"/>
  <c r="W89" i="222"/>
  <c r="X89" i="222"/>
  <c r="V90" i="222"/>
  <c r="W90" i="222"/>
  <c r="X90" i="222"/>
  <c r="V91" i="222"/>
  <c r="W91" i="222"/>
  <c r="X91" i="222"/>
  <c r="V92" i="222"/>
  <c r="W92" i="222"/>
  <c r="X92" i="222"/>
  <c r="V93" i="222"/>
  <c r="W93" i="222"/>
  <c r="X93" i="222"/>
  <c r="V94" i="222"/>
  <c r="W94" i="222"/>
  <c r="X94" i="222"/>
  <c r="V95" i="222"/>
  <c r="W95" i="222"/>
  <c r="X95" i="222"/>
  <c r="V96" i="222"/>
  <c r="W96" i="222"/>
  <c r="X96" i="222"/>
  <c r="V97" i="222"/>
  <c r="W97" i="222"/>
  <c r="X97" i="222"/>
  <c r="V253" i="222"/>
  <c r="W253" i="222"/>
  <c r="X253" i="222"/>
  <c r="V99" i="222"/>
  <c r="W99" i="222"/>
  <c r="X99" i="222"/>
  <c r="V100" i="222"/>
  <c r="W100" i="222"/>
  <c r="X100" i="222"/>
  <c r="V101" i="222"/>
  <c r="W101" i="222"/>
  <c r="X101" i="222"/>
  <c r="V102" i="222"/>
  <c r="W102" i="222"/>
  <c r="X102" i="222"/>
  <c r="V254" i="222"/>
  <c r="W254" i="222"/>
  <c r="X254" i="222"/>
  <c r="V104" i="222"/>
  <c r="W104" i="222"/>
  <c r="X104" i="222"/>
  <c r="V105" i="222"/>
  <c r="W105" i="222"/>
  <c r="X105" i="222"/>
  <c r="V255" i="222"/>
  <c r="W255" i="222"/>
  <c r="X255" i="222"/>
  <c r="V106" i="222"/>
  <c r="W106" i="222"/>
  <c r="X106" i="222"/>
  <c r="V107" i="222"/>
  <c r="W107" i="222"/>
  <c r="X107" i="222"/>
  <c r="V108" i="222"/>
  <c r="W108" i="222"/>
  <c r="X108" i="222"/>
  <c r="V109" i="222"/>
  <c r="W109" i="222"/>
  <c r="X109" i="222"/>
  <c r="V258" i="222"/>
  <c r="W258" i="222"/>
  <c r="X258" i="222"/>
  <c r="V110" i="222"/>
  <c r="W110" i="222"/>
  <c r="X110" i="222"/>
  <c r="V259" i="222"/>
  <c r="W259" i="222"/>
  <c r="X259" i="222"/>
  <c r="V112" i="222"/>
  <c r="W112" i="222"/>
  <c r="X112" i="222"/>
  <c r="V113" i="222"/>
  <c r="W113" i="222"/>
  <c r="X113" i="222"/>
  <c r="V114" i="222"/>
  <c r="W114" i="222"/>
  <c r="X114" i="222"/>
  <c r="V115" i="222"/>
  <c r="W115" i="222"/>
  <c r="X115" i="222"/>
  <c r="V261" i="222"/>
  <c r="W261" i="222"/>
  <c r="X261" i="222"/>
  <c r="V262" i="222"/>
  <c r="W262" i="222"/>
  <c r="X262" i="222"/>
  <c r="V118" i="222"/>
  <c r="W118" i="222"/>
  <c r="X118" i="222"/>
  <c r="V263" i="222"/>
  <c r="W263" i="222"/>
  <c r="X263" i="222"/>
  <c r="V120" i="222"/>
  <c r="W120" i="222"/>
  <c r="X120" i="222"/>
  <c r="V121" i="222"/>
  <c r="W121" i="222"/>
  <c r="X121" i="222"/>
  <c r="V122" i="222"/>
  <c r="W122" i="222"/>
  <c r="X122" i="222"/>
  <c r="V123" i="222"/>
  <c r="W123" i="222"/>
  <c r="X123" i="222"/>
  <c r="V124" i="222"/>
  <c r="W124" i="222"/>
  <c r="X124" i="222"/>
  <c r="V125" i="222"/>
  <c r="W125" i="222"/>
  <c r="X125" i="222"/>
  <c r="X4" i="222"/>
  <c r="W4" i="222"/>
  <c r="V4" i="222"/>
  <c r="J158" i="266"/>
  <c r="D22" i="286" l="1"/>
  <c r="D30" i="286"/>
  <c r="D10" i="286"/>
  <c r="D39" i="286"/>
  <c r="D14" i="286"/>
  <c r="D18" i="286"/>
  <c r="D26" i="286"/>
  <c r="D34" i="286"/>
  <c r="D40" i="286"/>
  <c r="D24" i="286"/>
  <c r="D35" i="286"/>
  <c r="D33" i="286"/>
  <c r="D43" i="286"/>
  <c r="D36" i="286"/>
  <c r="D23" i="286"/>
  <c r="D25" i="286"/>
  <c r="D29" i="286"/>
  <c r="D16" i="286"/>
  <c r="D15" i="286"/>
  <c r="D21" i="286"/>
  <c r="D28" i="286"/>
  <c r="D17" i="286"/>
  <c r="D31" i="286"/>
  <c r="D13" i="286"/>
  <c r="D42" i="286"/>
  <c r="D20" i="286"/>
  <c r="D19" i="286"/>
  <c r="D38" i="286"/>
  <c r="D32" i="286"/>
  <c r="D11" i="286"/>
  <c r="D41" i="286"/>
  <c r="D37" i="286"/>
  <c r="D12" i="286"/>
  <c r="D27" i="286"/>
  <c r="D14" i="287"/>
  <c r="E14" i="287" s="1"/>
  <c r="D12" i="287"/>
  <c r="E12" i="287" s="1"/>
  <c r="D45" i="287"/>
  <c r="E45" i="287" s="1"/>
  <c r="R45" i="287" s="1"/>
  <c r="U45" i="287" s="1"/>
  <c r="D11" i="287"/>
  <c r="E11" i="287" s="1"/>
  <c r="D10" i="287"/>
  <c r="E10" i="287" s="1"/>
  <c r="D44" i="287"/>
  <c r="E44" i="287" s="1"/>
  <c r="R44" i="287" s="1"/>
  <c r="U44" i="287" s="1"/>
  <c r="D13" i="287"/>
  <c r="E13" i="287" s="1"/>
  <c r="D19" i="287"/>
  <c r="E19" i="287" s="1"/>
  <c r="R19" i="287" s="1"/>
  <c r="U19" i="287" s="1"/>
  <c r="D26" i="287"/>
  <c r="E26" i="287" s="1"/>
  <c r="D34" i="287"/>
  <c r="E34" i="287" s="1"/>
  <c r="R34" i="287" s="1"/>
  <c r="U34" i="287" s="1"/>
  <c r="D42" i="287"/>
  <c r="E42" i="287" s="1"/>
  <c r="D9" i="287"/>
  <c r="E9" i="287" s="1"/>
  <c r="D21" i="287"/>
  <c r="E21" i="287" s="1"/>
  <c r="R21" i="287" s="1"/>
  <c r="U21" i="287" s="1"/>
  <c r="D29" i="287"/>
  <c r="E29" i="287" s="1"/>
  <c r="R29" i="287" s="1"/>
  <c r="U29" i="287" s="1"/>
  <c r="D37" i="287"/>
  <c r="E37" i="287" s="1"/>
  <c r="R37" i="287" s="1"/>
  <c r="U37" i="287" s="1"/>
  <c r="D47" i="287"/>
  <c r="E47" i="287" s="1"/>
  <c r="R47" i="287" s="1"/>
  <c r="U47" i="287" s="1"/>
  <c r="D9" i="286"/>
  <c r="D17" i="287"/>
  <c r="E17" i="287" s="1"/>
  <c r="D24" i="287"/>
  <c r="E24" i="287" s="1"/>
  <c r="D32" i="287"/>
  <c r="E32" i="287" s="1"/>
  <c r="R32" i="287" s="1"/>
  <c r="U32" i="287" s="1"/>
  <c r="D40" i="287"/>
  <c r="E40" i="287" s="1"/>
  <c r="D50" i="287"/>
  <c r="E50" i="287" s="1"/>
  <c r="D7" i="287"/>
  <c r="E7" i="287" s="1"/>
  <c r="D27" i="287"/>
  <c r="E27" i="287" s="1"/>
  <c r="R27" i="287" s="1"/>
  <c r="U27" i="287" s="1"/>
  <c r="D35" i="287"/>
  <c r="E35" i="287" s="1"/>
  <c r="R35" i="287" s="1"/>
  <c r="U35" i="287" s="1"/>
  <c r="D43" i="287"/>
  <c r="E43" i="287" s="1"/>
  <c r="R43" i="287" s="1"/>
  <c r="U43" i="287" s="1"/>
  <c r="D7" i="286"/>
  <c r="D15" i="287"/>
  <c r="E15" i="287" s="1"/>
  <c r="R15" i="287" s="1"/>
  <c r="U15" i="287" s="1"/>
  <c r="D22" i="287"/>
  <c r="E22" i="287" s="1"/>
  <c r="R22" i="287" s="1"/>
  <c r="U22" i="287" s="1"/>
  <c r="D30" i="287"/>
  <c r="E30" i="287" s="1"/>
  <c r="R30" i="287" s="1"/>
  <c r="U30" i="287" s="1"/>
  <c r="D38" i="287"/>
  <c r="E38" i="287" s="1"/>
  <c r="R38" i="287" s="1"/>
  <c r="U38" i="287" s="1"/>
  <c r="D48" i="287"/>
  <c r="E48" i="287" s="1"/>
  <c r="R48" i="287" s="1"/>
  <c r="U48" i="287" s="1"/>
  <c r="D18" i="287"/>
  <c r="E18" i="287" s="1"/>
  <c r="R18" i="287" s="1"/>
  <c r="U18" i="287" s="1"/>
  <c r="D25" i="287"/>
  <c r="E25" i="287" s="1"/>
  <c r="R25" i="287" s="1"/>
  <c r="U25" i="287" s="1"/>
  <c r="D33" i="287"/>
  <c r="E33" i="287" s="1"/>
  <c r="R33" i="287" s="1"/>
  <c r="U33" i="287" s="1"/>
  <c r="D41" i="287"/>
  <c r="E41" i="287" s="1"/>
  <c r="R41" i="287" s="1"/>
  <c r="U41" i="287" s="1"/>
  <c r="D8" i="287"/>
  <c r="E8" i="287" s="1"/>
  <c r="D20" i="287"/>
  <c r="E20" i="287" s="1"/>
  <c r="R20" i="287" s="1"/>
  <c r="U20" i="287" s="1"/>
  <c r="D28" i="287"/>
  <c r="E28" i="287" s="1"/>
  <c r="R28" i="287" s="1"/>
  <c r="U28" i="287" s="1"/>
  <c r="D36" i="287"/>
  <c r="E36" i="287" s="1"/>
  <c r="R36" i="287" s="1"/>
  <c r="U36" i="287" s="1"/>
  <c r="D46" i="287"/>
  <c r="E46" i="287" s="1"/>
  <c r="R46" i="287" s="1"/>
  <c r="U46" i="287" s="1"/>
  <c r="D8" i="286"/>
  <c r="D16" i="287"/>
  <c r="E16" i="287" s="1"/>
  <c r="R16" i="287" s="1"/>
  <c r="U16" i="287" s="1"/>
  <c r="D23" i="287"/>
  <c r="E23" i="287" s="1"/>
  <c r="R23" i="287" s="1"/>
  <c r="U23" i="287" s="1"/>
  <c r="D31" i="287"/>
  <c r="E31" i="287" s="1"/>
  <c r="R31" i="287" s="1"/>
  <c r="U31" i="287" s="1"/>
  <c r="D39" i="287"/>
  <c r="E39" i="287" s="1"/>
  <c r="D49" i="287"/>
  <c r="E49" i="287" s="1"/>
  <c r="R49" i="287" s="1"/>
  <c r="U49" i="287" s="1"/>
  <c r="P195" i="222"/>
  <c r="B195" i="222" s="1"/>
  <c r="P199" i="222"/>
  <c r="B199" i="222" s="1"/>
  <c r="D6" i="282"/>
  <c r="E6" i="282" s="1"/>
  <c r="U6" i="282" s="1"/>
  <c r="X6" i="282" s="1"/>
  <c r="AA61" i="243"/>
  <c r="Y61" i="243" s="1"/>
  <c r="AA62" i="243"/>
  <c r="Y62" i="243" s="1"/>
  <c r="AA63" i="243"/>
  <c r="AA64" i="243"/>
  <c r="Y64" i="243" s="1"/>
  <c r="AA65" i="243"/>
  <c r="Y65" i="243" s="1"/>
  <c r="AA66" i="243"/>
  <c r="Y66" i="243" s="1"/>
  <c r="AA67" i="243"/>
  <c r="Y67" i="243" s="1"/>
  <c r="AA68" i="243"/>
  <c r="Y68" i="243" s="1"/>
  <c r="AA69" i="243"/>
  <c r="Y69" i="243" s="1"/>
  <c r="AA70" i="243"/>
  <c r="Y70" i="243" s="1"/>
  <c r="AA71" i="243"/>
  <c r="Y71" i="243" s="1"/>
  <c r="AA72" i="243"/>
  <c r="Y72" i="243" s="1"/>
  <c r="AA73" i="243"/>
  <c r="Y73" i="243" s="1"/>
  <c r="AA74" i="243"/>
  <c r="AA75" i="243"/>
  <c r="AA76" i="243"/>
  <c r="Y76" i="243" s="1"/>
  <c r="AA77" i="243"/>
  <c r="AA78" i="243"/>
  <c r="R13" i="287" l="1"/>
  <c r="V13" i="287" s="1"/>
  <c r="R10" i="287"/>
  <c r="V10" i="287" s="1"/>
  <c r="R11" i="287"/>
  <c r="U11" i="287" s="1"/>
  <c r="R12" i="287"/>
  <c r="U12" i="287" s="1"/>
  <c r="R14" i="287"/>
  <c r="U14" i="287" s="1"/>
  <c r="R8" i="287"/>
  <c r="U8" i="287" s="1"/>
  <c r="R50" i="287"/>
  <c r="U50" i="287" s="1"/>
  <c r="R40" i="287"/>
  <c r="U40" i="287" s="1"/>
  <c r="R42" i="287"/>
  <c r="U42" i="287" s="1"/>
  <c r="R39" i="287"/>
  <c r="U39" i="287" s="1"/>
  <c r="R7" i="287"/>
  <c r="U7" i="287" s="1"/>
  <c r="R24" i="287"/>
  <c r="U24" i="287" s="1"/>
  <c r="R26" i="287"/>
  <c r="U26" i="287" s="1"/>
  <c r="R17" i="287"/>
  <c r="U17" i="287" s="1"/>
  <c r="R9" i="287"/>
  <c r="U9" i="287" s="1"/>
  <c r="U10" i="287" l="1"/>
  <c r="U13" i="287"/>
  <c r="V11" i="287"/>
  <c r="V12" i="287"/>
  <c r="V14" i="287"/>
  <c r="V7" i="287"/>
  <c r="V50" i="287"/>
  <c r="V9" i="287"/>
  <c r="V8" i="287"/>
  <c r="A202" i="222"/>
  <c r="S202" i="222"/>
  <c r="T202" i="222"/>
  <c r="C202" i="222"/>
  <c r="E202" i="222"/>
  <c r="A183" i="266"/>
  <c r="B183" i="266"/>
  <c r="G183" i="266"/>
  <c r="E165" i="266"/>
  <c r="F165" i="266"/>
  <c r="E166" i="266"/>
  <c r="F166" i="266"/>
  <c r="S225" i="222"/>
  <c r="T225" i="222"/>
  <c r="C225" i="222"/>
  <c r="E225" i="222"/>
  <c r="A225" i="222"/>
  <c r="C251" i="222"/>
  <c r="E252" i="222"/>
  <c r="E257" i="222"/>
  <c r="C260" i="222"/>
  <c r="E260" i="222"/>
  <c r="E105" i="222"/>
  <c r="G105" i="222"/>
  <c r="C255" i="222"/>
  <c r="E255" i="222"/>
  <c r="G255" i="222"/>
  <c r="C106" i="222"/>
  <c r="E106" i="222"/>
  <c r="G106" i="222"/>
  <c r="E107" i="222"/>
  <c r="G107" i="222"/>
  <c r="C108" i="222"/>
  <c r="E108" i="222"/>
  <c r="G108" i="222"/>
  <c r="C109" i="222"/>
  <c r="G109" i="222"/>
  <c r="C258" i="222"/>
  <c r="E258" i="222"/>
  <c r="G258" i="222"/>
  <c r="C110" i="222"/>
  <c r="E110" i="222"/>
  <c r="G110" i="222"/>
  <c r="C259" i="222"/>
  <c r="E259" i="222"/>
  <c r="G259" i="222"/>
  <c r="C112" i="222"/>
  <c r="E112" i="222"/>
  <c r="G112" i="222"/>
  <c r="C113" i="222"/>
  <c r="E113" i="222"/>
  <c r="G113" i="222"/>
  <c r="E114" i="222"/>
  <c r="G114" i="222"/>
  <c r="C115" i="222"/>
  <c r="E115" i="222"/>
  <c r="G115" i="222"/>
  <c r="C261" i="222"/>
  <c r="E261" i="222"/>
  <c r="C262" i="222"/>
  <c r="E262" i="222"/>
  <c r="G262" i="222"/>
  <c r="C118" i="222"/>
  <c r="E118" i="222"/>
  <c r="G118" i="222"/>
  <c r="C263" i="222"/>
  <c r="E263" i="222"/>
  <c r="C120" i="222"/>
  <c r="E120" i="222"/>
  <c r="G120" i="222"/>
  <c r="C121" i="222"/>
  <c r="E121" i="222"/>
  <c r="G121" i="222"/>
  <c r="C122" i="222"/>
  <c r="E122" i="222"/>
  <c r="G122" i="222"/>
  <c r="C123" i="222"/>
  <c r="E123" i="222"/>
  <c r="G123" i="222"/>
  <c r="C124" i="222"/>
  <c r="E124" i="222"/>
  <c r="G124" i="222"/>
  <c r="C125" i="222"/>
  <c r="E125" i="222"/>
  <c r="G125" i="222"/>
  <c r="S181" i="222"/>
  <c r="T181" i="222"/>
  <c r="S182" i="222"/>
  <c r="T182" i="222"/>
  <c r="S183" i="222"/>
  <c r="T183" i="222"/>
  <c r="S188" i="222"/>
  <c r="T188" i="222"/>
  <c r="S194" i="222"/>
  <c r="T194" i="222"/>
  <c r="S196" i="222"/>
  <c r="T196" i="222"/>
  <c r="S197" i="222"/>
  <c r="T197" i="222"/>
  <c r="S198" i="222"/>
  <c r="T198" i="222"/>
  <c r="S200" i="222"/>
  <c r="T200" i="222"/>
  <c r="S201" i="222"/>
  <c r="T201" i="222"/>
  <c r="S203" i="222"/>
  <c r="T203" i="222"/>
  <c r="S204" i="222"/>
  <c r="T204" i="222"/>
  <c r="S205" i="222"/>
  <c r="T205" i="222"/>
  <c r="S206" i="222"/>
  <c r="T206" i="222"/>
  <c r="S207" i="222"/>
  <c r="T207" i="222"/>
  <c r="S208" i="222"/>
  <c r="T208" i="222"/>
  <c r="S209" i="222"/>
  <c r="T209" i="222"/>
  <c r="S210" i="222"/>
  <c r="T210" i="222"/>
  <c r="S211" i="222"/>
  <c r="T211" i="222"/>
  <c r="S212" i="222"/>
  <c r="T212" i="222"/>
  <c r="S213" i="222"/>
  <c r="T213" i="222"/>
  <c r="S214" i="222"/>
  <c r="T214" i="222"/>
  <c r="S215" i="222"/>
  <c r="T215" i="222"/>
  <c r="S216" i="222"/>
  <c r="T216" i="222"/>
  <c r="S217" i="222"/>
  <c r="T217" i="222"/>
  <c r="S218" i="222"/>
  <c r="T218" i="222"/>
  <c r="S219" i="222"/>
  <c r="T219" i="222"/>
  <c r="S220" i="222"/>
  <c r="T220" i="222"/>
  <c r="S221" i="222"/>
  <c r="T221" i="222"/>
  <c r="S222" i="222"/>
  <c r="T222" i="222"/>
  <c r="S223" i="222"/>
  <c r="T223" i="222"/>
  <c r="S224" i="222"/>
  <c r="T224" i="222"/>
  <c r="S226" i="222"/>
  <c r="T226" i="222"/>
  <c r="S227" i="222"/>
  <c r="T227" i="222"/>
  <c r="S228" i="222"/>
  <c r="T228" i="222"/>
  <c r="S229" i="222"/>
  <c r="T229" i="222"/>
  <c r="S230" i="222"/>
  <c r="T230" i="222"/>
  <c r="S231" i="222"/>
  <c r="T231" i="222"/>
  <c r="S232" i="222"/>
  <c r="T232" i="222"/>
  <c r="S233" i="222"/>
  <c r="T233" i="222"/>
  <c r="S234" i="222"/>
  <c r="T234" i="222"/>
  <c r="S235" i="222"/>
  <c r="T235" i="222"/>
  <c r="S236" i="222"/>
  <c r="T236" i="222"/>
  <c r="S237" i="222"/>
  <c r="T237" i="222"/>
  <c r="S238" i="222"/>
  <c r="T238" i="222"/>
  <c r="S239" i="222"/>
  <c r="T239" i="222"/>
  <c r="S240" i="222"/>
  <c r="T240" i="222"/>
  <c r="S241" i="222"/>
  <c r="T241" i="222"/>
  <c r="S242" i="222"/>
  <c r="T242" i="222"/>
  <c r="S243" i="222"/>
  <c r="T243" i="222"/>
  <c r="S244" i="222"/>
  <c r="T244" i="222"/>
  <c r="S245" i="222"/>
  <c r="T245" i="222"/>
  <c r="S246" i="222"/>
  <c r="T246" i="222"/>
  <c r="S247" i="222"/>
  <c r="T247" i="222"/>
  <c r="S248" i="222"/>
  <c r="T248" i="222"/>
  <c r="S251" i="222"/>
  <c r="T251" i="222"/>
  <c r="S252" i="222"/>
  <c r="T252" i="222"/>
  <c r="S256" i="222"/>
  <c r="T256" i="222"/>
  <c r="S257" i="222"/>
  <c r="T257" i="222"/>
  <c r="S260" i="222"/>
  <c r="T260" i="222"/>
  <c r="T180" i="222"/>
  <c r="S180" i="222"/>
  <c r="S5" i="222"/>
  <c r="T5" i="222"/>
  <c r="S6" i="222"/>
  <c r="T6" i="222"/>
  <c r="S7" i="222"/>
  <c r="T7" i="222"/>
  <c r="S184" i="222"/>
  <c r="T184" i="222"/>
  <c r="S185" i="222"/>
  <c r="T185" i="222"/>
  <c r="S8" i="222"/>
  <c r="T8" i="222"/>
  <c r="S9" i="222"/>
  <c r="T9" i="222"/>
  <c r="S10" i="222"/>
  <c r="T10" i="222"/>
  <c r="S11" i="222"/>
  <c r="T11" i="222"/>
  <c r="S12" i="222"/>
  <c r="T12" i="222"/>
  <c r="S13" i="222"/>
  <c r="T13" i="222"/>
  <c r="S186" i="222"/>
  <c r="T186" i="222"/>
  <c r="S14" i="222"/>
  <c r="T14" i="222"/>
  <c r="S15" i="222"/>
  <c r="T15" i="222"/>
  <c r="S16" i="222"/>
  <c r="T16" i="222"/>
  <c r="S17" i="222"/>
  <c r="T17" i="222"/>
  <c r="S18" i="222"/>
  <c r="T18" i="222"/>
  <c r="S19" i="222"/>
  <c r="T19" i="222"/>
  <c r="S187" i="222"/>
  <c r="T187" i="222"/>
  <c r="S21" i="222"/>
  <c r="T21" i="222"/>
  <c r="S189" i="222"/>
  <c r="T189" i="222"/>
  <c r="S23" i="222"/>
  <c r="T23" i="222"/>
  <c r="S24" i="222"/>
  <c r="T24" i="222"/>
  <c r="S25" i="222"/>
  <c r="T25" i="222"/>
  <c r="S190" i="222"/>
  <c r="T190" i="222"/>
  <c r="S191" i="222"/>
  <c r="T191" i="222"/>
  <c r="S28" i="222"/>
  <c r="T28" i="222"/>
  <c r="S29" i="222"/>
  <c r="T29" i="222"/>
  <c r="S192" i="222"/>
  <c r="T192" i="222"/>
  <c r="S31" i="222"/>
  <c r="T31" i="222"/>
  <c r="S32" i="222"/>
  <c r="T32" i="222"/>
  <c r="S33" i="222"/>
  <c r="T33" i="222"/>
  <c r="S193" i="222"/>
  <c r="T193" i="222"/>
  <c r="S35" i="222"/>
  <c r="T35" i="222"/>
  <c r="S36" i="222"/>
  <c r="T36" i="222"/>
  <c r="S37" i="222"/>
  <c r="T37" i="222"/>
  <c r="S38" i="222"/>
  <c r="T38" i="222"/>
  <c r="S39" i="222"/>
  <c r="T39" i="222"/>
  <c r="S40" i="222"/>
  <c r="T40" i="222"/>
  <c r="S41" i="222"/>
  <c r="T41" i="222"/>
  <c r="S42" i="222"/>
  <c r="T42" i="222"/>
  <c r="S43" i="222"/>
  <c r="T43" i="222"/>
  <c r="S44" i="222"/>
  <c r="T44" i="222"/>
  <c r="S45" i="222"/>
  <c r="T45" i="222"/>
  <c r="S46" i="222"/>
  <c r="T46" i="222"/>
  <c r="S47" i="222"/>
  <c r="T47" i="222"/>
  <c r="S48" i="222"/>
  <c r="T48" i="222"/>
  <c r="S49" i="222"/>
  <c r="T49" i="222"/>
  <c r="S50" i="222"/>
  <c r="T50" i="222"/>
  <c r="S51" i="222"/>
  <c r="T51" i="222"/>
  <c r="S52" i="222"/>
  <c r="T52" i="222"/>
  <c r="S53" i="222"/>
  <c r="T53" i="222"/>
  <c r="S54" i="222"/>
  <c r="T54" i="222"/>
  <c r="S55" i="222"/>
  <c r="T55" i="222"/>
  <c r="S56" i="222"/>
  <c r="T56" i="222"/>
  <c r="S57" i="222"/>
  <c r="T57" i="222"/>
  <c r="S58" i="222"/>
  <c r="T58" i="222"/>
  <c r="S59" i="222"/>
  <c r="T59" i="222"/>
  <c r="S60" i="222"/>
  <c r="T60" i="222"/>
  <c r="S61" i="222"/>
  <c r="T61" i="222"/>
  <c r="S62" i="222"/>
  <c r="T62" i="222"/>
  <c r="S63" i="222"/>
  <c r="T63" i="222"/>
  <c r="S64" i="222"/>
  <c r="T64" i="222"/>
  <c r="S65" i="222"/>
  <c r="T65" i="222"/>
  <c r="S66" i="222"/>
  <c r="T66" i="222"/>
  <c r="S67" i="222"/>
  <c r="T67" i="222"/>
  <c r="S68" i="222"/>
  <c r="T68" i="222"/>
  <c r="S69" i="222"/>
  <c r="T69" i="222"/>
  <c r="S70" i="222"/>
  <c r="T70" i="222"/>
  <c r="S71" i="222"/>
  <c r="T71" i="222"/>
  <c r="S72" i="222"/>
  <c r="T72" i="222"/>
  <c r="S73" i="222"/>
  <c r="T73" i="222"/>
  <c r="S74" i="222"/>
  <c r="T74" i="222"/>
  <c r="S75" i="222"/>
  <c r="T75" i="222"/>
  <c r="S76" i="222"/>
  <c r="T76" i="222"/>
  <c r="S77" i="222"/>
  <c r="T77" i="222"/>
  <c r="S78" i="222"/>
  <c r="T78" i="222"/>
  <c r="S79" i="222"/>
  <c r="T79" i="222"/>
  <c r="S80" i="222"/>
  <c r="T80" i="222"/>
  <c r="S81" i="222"/>
  <c r="T81" i="222"/>
  <c r="S82" i="222"/>
  <c r="T82" i="222"/>
  <c r="S249" i="222"/>
  <c r="T249" i="222"/>
  <c r="S84" i="222"/>
  <c r="T84" i="222"/>
  <c r="S85" i="222"/>
  <c r="T85" i="222"/>
  <c r="S86" i="222"/>
  <c r="T86" i="222"/>
  <c r="S250" i="222"/>
  <c r="T250" i="222"/>
  <c r="S88" i="222"/>
  <c r="T88" i="222"/>
  <c r="S89" i="222"/>
  <c r="T89" i="222"/>
  <c r="S90" i="222"/>
  <c r="T90" i="222"/>
  <c r="S91" i="222"/>
  <c r="T91" i="222"/>
  <c r="S92" i="222"/>
  <c r="T92" i="222"/>
  <c r="S93" i="222"/>
  <c r="T93" i="222"/>
  <c r="S94" i="222"/>
  <c r="T94" i="222"/>
  <c r="S95" i="222"/>
  <c r="T95" i="222"/>
  <c r="S96" i="222"/>
  <c r="T96" i="222"/>
  <c r="S97" i="222"/>
  <c r="T97" i="222"/>
  <c r="S253" i="222"/>
  <c r="T253" i="222"/>
  <c r="S99" i="222"/>
  <c r="T99" i="222"/>
  <c r="S100" i="222"/>
  <c r="T100" i="222"/>
  <c r="S101" i="222"/>
  <c r="T101" i="222"/>
  <c r="S102" i="222"/>
  <c r="T102" i="222"/>
  <c r="S254" i="222"/>
  <c r="T254" i="222"/>
  <c r="S104" i="222"/>
  <c r="T104" i="222"/>
  <c r="S105" i="222"/>
  <c r="T105" i="222"/>
  <c r="S255" i="222"/>
  <c r="T255" i="222"/>
  <c r="S106" i="222"/>
  <c r="T106" i="222"/>
  <c r="S107" i="222"/>
  <c r="T107" i="222"/>
  <c r="S108" i="222"/>
  <c r="T108" i="222"/>
  <c r="S109" i="222"/>
  <c r="T109" i="222"/>
  <c r="S258" i="222"/>
  <c r="T258" i="222"/>
  <c r="S110" i="222"/>
  <c r="T110" i="222"/>
  <c r="S259" i="222"/>
  <c r="T259" i="222"/>
  <c r="S112" i="222"/>
  <c r="T112" i="222"/>
  <c r="S113" i="222"/>
  <c r="T113" i="222"/>
  <c r="S114" i="222"/>
  <c r="T114" i="222"/>
  <c r="S115" i="222"/>
  <c r="T115" i="222"/>
  <c r="S261" i="222"/>
  <c r="T261" i="222"/>
  <c r="S262" i="222"/>
  <c r="T262" i="222"/>
  <c r="S118" i="222"/>
  <c r="T118" i="222"/>
  <c r="S263" i="222"/>
  <c r="T263" i="222"/>
  <c r="S120" i="222"/>
  <c r="T120" i="222"/>
  <c r="S121" i="222"/>
  <c r="T121" i="222"/>
  <c r="S122" i="222"/>
  <c r="T122" i="222"/>
  <c r="S123" i="222"/>
  <c r="T123" i="222"/>
  <c r="S124" i="222"/>
  <c r="T124" i="222"/>
  <c r="S125" i="222"/>
  <c r="T125" i="222"/>
  <c r="T4" i="222"/>
  <c r="S4" i="222"/>
  <c r="A105" i="222"/>
  <c r="C105" i="222"/>
  <c r="I105" i="222"/>
  <c r="K105" i="222"/>
  <c r="A255" i="222"/>
  <c r="I255" i="222"/>
  <c r="K255" i="222"/>
  <c r="A106" i="222"/>
  <c r="I106" i="222"/>
  <c r="K106" i="222"/>
  <c r="A107" i="222"/>
  <c r="C107" i="222"/>
  <c r="I107" i="222"/>
  <c r="K107" i="222"/>
  <c r="A108" i="222"/>
  <c r="I108" i="222"/>
  <c r="K108" i="222"/>
  <c r="A109" i="222"/>
  <c r="E109" i="222"/>
  <c r="I109" i="222"/>
  <c r="K109" i="222"/>
  <c r="A258" i="222"/>
  <c r="I258" i="222"/>
  <c r="K258" i="222"/>
  <c r="A110" i="222"/>
  <c r="I110" i="222"/>
  <c r="K110" i="222"/>
  <c r="A259" i="222"/>
  <c r="I259" i="222"/>
  <c r="K259" i="222"/>
  <c r="A112" i="222"/>
  <c r="I112" i="222"/>
  <c r="K112" i="222"/>
  <c r="A113" i="222"/>
  <c r="I113" i="222"/>
  <c r="K113" i="222"/>
  <c r="A114" i="222"/>
  <c r="C114" i="222"/>
  <c r="I114" i="222"/>
  <c r="K114" i="222"/>
  <c r="A115" i="222"/>
  <c r="I115" i="222"/>
  <c r="K115" i="222"/>
  <c r="A261" i="222"/>
  <c r="G261" i="222"/>
  <c r="I261" i="222"/>
  <c r="K261" i="222"/>
  <c r="A262" i="222"/>
  <c r="I262" i="222"/>
  <c r="K262" i="222"/>
  <c r="A118" i="222"/>
  <c r="I118" i="222"/>
  <c r="K118" i="222"/>
  <c r="A263" i="222"/>
  <c r="G263" i="222"/>
  <c r="I263" i="222"/>
  <c r="K263" i="222"/>
  <c r="A120" i="222"/>
  <c r="I120" i="222"/>
  <c r="K120" i="222"/>
  <c r="A121" i="222"/>
  <c r="I121" i="222"/>
  <c r="K121" i="222"/>
  <c r="A122" i="222"/>
  <c r="I122" i="222"/>
  <c r="K122" i="222"/>
  <c r="A123" i="222"/>
  <c r="I123" i="222"/>
  <c r="K123" i="222"/>
  <c r="A124" i="222"/>
  <c r="I124" i="222"/>
  <c r="K124" i="222"/>
  <c r="A125" i="222"/>
  <c r="I125" i="222"/>
  <c r="K125" i="222"/>
  <c r="A251" i="222"/>
  <c r="E251" i="222"/>
  <c r="A252" i="222"/>
  <c r="C252" i="222"/>
  <c r="A256" i="222"/>
  <c r="C256" i="222"/>
  <c r="E256" i="222"/>
  <c r="A257" i="222"/>
  <c r="C257" i="222"/>
  <c r="A260" i="222"/>
  <c r="A242" i="266"/>
  <c r="E162" i="266"/>
  <c r="F162" i="266"/>
  <c r="E163" i="266"/>
  <c r="F163" i="266"/>
  <c r="E164" i="266"/>
  <c r="F164" i="266"/>
  <c r="G242" i="266"/>
  <c r="A227" i="266"/>
  <c r="B227" i="266"/>
  <c r="G227" i="266"/>
  <c r="A228" i="266"/>
  <c r="B228" i="266"/>
  <c r="G228" i="266"/>
  <c r="A229" i="266"/>
  <c r="B229" i="266"/>
  <c r="G229" i="266"/>
  <c r="A232" i="266"/>
  <c r="B232" i="266"/>
  <c r="G232" i="266"/>
  <c r="A233" i="266"/>
  <c r="B233" i="266"/>
  <c r="G233" i="266"/>
  <c r="G236" i="266"/>
  <c r="G96" i="266"/>
  <c r="G97" i="266"/>
  <c r="G98" i="266"/>
  <c r="G99" i="266"/>
  <c r="G239" i="266"/>
  <c r="G100" i="266"/>
  <c r="G240" i="266"/>
  <c r="G101" i="266"/>
  <c r="G102" i="266"/>
  <c r="G103" i="266"/>
  <c r="G104" i="266"/>
  <c r="G241" i="266"/>
  <c r="G243" i="266"/>
  <c r="G105" i="266"/>
  <c r="G244" i="266"/>
  <c r="G106" i="266"/>
  <c r="G107" i="266"/>
  <c r="G108" i="266"/>
  <c r="G109" i="266"/>
  <c r="G110" i="266"/>
  <c r="G111" i="266"/>
  <c r="F5" i="283"/>
  <c r="G7" i="283"/>
  <c r="G10" i="249"/>
  <c r="G11" i="249"/>
  <c r="G12" i="249"/>
  <c r="G17" i="249"/>
  <c r="G20" i="249"/>
  <c r="G21" i="249"/>
  <c r="G25" i="249"/>
  <c r="A10" i="249"/>
  <c r="C10" i="249" s="1"/>
  <c r="H10" i="249" s="1"/>
  <c r="A11" i="249"/>
  <c r="E11" i="249" s="1"/>
  <c r="C11" i="249"/>
  <c r="H11" i="249" s="1"/>
  <c r="A12" i="249"/>
  <c r="C12" i="249"/>
  <c r="H12" i="249" s="1"/>
  <c r="E12" i="249"/>
  <c r="A13" i="249"/>
  <c r="C13" i="249" s="1"/>
  <c r="H13" i="249" s="1"/>
  <c r="A14" i="249"/>
  <c r="C14" i="249" s="1"/>
  <c r="H14" i="249" s="1"/>
  <c r="A15" i="249"/>
  <c r="E15" i="249" s="1"/>
  <c r="C15" i="249"/>
  <c r="H15" i="249" s="1"/>
  <c r="A16" i="249"/>
  <c r="G16" i="249" s="1"/>
  <c r="C16" i="249"/>
  <c r="H16" i="249" s="1"/>
  <c r="E16" i="249"/>
  <c r="A17" i="249"/>
  <c r="C17" i="249" s="1"/>
  <c r="H17" i="249" s="1"/>
  <c r="E17" i="249"/>
  <c r="A20" i="249"/>
  <c r="C20" i="249" s="1"/>
  <c r="H20" i="249" s="1"/>
  <c r="A21" i="249"/>
  <c r="E21" i="249" s="1"/>
  <c r="C21" i="249"/>
  <c r="H21" i="249" s="1"/>
  <c r="I21" i="249" s="1"/>
  <c r="J21" i="249" s="1"/>
  <c r="A22" i="249"/>
  <c r="E22" i="249" s="1"/>
  <c r="C22" i="249"/>
  <c r="H22" i="249" s="1"/>
  <c r="A25" i="249"/>
  <c r="C25" i="249"/>
  <c r="H25" i="249" s="1"/>
  <c r="E25" i="249"/>
  <c r="A26" i="249"/>
  <c r="C26" i="249" s="1"/>
  <c r="H26" i="249" s="1"/>
  <c r="A27" i="249"/>
  <c r="E27" i="249" s="1"/>
  <c r="G13" i="249" l="1"/>
  <c r="I13" i="249" s="1"/>
  <c r="J13" i="249" s="1"/>
  <c r="I16" i="249"/>
  <c r="J16" i="249" s="1"/>
  <c r="G22" i="249"/>
  <c r="I22" i="249" s="1"/>
  <c r="J22" i="249" s="1"/>
  <c r="I12" i="249"/>
  <c r="J12" i="249" s="1"/>
  <c r="I15" i="249"/>
  <c r="J15" i="249" s="1"/>
  <c r="I20" i="249"/>
  <c r="J20" i="249" s="1"/>
  <c r="I11" i="249"/>
  <c r="J11" i="249" s="1"/>
  <c r="E13" i="249"/>
  <c r="I10" i="249"/>
  <c r="J10" i="249" s="1"/>
  <c r="G15" i="249"/>
  <c r="I25" i="249"/>
  <c r="J25" i="249" s="1"/>
  <c r="G26" i="249"/>
  <c r="I26" i="249" s="1"/>
  <c r="J26" i="249" s="1"/>
  <c r="G14" i="249"/>
  <c r="I14" i="249" s="1"/>
  <c r="J14" i="249" s="1"/>
  <c r="G27" i="249"/>
  <c r="C27" i="249"/>
  <c r="H27" i="249" s="1"/>
  <c r="I17" i="249"/>
  <c r="J17" i="249" s="1"/>
  <c r="N202" i="222"/>
  <c r="O202" i="222" s="1"/>
  <c r="N225" i="222"/>
  <c r="O225" i="222" s="1"/>
  <c r="N251" i="222"/>
  <c r="O251" i="222" s="1"/>
  <c r="N252" i="222"/>
  <c r="O252" i="222" s="1"/>
  <c r="N256" i="222"/>
  <c r="O256" i="222" s="1"/>
  <c r="N263" i="222"/>
  <c r="O263" i="222" s="1"/>
  <c r="N257" i="222"/>
  <c r="O257" i="222" s="1"/>
  <c r="N260" i="222"/>
  <c r="O260" i="222" s="1"/>
  <c r="N115" i="222"/>
  <c r="O115" i="222" s="1"/>
  <c r="N107" i="222"/>
  <c r="O107" i="222" s="1"/>
  <c r="N122" i="222"/>
  <c r="O122" i="222" s="1"/>
  <c r="N105" i="222"/>
  <c r="O105" i="222" s="1"/>
  <c r="N259" i="222"/>
  <c r="O259" i="222" s="1"/>
  <c r="N112" i="222"/>
  <c r="O112" i="222" s="1"/>
  <c r="N108" i="222"/>
  <c r="O108" i="222" s="1"/>
  <c r="N123" i="222"/>
  <c r="O123" i="222" s="1"/>
  <c r="N262" i="222"/>
  <c r="O262" i="222" s="1"/>
  <c r="N121" i="222"/>
  <c r="O121" i="222" s="1"/>
  <c r="N261" i="222"/>
  <c r="O261" i="222" s="1"/>
  <c r="N110" i="222"/>
  <c r="O110" i="222" s="1"/>
  <c r="N106" i="222"/>
  <c r="O106" i="222" s="1"/>
  <c r="N124" i="222"/>
  <c r="O124" i="222" s="1"/>
  <c r="N118" i="222"/>
  <c r="O118" i="222" s="1"/>
  <c r="N113" i="222"/>
  <c r="O113" i="222" s="1"/>
  <c r="N109" i="222"/>
  <c r="O109" i="222" s="1"/>
  <c r="N125" i="222"/>
  <c r="O125" i="222" s="1"/>
  <c r="N120" i="222"/>
  <c r="O120" i="222" s="1"/>
  <c r="N114" i="222"/>
  <c r="O114" i="222" s="1"/>
  <c r="N258" i="222"/>
  <c r="O258" i="222" s="1"/>
  <c r="N255" i="222"/>
  <c r="O255" i="222" s="1"/>
  <c r="E26" i="249"/>
  <c r="E14" i="249"/>
  <c r="E20" i="249"/>
  <c r="E10" i="249"/>
  <c r="I27" i="249" l="1"/>
  <c r="J27" i="249" s="1"/>
  <c r="T6" i="287" l="1"/>
  <c r="S6" i="287"/>
  <c r="C6" i="287"/>
  <c r="Y6" i="287" s="1"/>
  <c r="B6" i="287"/>
  <c r="C197" i="222" l="1"/>
  <c r="C198" i="222"/>
  <c r="C200" i="222"/>
  <c r="C201" i="222"/>
  <c r="C203" i="222"/>
  <c r="C204" i="222"/>
  <c r="C205" i="222"/>
  <c r="C206" i="222"/>
  <c r="C207" i="222"/>
  <c r="C208" i="222"/>
  <c r="C209" i="222"/>
  <c r="C210" i="222"/>
  <c r="C211" i="222"/>
  <c r="C212" i="222"/>
  <c r="C213" i="222"/>
  <c r="C214" i="222"/>
  <c r="C215" i="222"/>
  <c r="C216" i="222"/>
  <c r="C217" i="222"/>
  <c r="C218" i="222"/>
  <c r="C219" i="222"/>
  <c r="C220" i="222"/>
  <c r="C221" i="222"/>
  <c r="C222" i="222"/>
  <c r="C223" i="222"/>
  <c r="C224" i="222"/>
  <c r="C226" i="222"/>
  <c r="C227" i="222"/>
  <c r="C228" i="222"/>
  <c r="C229" i="222"/>
  <c r="C230" i="222"/>
  <c r="C231" i="222"/>
  <c r="C232" i="222"/>
  <c r="C233" i="222"/>
  <c r="C234" i="222"/>
  <c r="C235" i="222"/>
  <c r="C236" i="222"/>
  <c r="C237" i="222"/>
  <c r="C238" i="222"/>
  <c r="C239" i="222"/>
  <c r="C240" i="222"/>
  <c r="C241" i="222"/>
  <c r="C242" i="222"/>
  <c r="C243" i="222"/>
  <c r="C244" i="222"/>
  <c r="C245" i="222"/>
  <c r="C246" i="222"/>
  <c r="C247" i="222"/>
  <c r="C248" i="222"/>
  <c r="C181" i="222"/>
  <c r="C182" i="222"/>
  <c r="C183" i="222"/>
  <c r="C188" i="222"/>
  <c r="C194" i="222"/>
  <c r="C196" i="222"/>
  <c r="C180" i="222"/>
  <c r="E181" i="222"/>
  <c r="E182" i="222"/>
  <c r="E183" i="222"/>
  <c r="E188" i="222"/>
  <c r="E194" i="222"/>
  <c r="E196" i="222"/>
  <c r="E197" i="222"/>
  <c r="E198" i="222"/>
  <c r="E200" i="222"/>
  <c r="E201" i="222"/>
  <c r="E203" i="222"/>
  <c r="E204" i="222"/>
  <c r="E205" i="222"/>
  <c r="E206" i="222"/>
  <c r="E207" i="222"/>
  <c r="E208" i="222"/>
  <c r="E209" i="222"/>
  <c r="E210" i="222"/>
  <c r="E211" i="222"/>
  <c r="E212" i="222"/>
  <c r="E213" i="222"/>
  <c r="E214" i="222"/>
  <c r="E215" i="222"/>
  <c r="E216" i="222"/>
  <c r="E217" i="222"/>
  <c r="E218" i="222"/>
  <c r="E219" i="222"/>
  <c r="E220" i="222"/>
  <c r="E221" i="222"/>
  <c r="E222" i="222"/>
  <c r="E223" i="222"/>
  <c r="E224" i="222"/>
  <c r="E226" i="222"/>
  <c r="E227" i="222"/>
  <c r="E228" i="222"/>
  <c r="E229" i="222"/>
  <c r="E230" i="222"/>
  <c r="E231" i="222"/>
  <c r="E232" i="222"/>
  <c r="E233" i="222"/>
  <c r="E234" i="222"/>
  <c r="E235" i="222"/>
  <c r="E236" i="222"/>
  <c r="E237" i="222"/>
  <c r="E238" i="222"/>
  <c r="E239" i="222"/>
  <c r="E240" i="222"/>
  <c r="E241" i="222"/>
  <c r="E242" i="222"/>
  <c r="E243" i="222"/>
  <c r="E244" i="222"/>
  <c r="E245" i="222"/>
  <c r="E246" i="222"/>
  <c r="E247" i="222"/>
  <c r="E248" i="222"/>
  <c r="E180" i="222"/>
  <c r="A197" i="222"/>
  <c r="A198" i="222"/>
  <c r="A200" i="222"/>
  <c r="A201" i="222"/>
  <c r="A203" i="222"/>
  <c r="A204" i="222"/>
  <c r="A205" i="222"/>
  <c r="A206" i="222"/>
  <c r="A207" i="222"/>
  <c r="A208" i="222"/>
  <c r="A209" i="222"/>
  <c r="A210" i="222"/>
  <c r="A211" i="222"/>
  <c r="A212" i="222"/>
  <c r="A213" i="222"/>
  <c r="A214" i="222"/>
  <c r="A215" i="222"/>
  <c r="A216" i="222"/>
  <c r="A217" i="222"/>
  <c r="A218" i="222"/>
  <c r="A219" i="222"/>
  <c r="A220" i="222"/>
  <c r="A221" i="222"/>
  <c r="A222" i="222"/>
  <c r="A223" i="222"/>
  <c r="A224" i="222"/>
  <c r="A226" i="222"/>
  <c r="A227" i="222"/>
  <c r="A228" i="222"/>
  <c r="A229" i="222"/>
  <c r="A230" i="222"/>
  <c r="A231" i="222"/>
  <c r="A232" i="222"/>
  <c r="A233" i="222"/>
  <c r="A234" i="222"/>
  <c r="A235" i="222"/>
  <c r="A236" i="222"/>
  <c r="A237" i="222"/>
  <c r="A238" i="222"/>
  <c r="A239" i="222"/>
  <c r="A240" i="222"/>
  <c r="A241" i="222"/>
  <c r="A242" i="222"/>
  <c r="A243" i="222"/>
  <c r="A244" i="222"/>
  <c r="A245" i="222"/>
  <c r="A246" i="222"/>
  <c r="A247" i="222"/>
  <c r="A248" i="222"/>
  <c r="N238" i="222" l="1"/>
  <c r="O238" i="222" s="1"/>
  <c r="N205" i="222"/>
  <c r="O205" i="222" s="1"/>
  <c r="N216" i="222"/>
  <c r="O216" i="222" s="1"/>
  <c r="N198" i="222"/>
  <c r="O198" i="222" s="1"/>
  <c r="N237" i="222"/>
  <c r="O237" i="222" s="1"/>
  <c r="N204" i="222"/>
  <c r="O204" i="222" s="1"/>
  <c r="N242" i="222"/>
  <c r="O242" i="222" s="1"/>
  <c r="N234" i="222"/>
  <c r="O234" i="222" s="1"/>
  <c r="N226" i="222"/>
  <c r="O226" i="222" s="1"/>
  <c r="N217" i="222"/>
  <c r="O217" i="222" s="1"/>
  <c r="N209" i="222"/>
  <c r="O209" i="222" s="1"/>
  <c r="N200" i="222"/>
  <c r="O200" i="222" s="1"/>
  <c r="N244" i="222"/>
  <c r="O244" i="222" s="1"/>
  <c r="N236" i="222"/>
  <c r="O236" i="222" s="1"/>
  <c r="N228" i="222"/>
  <c r="O228" i="222" s="1"/>
  <c r="N219" i="222"/>
  <c r="O219" i="222" s="1"/>
  <c r="N211" i="222"/>
  <c r="O211" i="222" s="1"/>
  <c r="N203" i="222"/>
  <c r="O203" i="222" s="1"/>
  <c r="N201" i="222"/>
  <c r="O201" i="222" s="1"/>
  <c r="N241" i="222"/>
  <c r="O241" i="222" s="1"/>
  <c r="N233" i="222"/>
  <c r="O233" i="222" s="1"/>
  <c r="N224" i="222"/>
  <c r="O224" i="222" s="1"/>
  <c r="N208" i="222"/>
  <c r="O208" i="222" s="1"/>
  <c r="N248" i="222"/>
  <c r="O248" i="222" s="1"/>
  <c r="N240" i="222"/>
  <c r="O240" i="222" s="1"/>
  <c r="N223" i="222"/>
  <c r="O223" i="222" s="1"/>
  <c r="N215" i="222"/>
  <c r="O215" i="222" s="1"/>
  <c r="N207" i="222"/>
  <c r="O207" i="222" s="1"/>
  <c r="N197" i="222"/>
  <c r="O197" i="222" s="1"/>
  <c r="N247" i="222"/>
  <c r="O247" i="222" s="1"/>
  <c r="N229" i="222"/>
  <c r="O229" i="222" s="1"/>
  <c r="N239" i="222"/>
  <c r="O239" i="222" s="1"/>
  <c r="N243" i="222"/>
  <c r="O243" i="222" s="1"/>
  <c r="N235" i="222"/>
  <c r="O235" i="222" s="1"/>
  <c r="N227" i="222"/>
  <c r="O227" i="222" s="1"/>
  <c r="N218" i="222"/>
  <c r="O218" i="222" s="1"/>
  <c r="N210" i="222"/>
  <c r="O210" i="222" s="1"/>
  <c r="N231" i="222"/>
  <c r="O231" i="222" s="1"/>
  <c r="N232" i="222"/>
  <c r="O232" i="222" s="1"/>
  <c r="N246" i="222"/>
  <c r="O246" i="222" s="1"/>
  <c r="N230" i="222"/>
  <c r="O230" i="222" s="1"/>
  <c r="N221" i="222"/>
  <c r="O221" i="222" s="1"/>
  <c r="N213" i="222"/>
  <c r="O213" i="222" s="1"/>
  <c r="N245" i="222"/>
  <c r="O245" i="222" s="1"/>
  <c r="N220" i="222"/>
  <c r="O220" i="222" s="1"/>
  <c r="N212" i="222"/>
  <c r="O212" i="222" s="1"/>
  <c r="N222" i="222"/>
  <c r="O222" i="222" s="1"/>
  <c r="N214" i="222"/>
  <c r="O214" i="222" s="1"/>
  <c r="N206" i="222"/>
  <c r="O206" i="222" s="1"/>
  <c r="E24" i="235" l="1"/>
  <c r="AA58" i="243" l="1"/>
  <c r="Y58" i="243" s="1"/>
  <c r="AA59" i="243"/>
  <c r="Y59" i="243" s="1"/>
  <c r="AA60" i="243"/>
  <c r="Y60" i="243" s="1"/>
  <c r="T6" i="286" l="1"/>
  <c r="S6" i="286"/>
  <c r="C6" i="286"/>
  <c r="B6" i="286"/>
  <c r="G13" i="266"/>
  <c r="D13" i="266"/>
  <c r="C13" i="266"/>
  <c r="B13" i="266"/>
  <c r="A13" i="266"/>
  <c r="K104" i="222"/>
  <c r="I104" i="222"/>
  <c r="G104" i="222"/>
  <c r="E104" i="222"/>
  <c r="C104" i="222"/>
  <c r="A104" i="222"/>
  <c r="K254" i="222"/>
  <c r="I254" i="222"/>
  <c r="G254" i="222"/>
  <c r="E254" i="222"/>
  <c r="C254" i="222"/>
  <c r="A254" i="222"/>
  <c r="K102" i="222"/>
  <c r="I102" i="222"/>
  <c r="G102" i="222"/>
  <c r="E102" i="222"/>
  <c r="C102" i="222"/>
  <c r="A102" i="222"/>
  <c r="K101" i="222"/>
  <c r="I101" i="222"/>
  <c r="G101" i="222"/>
  <c r="E101" i="222"/>
  <c r="C101" i="222"/>
  <c r="A101" i="222"/>
  <c r="K100" i="222"/>
  <c r="I100" i="222"/>
  <c r="G100" i="222"/>
  <c r="E100" i="222"/>
  <c r="C100" i="222"/>
  <c r="A100" i="222"/>
  <c r="G92" i="266"/>
  <c r="G93" i="266"/>
  <c r="G235" i="266"/>
  <c r="G94" i="266"/>
  <c r="G95" i="266"/>
  <c r="Y6" i="286" l="1"/>
  <c r="D6" i="286"/>
  <c r="N104" i="222"/>
  <c r="O104" i="222" s="1"/>
  <c r="N102" i="222"/>
  <c r="O102" i="222" s="1"/>
  <c r="N101" i="222"/>
  <c r="O101" i="222" s="1"/>
  <c r="N100" i="222"/>
  <c r="O100" i="222" s="1"/>
  <c r="N254" i="222"/>
  <c r="O254" i="222" s="1"/>
  <c r="AA28" i="282"/>
  <c r="AA29" i="282"/>
  <c r="AA30" i="282"/>
  <c r="AA31" i="282"/>
  <c r="AA32" i="282"/>
  <c r="AA33" i="282"/>
  <c r="AA34" i="282"/>
  <c r="AA35" i="282"/>
  <c r="AA36" i="282"/>
  <c r="AA37" i="282"/>
  <c r="AA38" i="282"/>
  <c r="K99" i="222"/>
  <c r="I99" i="222"/>
  <c r="G99" i="222"/>
  <c r="E99" i="222"/>
  <c r="C99" i="222"/>
  <c r="A99" i="222"/>
  <c r="G91" i="266"/>
  <c r="G238" i="266"/>
  <c r="E79" i="222"/>
  <c r="A253" i="222"/>
  <c r="C253" i="222"/>
  <c r="E253" i="222"/>
  <c r="G253" i="222"/>
  <c r="I253" i="222"/>
  <c r="K253" i="222"/>
  <c r="A237" i="266"/>
  <c r="B237" i="266"/>
  <c r="G237" i="266"/>
  <c r="A90" i="266"/>
  <c r="B90" i="266"/>
  <c r="C90" i="266"/>
  <c r="D90" i="266"/>
  <c r="G90" i="266"/>
  <c r="A238" i="266"/>
  <c r="B238" i="266"/>
  <c r="A91" i="266"/>
  <c r="B91" i="266"/>
  <c r="C91" i="266"/>
  <c r="D91" i="266"/>
  <c r="A92" i="266"/>
  <c r="B92" i="266"/>
  <c r="C92" i="266"/>
  <c r="D92" i="266"/>
  <c r="A93" i="266"/>
  <c r="B93" i="266"/>
  <c r="C93" i="266"/>
  <c r="D93" i="266"/>
  <c r="A235" i="266"/>
  <c r="B235" i="266"/>
  <c r="A94" i="266"/>
  <c r="B94" i="266"/>
  <c r="C94" i="266"/>
  <c r="D94" i="266"/>
  <c r="A95" i="266"/>
  <c r="B95" i="266"/>
  <c r="C95" i="266"/>
  <c r="D95" i="266"/>
  <c r="Y33" i="282" l="1"/>
  <c r="U33" i="282"/>
  <c r="X33" i="282" s="1"/>
  <c r="Y28" i="282"/>
  <c r="U28" i="282"/>
  <c r="X28" i="282" s="1"/>
  <c r="Y32" i="282"/>
  <c r="U32" i="282"/>
  <c r="X32" i="282" s="1"/>
  <c r="Y35" i="282"/>
  <c r="U35" i="282"/>
  <c r="X35" i="282" s="1"/>
  <c r="Y31" i="282"/>
  <c r="U31" i="282"/>
  <c r="X31" i="282" s="1"/>
  <c r="Y36" i="282"/>
  <c r="U36" i="282"/>
  <c r="X36" i="282" s="1"/>
  <c r="Y38" i="282"/>
  <c r="U38" i="282"/>
  <c r="X38" i="282" s="1"/>
  <c r="Y30" i="282"/>
  <c r="U30" i="282"/>
  <c r="X30" i="282" s="1"/>
  <c r="Y34" i="282"/>
  <c r="U34" i="282"/>
  <c r="X34" i="282" s="1"/>
  <c r="Y37" i="282"/>
  <c r="U37" i="282"/>
  <c r="X37" i="282" s="1"/>
  <c r="Y29" i="282"/>
  <c r="U29" i="282"/>
  <c r="X29" i="282" s="1"/>
  <c r="N253" i="222"/>
  <c r="O253" i="222" s="1"/>
  <c r="N99" i="222"/>
  <c r="O99" i="222" s="1"/>
  <c r="F161" i="266" l="1"/>
  <c r="D5" i="266"/>
  <c r="D6" i="266"/>
  <c r="D7" i="266"/>
  <c r="D8" i="266"/>
  <c r="D9" i="266"/>
  <c r="D10" i="266"/>
  <c r="D11" i="266"/>
  <c r="D12" i="266"/>
  <c r="D14" i="266"/>
  <c r="D15" i="266"/>
  <c r="D16" i="266"/>
  <c r="D17" i="266"/>
  <c r="D18" i="266"/>
  <c r="D19" i="266"/>
  <c r="D20" i="266"/>
  <c r="D21" i="266"/>
  <c r="D22" i="266"/>
  <c r="D23" i="266"/>
  <c r="D24" i="266"/>
  <c r="D25" i="266"/>
  <c r="D26" i="266"/>
  <c r="D27" i="266"/>
  <c r="D28" i="266"/>
  <c r="D29" i="266"/>
  <c r="D30" i="266"/>
  <c r="D31" i="266"/>
  <c r="D32" i="266"/>
  <c r="D33" i="266"/>
  <c r="D34" i="266"/>
  <c r="D35" i="266"/>
  <c r="D36" i="266"/>
  <c r="D37" i="266"/>
  <c r="D38" i="266"/>
  <c r="D39" i="266"/>
  <c r="D40" i="266"/>
  <c r="D41" i="266"/>
  <c r="D42" i="266"/>
  <c r="D43" i="266"/>
  <c r="D44" i="266"/>
  <c r="D45" i="266"/>
  <c r="D46" i="266"/>
  <c r="D47" i="266"/>
  <c r="D48" i="266"/>
  <c r="D49" i="266"/>
  <c r="D50" i="266"/>
  <c r="D51" i="266"/>
  <c r="D52" i="266"/>
  <c r="D53" i="266"/>
  <c r="D54" i="266"/>
  <c r="D55" i="266"/>
  <c r="D56" i="266"/>
  <c r="D57" i="266"/>
  <c r="D58" i="266"/>
  <c r="D59" i="266"/>
  <c r="D60" i="266"/>
  <c r="D61" i="266"/>
  <c r="D62" i="266"/>
  <c r="D63" i="266"/>
  <c r="D64" i="266"/>
  <c r="D65" i="266"/>
  <c r="D66" i="266"/>
  <c r="D67" i="266"/>
  <c r="D68" i="266"/>
  <c r="D69" i="266"/>
  <c r="D70" i="266"/>
  <c r="D71" i="266"/>
  <c r="D72" i="266"/>
  <c r="D73" i="266"/>
  <c r="D74" i="266"/>
  <c r="D75" i="266"/>
  <c r="D76" i="266"/>
  <c r="D77" i="266"/>
  <c r="D78" i="266"/>
  <c r="D79" i="266"/>
  <c r="D80" i="266"/>
  <c r="D81" i="266"/>
  <c r="D82" i="266"/>
  <c r="D83" i="266"/>
  <c r="D84" i="266"/>
  <c r="D85" i="266"/>
  <c r="D86" i="266"/>
  <c r="D87" i="266"/>
  <c r="D88" i="266"/>
  <c r="D89" i="266"/>
  <c r="D96" i="266"/>
  <c r="D97" i="266"/>
  <c r="D98" i="266"/>
  <c r="D99" i="266"/>
  <c r="D100" i="266"/>
  <c r="D101" i="266"/>
  <c r="D102" i="266"/>
  <c r="D103" i="266"/>
  <c r="D104" i="266"/>
  <c r="D105" i="266"/>
  <c r="D106" i="266"/>
  <c r="D107" i="266"/>
  <c r="D108" i="266"/>
  <c r="D109" i="266"/>
  <c r="D110" i="266"/>
  <c r="D111" i="266"/>
  <c r="D4" i="266"/>
  <c r="G4" i="266"/>
  <c r="M36" i="245" l="1"/>
  <c r="N36" i="245" s="1"/>
  <c r="AU9" i="209" s="1"/>
  <c r="M36" i="244"/>
  <c r="N36" i="244" s="1"/>
  <c r="AU5" i="209" s="1"/>
  <c r="A180" i="222" l="1"/>
  <c r="G180" i="222"/>
  <c r="I180" i="222"/>
  <c r="K180" i="222"/>
  <c r="T302" i="222"/>
  <c r="G192" i="266"/>
  <c r="G196" i="266"/>
  <c r="G201" i="266"/>
  <c r="G202" i="266"/>
  <c r="G203" i="266"/>
  <c r="N180" i="222" l="1"/>
  <c r="O180" i="222" s="1"/>
  <c r="AA7" i="282" l="1"/>
  <c r="AA8" i="282"/>
  <c r="AA9" i="282"/>
  <c r="AA10" i="282"/>
  <c r="AA11" i="282"/>
  <c r="AA12" i="282"/>
  <c r="AA13" i="282"/>
  <c r="AA14" i="282"/>
  <c r="AA15" i="282"/>
  <c r="AA16" i="282"/>
  <c r="U16" i="282" s="1"/>
  <c r="AA17" i="282"/>
  <c r="U17" i="282" s="1"/>
  <c r="AA18" i="282"/>
  <c r="U18" i="282" s="1"/>
  <c r="AA19" i="282"/>
  <c r="AA20" i="282"/>
  <c r="AA21" i="282"/>
  <c r="AA22" i="282"/>
  <c r="AA23" i="282"/>
  <c r="AA24" i="282"/>
  <c r="AA25" i="282"/>
  <c r="AA26" i="282"/>
  <c r="AA27" i="282"/>
  <c r="AA39" i="282"/>
  <c r="AA40" i="282"/>
  <c r="Y23" i="282" l="1"/>
  <c r="U23" i="282"/>
  <c r="X23" i="282" s="1"/>
  <c r="Y7" i="282"/>
  <c r="U7" i="282"/>
  <c r="X7" i="282" s="1"/>
  <c r="Y24" i="282"/>
  <c r="U24" i="282"/>
  <c r="X24" i="282" s="1"/>
  <c r="Y22" i="282"/>
  <c r="U22" i="282"/>
  <c r="X22" i="282" s="1"/>
  <c r="Y17" i="282"/>
  <c r="X17" i="282"/>
  <c r="Y40" i="282"/>
  <c r="U40" i="282"/>
  <c r="X40" i="282" s="1"/>
  <c r="Y27" i="282"/>
  <c r="U27" i="282"/>
  <c r="X27" i="282" s="1"/>
  <c r="Y13" i="282"/>
  <c r="U13" i="282"/>
  <c r="X13" i="282" s="1"/>
  <c r="Y8" i="282"/>
  <c r="U8" i="282"/>
  <c r="X8" i="282" s="1"/>
  <c r="Y14" i="282"/>
  <c r="U14" i="282"/>
  <c r="X14" i="282" s="1"/>
  <c r="Y20" i="282"/>
  <c r="U20" i="282"/>
  <c r="X20" i="282" s="1"/>
  <c r="Y12" i="282"/>
  <c r="U12" i="282"/>
  <c r="X12" i="282" s="1"/>
  <c r="Y9" i="282"/>
  <c r="U9" i="282"/>
  <c r="X9" i="282" s="1"/>
  <c r="U15" i="282"/>
  <c r="X15" i="282" s="1"/>
  <c r="Y15" i="282"/>
  <c r="Y21" i="282"/>
  <c r="U21" i="282"/>
  <c r="X21" i="282" s="1"/>
  <c r="Y25" i="282"/>
  <c r="U25" i="282"/>
  <c r="X25" i="282" s="1"/>
  <c r="Y19" i="282"/>
  <c r="U19" i="282"/>
  <c r="X19" i="282" s="1"/>
  <c r="Y11" i="282"/>
  <c r="U11" i="282"/>
  <c r="X11" i="282" s="1"/>
  <c r="Y16" i="282"/>
  <c r="X16" i="282"/>
  <c r="Y39" i="282"/>
  <c r="U39" i="282"/>
  <c r="X39" i="282" s="1"/>
  <c r="Y26" i="282"/>
  <c r="U26" i="282"/>
  <c r="X26" i="282" s="1"/>
  <c r="Y18" i="282"/>
  <c r="X18" i="282"/>
  <c r="Y10" i="282"/>
  <c r="U10" i="282"/>
  <c r="X10" i="282" s="1"/>
  <c r="H74" i="286"/>
  <c r="Y7" i="286"/>
  <c r="Y8" i="286"/>
  <c r="Y9" i="286"/>
  <c r="L165" i="243" l="1"/>
  <c r="M165" i="243"/>
  <c r="N165" i="243"/>
  <c r="O165" i="243"/>
  <c r="P165" i="243"/>
  <c r="Q165" i="243"/>
  <c r="R165" i="243"/>
  <c r="S165" i="243"/>
  <c r="T165" i="243"/>
  <c r="H165" i="243"/>
  <c r="AA7" i="243" l="1"/>
  <c r="Y7" i="243" s="1"/>
  <c r="AA8" i="243"/>
  <c r="AA9" i="243"/>
  <c r="AA10" i="243"/>
  <c r="AA11" i="243"/>
  <c r="AA12" i="243"/>
  <c r="AA13" i="243"/>
  <c r="AA14" i="243"/>
  <c r="AA15" i="243"/>
  <c r="AA16" i="243"/>
  <c r="AA17" i="243"/>
  <c r="AA18" i="243"/>
  <c r="AA19" i="243"/>
  <c r="AA20" i="243"/>
  <c r="AA21" i="243"/>
  <c r="AA22" i="243"/>
  <c r="AA23" i="243"/>
  <c r="AA24" i="243"/>
  <c r="AA25" i="243"/>
  <c r="AA26" i="243"/>
  <c r="AA27" i="243"/>
  <c r="AA28" i="243"/>
  <c r="AA29" i="243"/>
  <c r="AA30" i="243"/>
  <c r="Y30" i="243" s="1"/>
  <c r="AA31" i="243"/>
  <c r="Y31" i="243" s="1"/>
  <c r="AA32" i="243"/>
  <c r="Y32" i="243" s="1"/>
  <c r="AA33" i="243"/>
  <c r="Y33" i="243" s="1"/>
  <c r="AA34" i="243"/>
  <c r="Y34" i="243" s="1"/>
  <c r="AA35" i="243"/>
  <c r="Y35" i="243" s="1"/>
  <c r="AA36" i="243"/>
  <c r="Y36" i="243" s="1"/>
  <c r="AA37" i="243"/>
  <c r="Y37" i="243" s="1"/>
  <c r="AA38" i="243"/>
  <c r="AA39" i="243"/>
  <c r="Y39" i="243" s="1"/>
  <c r="AA40" i="243"/>
  <c r="Y40" i="243" s="1"/>
  <c r="AA41" i="243"/>
  <c r="Y41" i="243" s="1"/>
  <c r="AA42" i="243"/>
  <c r="Y42" i="243" s="1"/>
  <c r="AA43" i="243"/>
  <c r="Y43" i="243" s="1"/>
  <c r="AA44" i="243"/>
  <c r="Y44" i="243" s="1"/>
  <c r="AA45" i="243"/>
  <c r="AA46" i="243"/>
  <c r="AA47" i="243"/>
  <c r="AA48" i="243"/>
  <c r="AA49" i="243"/>
  <c r="AA50" i="243"/>
  <c r="AA51" i="243"/>
  <c r="AA52" i="243"/>
  <c r="Y52" i="243" s="1"/>
  <c r="AA53" i="243"/>
  <c r="AA54" i="243"/>
  <c r="AA55" i="243"/>
  <c r="Y55" i="243" s="1"/>
  <c r="AA56" i="243"/>
  <c r="Y56" i="243" s="1"/>
  <c r="AA57" i="243"/>
  <c r="Y57" i="243" s="1"/>
  <c r="G182" i="222"/>
  <c r="I182" i="222"/>
  <c r="K182" i="222"/>
  <c r="G183" i="222"/>
  <c r="I183" i="222"/>
  <c r="K183" i="222"/>
  <c r="G188" i="222"/>
  <c r="I188" i="222"/>
  <c r="K188" i="222"/>
  <c r="G194" i="222"/>
  <c r="I194" i="222"/>
  <c r="K194" i="222"/>
  <c r="G196" i="222"/>
  <c r="I196" i="222"/>
  <c r="K196" i="222"/>
  <c r="C5" i="222"/>
  <c r="E5" i="222"/>
  <c r="G5" i="222"/>
  <c r="I5" i="222"/>
  <c r="K5" i="222"/>
  <c r="C6" i="222"/>
  <c r="E6" i="222"/>
  <c r="G6" i="222"/>
  <c r="I6" i="222"/>
  <c r="K6" i="222"/>
  <c r="C7" i="222"/>
  <c r="E7" i="222"/>
  <c r="G7" i="222"/>
  <c r="I7" i="222"/>
  <c r="K7" i="222"/>
  <c r="C184" i="222"/>
  <c r="E184" i="222"/>
  <c r="G184" i="222"/>
  <c r="I184" i="222"/>
  <c r="K184" i="222"/>
  <c r="C185" i="222"/>
  <c r="E185" i="222"/>
  <c r="G185" i="222"/>
  <c r="I185" i="222"/>
  <c r="K185" i="222"/>
  <c r="C8" i="222"/>
  <c r="E8" i="222"/>
  <c r="G8" i="222"/>
  <c r="I8" i="222"/>
  <c r="K8" i="222"/>
  <c r="C9" i="222"/>
  <c r="E9" i="222"/>
  <c r="G9" i="222"/>
  <c r="I9" i="222"/>
  <c r="K9" i="222"/>
  <c r="C10" i="222"/>
  <c r="E10" i="222"/>
  <c r="G10" i="222"/>
  <c r="I10" i="222"/>
  <c r="K10" i="222"/>
  <c r="C11" i="222"/>
  <c r="E11" i="222"/>
  <c r="G11" i="222"/>
  <c r="I11" i="222"/>
  <c r="K11" i="222"/>
  <c r="C12" i="222"/>
  <c r="E12" i="222"/>
  <c r="G12" i="222"/>
  <c r="I12" i="222"/>
  <c r="K12" i="222"/>
  <c r="C13" i="222"/>
  <c r="E13" i="222"/>
  <c r="G13" i="222"/>
  <c r="I13" i="222"/>
  <c r="K13" i="222"/>
  <c r="C186" i="222"/>
  <c r="E186" i="222"/>
  <c r="G186" i="222"/>
  <c r="I186" i="222"/>
  <c r="K186" i="222"/>
  <c r="C14" i="222"/>
  <c r="E14" i="222"/>
  <c r="G14" i="222"/>
  <c r="I14" i="222"/>
  <c r="K14" i="222"/>
  <c r="C15" i="222"/>
  <c r="E15" i="222"/>
  <c r="G15" i="222"/>
  <c r="I15" i="222"/>
  <c r="K15" i="222"/>
  <c r="C16" i="222"/>
  <c r="E16" i="222"/>
  <c r="G16" i="222"/>
  <c r="I16" i="222"/>
  <c r="K16" i="222"/>
  <c r="C17" i="222"/>
  <c r="E17" i="222"/>
  <c r="G17" i="222"/>
  <c r="I17" i="222"/>
  <c r="K17" i="222"/>
  <c r="C18" i="222"/>
  <c r="E18" i="222"/>
  <c r="G18" i="222"/>
  <c r="I18" i="222"/>
  <c r="K18" i="222"/>
  <c r="C19" i="222"/>
  <c r="E19" i="222"/>
  <c r="G19" i="222"/>
  <c r="I19" i="222"/>
  <c r="K19" i="222"/>
  <c r="C187" i="222"/>
  <c r="E187" i="222"/>
  <c r="G187" i="222"/>
  <c r="I187" i="222"/>
  <c r="K187" i="222"/>
  <c r="C21" i="222"/>
  <c r="E21" i="222"/>
  <c r="G21" i="222"/>
  <c r="I21" i="222"/>
  <c r="K21" i="222"/>
  <c r="C189" i="222"/>
  <c r="E189" i="222"/>
  <c r="G189" i="222"/>
  <c r="I189" i="222"/>
  <c r="K189" i="222"/>
  <c r="C23" i="222"/>
  <c r="E23" i="222"/>
  <c r="G23" i="222"/>
  <c r="I23" i="222"/>
  <c r="K23" i="222"/>
  <c r="C24" i="222"/>
  <c r="E24" i="222"/>
  <c r="G24" i="222"/>
  <c r="I24" i="222"/>
  <c r="K24" i="222"/>
  <c r="C25" i="222"/>
  <c r="E25" i="222"/>
  <c r="G25" i="222"/>
  <c r="I25" i="222"/>
  <c r="K25" i="222"/>
  <c r="C190" i="222"/>
  <c r="E190" i="222"/>
  <c r="G190" i="222"/>
  <c r="I190" i="222"/>
  <c r="K190" i="222"/>
  <c r="C191" i="222"/>
  <c r="E191" i="222"/>
  <c r="G191" i="222"/>
  <c r="I191" i="222"/>
  <c r="K191" i="222"/>
  <c r="C28" i="222"/>
  <c r="E28" i="222"/>
  <c r="G28" i="222"/>
  <c r="I28" i="222"/>
  <c r="K28" i="222"/>
  <c r="C29" i="222"/>
  <c r="E29" i="222"/>
  <c r="G29" i="222"/>
  <c r="I29" i="222"/>
  <c r="K29" i="222"/>
  <c r="C192" i="222"/>
  <c r="E192" i="222"/>
  <c r="G192" i="222"/>
  <c r="I192" i="222"/>
  <c r="K192" i="222"/>
  <c r="C31" i="222"/>
  <c r="E31" i="222"/>
  <c r="G31" i="222"/>
  <c r="I31" i="222"/>
  <c r="K31" i="222"/>
  <c r="C32" i="222"/>
  <c r="E32" i="222"/>
  <c r="G32" i="222"/>
  <c r="I32" i="222"/>
  <c r="K32" i="222"/>
  <c r="C33" i="222"/>
  <c r="E33" i="222"/>
  <c r="G33" i="222"/>
  <c r="I33" i="222"/>
  <c r="K33" i="222"/>
  <c r="C193" i="222"/>
  <c r="E193" i="222"/>
  <c r="G193" i="222"/>
  <c r="I193" i="222"/>
  <c r="K193" i="222"/>
  <c r="C35" i="222"/>
  <c r="E35" i="222"/>
  <c r="G35" i="222"/>
  <c r="I35" i="222"/>
  <c r="K35" i="222"/>
  <c r="C36" i="222"/>
  <c r="E36" i="222"/>
  <c r="G36" i="222"/>
  <c r="I36" i="222"/>
  <c r="K36" i="222"/>
  <c r="C37" i="222"/>
  <c r="E37" i="222"/>
  <c r="G37" i="222"/>
  <c r="I37" i="222"/>
  <c r="K37" i="222"/>
  <c r="C38" i="222"/>
  <c r="E38" i="222"/>
  <c r="G38" i="222"/>
  <c r="I38" i="222"/>
  <c r="K38" i="222"/>
  <c r="C39" i="222"/>
  <c r="E39" i="222"/>
  <c r="G39" i="222"/>
  <c r="I39" i="222"/>
  <c r="K39" i="222"/>
  <c r="C40" i="222"/>
  <c r="E40" i="222"/>
  <c r="G40" i="222"/>
  <c r="I40" i="222"/>
  <c r="K40" i="222"/>
  <c r="C41" i="222"/>
  <c r="E41" i="222"/>
  <c r="G41" i="222"/>
  <c r="I41" i="222"/>
  <c r="K41" i="222"/>
  <c r="C42" i="222"/>
  <c r="E42" i="222"/>
  <c r="G42" i="222"/>
  <c r="I42" i="222"/>
  <c r="K42" i="222"/>
  <c r="C43" i="222"/>
  <c r="E43" i="222"/>
  <c r="G43" i="222"/>
  <c r="I43" i="222"/>
  <c r="K43" i="222"/>
  <c r="C44" i="222"/>
  <c r="E44" i="222"/>
  <c r="G44" i="222"/>
  <c r="I44" i="222"/>
  <c r="K44" i="222"/>
  <c r="C45" i="222"/>
  <c r="E45" i="222"/>
  <c r="G45" i="222"/>
  <c r="I45" i="222"/>
  <c r="K45" i="222"/>
  <c r="C46" i="222"/>
  <c r="E46" i="222"/>
  <c r="G46" i="222"/>
  <c r="I46" i="222"/>
  <c r="K46" i="222"/>
  <c r="C47" i="222"/>
  <c r="E47" i="222"/>
  <c r="G47" i="222"/>
  <c r="I47" i="222"/>
  <c r="K47" i="222"/>
  <c r="C48" i="222"/>
  <c r="E48" i="222"/>
  <c r="G48" i="222"/>
  <c r="I48" i="222"/>
  <c r="K48" i="222"/>
  <c r="C49" i="222"/>
  <c r="E49" i="222"/>
  <c r="G49" i="222"/>
  <c r="I49" i="222"/>
  <c r="K49" i="222"/>
  <c r="C50" i="222"/>
  <c r="E50" i="222"/>
  <c r="G50" i="222"/>
  <c r="I50" i="222"/>
  <c r="K50" i="222"/>
  <c r="C51" i="222"/>
  <c r="E51" i="222"/>
  <c r="G51" i="222"/>
  <c r="I51" i="222"/>
  <c r="K51" i="222"/>
  <c r="C52" i="222"/>
  <c r="E52" i="222"/>
  <c r="G52" i="222"/>
  <c r="I52" i="222"/>
  <c r="K52" i="222"/>
  <c r="C53" i="222"/>
  <c r="E53" i="222"/>
  <c r="G53" i="222"/>
  <c r="I53" i="222"/>
  <c r="K53" i="222"/>
  <c r="C54" i="222"/>
  <c r="E54" i="222"/>
  <c r="G54" i="222"/>
  <c r="I54" i="222"/>
  <c r="K54" i="222"/>
  <c r="C55" i="222"/>
  <c r="E55" i="222"/>
  <c r="G55" i="222"/>
  <c r="I55" i="222"/>
  <c r="K55" i="222"/>
  <c r="C56" i="222"/>
  <c r="E56" i="222"/>
  <c r="G56" i="222"/>
  <c r="I56" i="222"/>
  <c r="K56" i="222"/>
  <c r="C57" i="222"/>
  <c r="E57" i="222"/>
  <c r="G57" i="222"/>
  <c r="I57" i="222"/>
  <c r="K57" i="222"/>
  <c r="C58" i="222"/>
  <c r="E58" i="222"/>
  <c r="G58" i="222"/>
  <c r="I58" i="222"/>
  <c r="K58" i="222"/>
  <c r="C59" i="222"/>
  <c r="E59" i="222"/>
  <c r="G59" i="222"/>
  <c r="I59" i="222"/>
  <c r="K59" i="222"/>
  <c r="C60" i="222"/>
  <c r="E60" i="222"/>
  <c r="G60" i="222"/>
  <c r="I60" i="222"/>
  <c r="K60" i="222"/>
  <c r="C61" i="222"/>
  <c r="E61" i="222"/>
  <c r="G61" i="222"/>
  <c r="I61" i="222"/>
  <c r="K61" i="222"/>
  <c r="C62" i="222"/>
  <c r="E62" i="222"/>
  <c r="G62" i="222"/>
  <c r="I62" i="222"/>
  <c r="K62" i="222"/>
  <c r="C63" i="222"/>
  <c r="E63" i="222"/>
  <c r="G63" i="222"/>
  <c r="I63" i="222"/>
  <c r="K63" i="222"/>
  <c r="C64" i="222"/>
  <c r="E64" i="222"/>
  <c r="G64" i="222"/>
  <c r="I64" i="222"/>
  <c r="K64" i="222"/>
  <c r="C65" i="222"/>
  <c r="E65" i="222"/>
  <c r="G65" i="222"/>
  <c r="I65" i="222"/>
  <c r="K65" i="222"/>
  <c r="C66" i="222"/>
  <c r="E66" i="222"/>
  <c r="G66" i="222"/>
  <c r="I66" i="222"/>
  <c r="K66" i="222"/>
  <c r="C67" i="222"/>
  <c r="E67" i="222"/>
  <c r="G67" i="222"/>
  <c r="I67" i="222"/>
  <c r="K67" i="222"/>
  <c r="C68" i="222"/>
  <c r="E68" i="222"/>
  <c r="G68" i="222"/>
  <c r="I68" i="222"/>
  <c r="K68" i="222"/>
  <c r="C69" i="222"/>
  <c r="E69" i="222"/>
  <c r="G69" i="222"/>
  <c r="I69" i="222"/>
  <c r="K69" i="222"/>
  <c r="C70" i="222"/>
  <c r="E70" i="222"/>
  <c r="G70" i="222"/>
  <c r="I70" i="222"/>
  <c r="K70" i="222"/>
  <c r="C71" i="222"/>
  <c r="E71" i="222"/>
  <c r="G71" i="222"/>
  <c r="I71" i="222"/>
  <c r="K71" i="222"/>
  <c r="C72" i="222"/>
  <c r="E72" i="222"/>
  <c r="G72" i="222"/>
  <c r="I72" i="222"/>
  <c r="K72" i="222"/>
  <c r="C73" i="222"/>
  <c r="E73" i="222"/>
  <c r="G73" i="222"/>
  <c r="I73" i="222"/>
  <c r="K73" i="222"/>
  <c r="C74" i="222"/>
  <c r="E74" i="222"/>
  <c r="G74" i="222"/>
  <c r="I74" i="222"/>
  <c r="K74" i="222"/>
  <c r="C75" i="222"/>
  <c r="E75" i="222"/>
  <c r="G75" i="222"/>
  <c r="I75" i="222"/>
  <c r="K75" i="222"/>
  <c r="C76" i="222"/>
  <c r="E76" i="222"/>
  <c r="G76" i="222"/>
  <c r="I76" i="222"/>
  <c r="K76" i="222"/>
  <c r="C77" i="222"/>
  <c r="E77" i="222"/>
  <c r="G77" i="222"/>
  <c r="I77" i="222"/>
  <c r="K77" i="222"/>
  <c r="C78" i="222"/>
  <c r="E78" i="222"/>
  <c r="G78" i="222"/>
  <c r="I78" i="222"/>
  <c r="K78" i="222"/>
  <c r="C79" i="222"/>
  <c r="G79" i="222"/>
  <c r="I79" i="222"/>
  <c r="K79" i="222"/>
  <c r="C80" i="222"/>
  <c r="E80" i="222"/>
  <c r="G80" i="222"/>
  <c r="I80" i="222"/>
  <c r="K80" i="222"/>
  <c r="C81" i="222"/>
  <c r="E81" i="222"/>
  <c r="G81" i="222"/>
  <c r="I81" i="222"/>
  <c r="K81" i="222"/>
  <c r="C82" i="222"/>
  <c r="E82" i="222"/>
  <c r="G82" i="222"/>
  <c r="I82" i="222"/>
  <c r="K82" i="222"/>
  <c r="C249" i="222"/>
  <c r="E249" i="222"/>
  <c r="G249" i="222"/>
  <c r="I249" i="222"/>
  <c r="K249" i="222"/>
  <c r="C84" i="222"/>
  <c r="E84" i="222"/>
  <c r="G84" i="222"/>
  <c r="I84" i="222"/>
  <c r="K84" i="222"/>
  <c r="C85" i="222"/>
  <c r="E85" i="222"/>
  <c r="G85" i="222"/>
  <c r="I85" i="222"/>
  <c r="K85" i="222"/>
  <c r="C86" i="222"/>
  <c r="E86" i="222"/>
  <c r="G86" i="222"/>
  <c r="I86" i="222"/>
  <c r="K86" i="222"/>
  <c r="C250" i="222"/>
  <c r="E250" i="222"/>
  <c r="G250" i="222"/>
  <c r="I250" i="222"/>
  <c r="K250" i="222"/>
  <c r="C88" i="222"/>
  <c r="E88" i="222"/>
  <c r="G88" i="222"/>
  <c r="I88" i="222"/>
  <c r="K88" i="222"/>
  <c r="C89" i="222"/>
  <c r="E89" i="222"/>
  <c r="G89" i="222"/>
  <c r="I89" i="222"/>
  <c r="K89" i="222"/>
  <c r="C90" i="222"/>
  <c r="E90" i="222"/>
  <c r="G90" i="222"/>
  <c r="I90" i="222"/>
  <c r="K90" i="222"/>
  <c r="C91" i="222"/>
  <c r="E91" i="222"/>
  <c r="G91" i="222"/>
  <c r="I91" i="222"/>
  <c r="K91" i="222"/>
  <c r="C92" i="222"/>
  <c r="E92" i="222"/>
  <c r="G92" i="222"/>
  <c r="I92" i="222"/>
  <c r="K92" i="222"/>
  <c r="C93" i="222"/>
  <c r="E93" i="222"/>
  <c r="G93" i="222"/>
  <c r="I93" i="222"/>
  <c r="K93" i="222"/>
  <c r="C94" i="222"/>
  <c r="E94" i="222"/>
  <c r="G94" i="222"/>
  <c r="I94" i="222"/>
  <c r="K94" i="222"/>
  <c r="C95" i="222"/>
  <c r="E95" i="222"/>
  <c r="G95" i="222"/>
  <c r="I95" i="222"/>
  <c r="K95" i="222"/>
  <c r="C96" i="222"/>
  <c r="E96" i="222"/>
  <c r="G96" i="222"/>
  <c r="I96" i="222"/>
  <c r="K96" i="222"/>
  <c r="C97" i="222"/>
  <c r="E97" i="222"/>
  <c r="G97" i="222"/>
  <c r="I97" i="222"/>
  <c r="K97" i="222"/>
  <c r="B242" i="266"/>
  <c r="N35" i="245" l="1"/>
  <c r="AT9" i="209" s="1"/>
  <c r="N35" i="244"/>
  <c r="AT5" i="209" s="1"/>
  <c r="S178" i="222" l="1"/>
  <c r="T178" i="222"/>
  <c r="U178" i="222"/>
  <c r="V178" i="222"/>
  <c r="W178" i="222"/>
  <c r="X178" i="222"/>
  <c r="Y178" i="222"/>
  <c r="Z178" i="222"/>
  <c r="B203" i="266"/>
  <c r="A203" i="266"/>
  <c r="M73" i="245" l="1"/>
  <c r="N73" i="245" s="1"/>
  <c r="AS11" i="209" s="1"/>
  <c r="M37" i="245"/>
  <c r="N37" i="245" s="1"/>
  <c r="AS9" i="209" s="1"/>
  <c r="M37" i="244"/>
  <c r="N37" i="244" s="1"/>
  <c r="AS5" i="209" s="1"/>
  <c r="M69" i="244"/>
  <c r="N69" i="244" s="1"/>
  <c r="AS7" i="209" s="1"/>
  <c r="P262" i="222" l="1"/>
  <c r="B262" i="222" s="1"/>
  <c r="P123" i="222"/>
  <c r="B123" i="222" s="1"/>
  <c r="P120" i="222"/>
  <c r="B120" i="222" s="1"/>
  <c r="P259" i="222"/>
  <c r="B259" i="222" s="1"/>
  <c r="P107" i="222"/>
  <c r="B107" i="222" s="1"/>
  <c r="P112" i="222"/>
  <c r="B112" i="222" s="1"/>
  <c r="P263" i="222"/>
  <c r="B263" i="222" s="1"/>
  <c r="P118" i="222"/>
  <c r="B118" i="222" s="1"/>
  <c r="P258" i="222"/>
  <c r="B258" i="222" s="1"/>
  <c r="P114" i="222"/>
  <c r="B114" i="222" s="1"/>
  <c r="P115" i="222"/>
  <c r="B115" i="222" s="1"/>
  <c r="P110" i="222"/>
  <c r="B110" i="222" s="1"/>
  <c r="P261" i="222"/>
  <c r="B261" i="222" s="1"/>
  <c r="P108" i="222"/>
  <c r="B108" i="222" s="1"/>
  <c r="P125" i="222"/>
  <c r="B125" i="222" s="1"/>
  <c r="P109" i="222"/>
  <c r="B109" i="222" s="1"/>
  <c r="P122" i="222"/>
  <c r="B122" i="222" s="1"/>
  <c r="P124" i="222"/>
  <c r="B124" i="222" s="1"/>
  <c r="P106" i="222"/>
  <c r="B106" i="222" s="1"/>
  <c r="P113" i="222"/>
  <c r="B113" i="222" s="1"/>
  <c r="P121" i="222"/>
  <c r="B121" i="222" s="1"/>
  <c r="P105" i="222"/>
  <c r="B105" i="222" s="1"/>
  <c r="P255" i="222"/>
  <c r="B255" i="222" s="1"/>
  <c r="P225" i="222"/>
  <c r="B225" i="222" s="1"/>
  <c r="P202" i="222"/>
  <c r="B202" i="222" s="1"/>
  <c r="P251" i="222"/>
  <c r="B251" i="222" s="1"/>
  <c r="P252" i="222"/>
  <c r="B252" i="222" s="1"/>
  <c r="P256" i="222"/>
  <c r="B256" i="222" s="1"/>
  <c r="P257" i="222"/>
  <c r="B257" i="222" s="1"/>
  <c r="P260" i="222"/>
  <c r="B260" i="222" s="1"/>
  <c r="P104" i="222"/>
  <c r="B104" i="222" s="1"/>
  <c r="P100" i="222"/>
  <c r="B100" i="222" s="1"/>
  <c r="P254" i="222"/>
  <c r="B254" i="222" s="1"/>
  <c r="P102" i="222"/>
  <c r="B102" i="222" s="1"/>
  <c r="P101" i="222"/>
  <c r="B101" i="222" s="1"/>
  <c r="P99" i="222"/>
  <c r="B99" i="222" s="1"/>
  <c r="P253" i="222"/>
  <c r="B253" i="222" s="1"/>
  <c r="D6" i="287"/>
  <c r="E6" i="287" s="1"/>
  <c r="P201" i="222"/>
  <c r="B201" i="222" s="1"/>
  <c r="P215" i="222"/>
  <c r="B215" i="222" s="1"/>
  <c r="P221" i="222"/>
  <c r="B221" i="222" s="1"/>
  <c r="P228" i="222"/>
  <c r="B228" i="222" s="1"/>
  <c r="P234" i="222"/>
  <c r="B234" i="222" s="1"/>
  <c r="P241" i="222"/>
  <c r="B241" i="222" s="1"/>
  <c r="P248" i="222"/>
  <c r="B248" i="222" s="1"/>
  <c r="P203" i="222"/>
  <c r="B203" i="222" s="1"/>
  <c r="P209" i="222"/>
  <c r="B209" i="222" s="1"/>
  <c r="P222" i="222"/>
  <c r="B222" i="222" s="1"/>
  <c r="P235" i="222"/>
  <c r="B235" i="222" s="1"/>
  <c r="P242" i="222"/>
  <c r="B242" i="222" s="1"/>
  <c r="P240" i="222"/>
  <c r="B240" i="222" s="1"/>
  <c r="P204" i="222"/>
  <c r="B204" i="222" s="1"/>
  <c r="P210" i="222"/>
  <c r="B210" i="222" s="1"/>
  <c r="P216" i="222"/>
  <c r="B216" i="222" s="1"/>
  <c r="P229" i="222"/>
  <c r="B229" i="222" s="1"/>
  <c r="P236" i="222"/>
  <c r="B236" i="222" s="1"/>
  <c r="P243" i="222"/>
  <c r="B243" i="222" s="1"/>
  <c r="P220" i="222"/>
  <c r="B220" i="222" s="1"/>
  <c r="P197" i="222"/>
  <c r="B197" i="222" s="1"/>
  <c r="P205" i="222"/>
  <c r="B205" i="222" s="1"/>
  <c r="P211" i="222"/>
  <c r="B211" i="222" s="1"/>
  <c r="P223" i="222"/>
  <c r="B223" i="222" s="1"/>
  <c r="P230" i="222"/>
  <c r="B230" i="222" s="1"/>
  <c r="P237" i="222"/>
  <c r="B237" i="222" s="1"/>
  <c r="P244" i="222"/>
  <c r="B244" i="222" s="1"/>
  <c r="P227" i="222"/>
  <c r="B227" i="222" s="1"/>
  <c r="P206" i="222"/>
  <c r="B206" i="222" s="1"/>
  <c r="P212" i="222"/>
  <c r="B212" i="222" s="1"/>
  <c r="P217" i="222"/>
  <c r="B217" i="222" s="1"/>
  <c r="P224" i="222"/>
  <c r="B224" i="222" s="1"/>
  <c r="P231" i="222"/>
  <c r="B231" i="222" s="1"/>
  <c r="P238" i="222"/>
  <c r="B238" i="222" s="1"/>
  <c r="P245" i="222"/>
  <c r="B245" i="222" s="1"/>
  <c r="P198" i="222"/>
  <c r="B198" i="222" s="1"/>
  <c r="P213" i="222"/>
  <c r="B213" i="222" s="1"/>
  <c r="P218" i="222"/>
  <c r="B218" i="222" s="1"/>
  <c r="P232" i="222"/>
  <c r="B232" i="222" s="1"/>
  <c r="P239" i="222"/>
  <c r="B239" i="222" s="1"/>
  <c r="P246" i="222"/>
  <c r="B246" i="222" s="1"/>
  <c r="P247" i="222"/>
  <c r="B247" i="222" s="1"/>
  <c r="P200" i="222"/>
  <c r="B200" i="222" s="1"/>
  <c r="P207" i="222"/>
  <c r="B207" i="222" s="1"/>
  <c r="P214" i="222"/>
  <c r="B214" i="222" s="1"/>
  <c r="P219" i="222"/>
  <c r="B219" i="222" s="1"/>
  <c r="P226" i="222"/>
  <c r="B226" i="222" s="1"/>
  <c r="P233" i="222"/>
  <c r="B233" i="222" s="1"/>
  <c r="P208" i="222"/>
  <c r="B208" i="222" s="1"/>
  <c r="P180" i="222"/>
  <c r="B180" i="222" s="1"/>
  <c r="R6" i="287" l="1"/>
  <c r="V6" i="287" s="1"/>
  <c r="F274" i="266"/>
  <c r="F273" i="266"/>
  <c r="G178" i="266"/>
  <c r="G161" i="266"/>
  <c r="G15" i="266"/>
  <c r="G16" i="266"/>
  <c r="G17" i="266"/>
  <c r="G177" i="266"/>
  <c r="G18" i="266"/>
  <c r="G179" i="266"/>
  <c r="G19" i="266"/>
  <c r="G168" i="266"/>
  <c r="G20" i="266"/>
  <c r="G181" i="266"/>
  <c r="G182" i="266"/>
  <c r="G170" i="266"/>
  <c r="G21" i="266"/>
  <c r="G184" i="266"/>
  <c r="G22" i="266"/>
  <c r="G23" i="266"/>
  <c r="G171" i="266"/>
  <c r="G185" i="266"/>
  <c r="G172" i="266"/>
  <c r="G24" i="266"/>
  <c r="G25" i="266"/>
  <c r="G186" i="266"/>
  <c r="G173" i="266"/>
  <c r="G26" i="266"/>
  <c r="G187" i="266"/>
  <c r="G27" i="266"/>
  <c r="G28" i="266"/>
  <c r="G188" i="266"/>
  <c r="G189" i="266"/>
  <c r="G190" i="266"/>
  <c r="G191" i="266"/>
  <c r="G174" i="266"/>
  <c r="G29" i="266"/>
  <c r="G30" i="266"/>
  <c r="G31" i="266"/>
  <c r="G32" i="266"/>
  <c r="G33" i="266"/>
  <c r="G34" i="266"/>
  <c r="G35" i="266"/>
  <c r="G193" i="266"/>
  <c r="G194" i="266"/>
  <c r="G176" i="266"/>
  <c r="G36" i="266"/>
  <c r="G37" i="266"/>
  <c r="G195" i="266"/>
  <c r="G206" i="266"/>
  <c r="G38" i="266"/>
  <c r="G39" i="266"/>
  <c r="G197" i="266"/>
  <c r="G198" i="266"/>
  <c r="G40" i="266"/>
  <c r="G41" i="266"/>
  <c r="G199" i="266"/>
  <c r="G42" i="266"/>
  <c r="G43" i="266"/>
  <c r="G44" i="266"/>
  <c r="G45" i="266"/>
  <c r="G46" i="266"/>
  <c r="G47" i="266"/>
  <c r="G48" i="266"/>
  <c r="G200" i="266"/>
  <c r="G49" i="266"/>
  <c r="G50" i="266"/>
  <c r="G51" i="266"/>
  <c r="G52" i="266"/>
  <c r="G53" i="266"/>
  <c r="G54" i="266"/>
  <c r="G55" i="266"/>
  <c r="G56" i="266"/>
  <c r="G57" i="266"/>
  <c r="G58" i="266"/>
  <c r="G204" i="266"/>
  <c r="G59" i="266"/>
  <c r="G205" i="266"/>
  <c r="G207" i="266"/>
  <c r="G208" i="266"/>
  <c r="G209" i="266"/>
  <c r="G60" i="266"/>
  <c r="G61" i="266"/>
  <c r="G62" i="266"/>
  <c r="G63" i="266"/>
  <c r="G64" i="266"/>
  <c r="G210" i="266"/>
  <c r="G211" i="266"/>
  <c r="G212" i="266"/>
  <c r="G65" i="266"/>
  <c r="G66" i="266"/>
  <c r="G67" i="266"/>
  <c r="G213" i="266"/>
  <c r="G68" i="266"/>
  <c r="G69" i="266"/>
  <c r="G70" i="266"/>
  <c r="G214" i="266"/>
  <c r="G71" i="266"/>
  <c r="G72" i="266"/>
  <c r="G73" i="266"/>
  <c r="G215" i="266"/>
  <c r="G74" i="266"/>
  <c r="G75" i="266"/>
  <c r="G76" i="266"/>
  <c r="G230" i="266"/>
  <c r="G216" i="266"/>
  <c r="G77" i="266"/>
  <c r="G217" i="266"/>
  <c r="G218" i="266"/>
  <c r="G219" i="266"/>
  <c r="G78" i="266"/>
  <c r="G79" i="266"/>
  <c r="G231" i="266"/>
  <c r="G80" i="266"/>
  <c r="G220" i="266"/>
  <c r="G81" i="266"/>
  <c r="G82" i="266"/>
  <c r="G221" i="266"/>
  <c r="G83" i="266"/>
  <c r="G222" i="266"/>
  <c r="G84" i="266"/>
  <c r="G223" i="266"/>
  <c r="G85" i="266"/>
  <c r="G86" i="266"/>
  <c r="G224" i="266"/>
  <c r="G87" i="266"/>
  <c r="G225" i="266"/>
  <c r="G88" i="266"/>
  <c r="G89" i="266"/>
  <c r="G226" i="266"/>
  <c r="G234" i="266"/>
  <c r="G5" i="266"/>
  <c r="G6" i="266"/>
  <c r="G7" i="266"/>
  <c r="G165" i="266"/>
  <c r="G162" i="266"/>
  <c r="G163" i="266"/>
  <c r="G164" i="266"/>
  <c r="G169" i="266"/>
  <c r="G166" i="266"/>
  <c r="G8" i="266"/>
  <c r="G9" i="266"/>
  <c r="G10" i="266"/>
  <c r="G11" i="266"/>
  <c r="G12" i="266"/>
  <c r="G175" i="266"/>
  <c r="G167" i="266"/>
  <c r="G14" i="266"/>
  <c r="U6" i="287" l="1"/>
  <c r="F275" i="266"/>
  <c r="C6" i="243" l="1"/>
  <c r="B6" i="243"/>
  <c r="G74" i="286"/>
  <c r="I74" i="286"/>
  <c r="J74" i="286"/>
  <c r="K74" i="286"/>
  <c r="L74" i="286"/>
  <c r="M74" i="286"/>
  <c r="N74" i="286"/>
  <c r="O74" i="286"/>
  <c r="P74" i="286"/>
  <c r="Q74" i="286"/>
  <c r="F74" i="286"/>
  <c r="A97" i="222"/>
  <c r="P97" i="222" s="1"/>
  <c r="A96" i="222"/>
  <c r="P96" i="222" s="1"/>
  <c r="A95" i="222"/>
  <c r="P95" i="222" s="1"/>
  <c r="A94" i="222"/>
  <c r="P94" i="222" s="1"/>
  <c r="A93" i="222"/>
  <c r="P93" i="222" s="1"/>
  <c r="A92" i="222"/>
  <c r="P92" i="222" s="1"/>
  <c r="A91" i="222"/>
  <c r="P91" i="222" s="1"/>
  <c r="A90" i="222"/>
  <c r="P90" i="222" s="1"/>
  <c r="A89" i="222"/>
  <c r="P89" i="222" s="1"/>
  <c r="A88" i="222"/>
  <c r="P88" i="222" s="1"/>
  <c r="A250" i="222"/>
  <c r="P250" i="222" s="1"/>
  <c r="A86" i="222"/>
  <c r="P86" i="222" s="1"/>
  <c r="A85" i="222"/>
  <c r="P85" i="222" s="1"/>
  <c r="A84" i="222"/>
  <c r="P84" i="222" s="1"/>
  <c r="A249" i="222"/>
  <c r="P249" i="222" s="1"/>
  <c r="A82" i="222"/>
  <c r="P82" i="222" s="1"/>
  <c r="A81" i="222"/>
  <c r="P81" i="222" s="1"/>
  <c r="A80" i="222"/>
  <c r="P80" i="222" s="1"/>
  <c r="A79" i="222"/>
  <c r="P79" i="222" s="1"/>
  <c r="A78" i="222"/>
  <c r="P78" i="222" s="1"/>
  <c r="A77" i="222"/>
  <c r="P77" i="222" s="1"/>
  <c r="A76" i="222"/>
  <c r="P76" i="222" s="1"/>
  <c r="A75" i="222"/>
  <c r="P75" i="222" s="1"/>
  <c r="A74" i="222"/>
  <c r="P74" i="222" s="1"/>
  <c r="A73" i="222"/>
  <c r="P73" i="222" s="1"/>
  <c r="A72" i="222"/>
  <c r="P72" i="222" s="1"/>
  <c r="A71" i="222"/>
  <c r="P71" i="222" s="1"/>
  <c r="A70" i="222"/>
  <c r="P70" i="222" s="1"/>
  <c r="A69" i="222"/>
  <c r="P69" i="222" s="1"/>
  <c r="A68" i="222"/>
  <c r="P68" i="222" s="1"/>
  <c r="A67" i="222"/>
  <c r="P67" i="222" s="1"/>
  <c r="A66" i="222"/>
  <c r="P66" i="222" s="1"/>
  <c r="A196" i="222"/>
  <c r="P196" i="222" s="1"/>
  <c r="A194" i="222"/>
  <c r="P194" i="222" s="1"/>
  <c r="A188" i="222"/>
  <c r="P188" i="222" s="1"/>
  <c r="A183" i="222"/>
  <c r="P183" i="222" s="1"/>
  <c r="A182" i="222"/>
  <c r="P182" i="222" s="1"/>
  <c r="S302" i="222"/>
  <c r="S303" i="222" s="1"/>
  <c r="T303" i="222"/>
  <c r="U302" i="222"/>
  <c r="V302" i="222"/>
  <c r="W302" i="222"/>
  <c r="X302" i="222"/>
  <c r="Y302" i="222"/>
  <c r="Z302" i="222"/>
  <c r="C5" i="266"/>
  <c r="C6" i="266"/>
  <c r="C7" i="266"/>
  <c r="C8" i="266"/>
  <c r="C9" i="266"/>
  <c r="C10" i="266"/>
  <c r="C11" i="266"/>
  <c r="C12" i="266"/>
  <c r="C14" i="266"/>
  <c r="C15" i="266"/>
  <c r="C16" i="266"/>
  <c r="C17" i="266"/>
  <c r="C18" i="266"/>
  <c r="C19" i="266"/>
  <c r="C20" i="266"/>
  <c r="C21" i="266"/>
  <c r="C22" i="266"/>
  <c r="C23" i="266"/>
  <c r="C24" i="266"/>
  <c r="C25" i="266"/>
  <c r="C26" i="266"/>
  <c r="C27" i="266"/>
  <c r="C28" i="266"/>
  <c r="C29" i="266"/>
  <c r="C30" i="266"/>
  <c r="C31" i="266"/>
  <c r="C32" i="266"/>
  <c r="C33" i="266"/>
  <c r="C34" i="266"/>
  <c r="C35" i="266"/>
  <c r="C36" i="266"/>
  <c r="C37" i="266"/>
  <c r="C38" i="266"/>
  <c r="C39" i="266"/>
  <c r="C40" i="266"/>
  <c r="C41" i="266"/>
  <c r="C42" i="266"/>
  <c r="C43" i="266"/>
  <c r="C44" i="266"/>
  <c r="C45" i="266"/>
  <c r="C46" i="266"/>
  <c r="C47" i="266"/>
  <c r="C48" i="266"/>
  <c r="C49" i="266"/>
  <c r="C50" i="266"/>
  <c r="C51" i="266"/>
  <c r="C52" i="266"/>
  <c r="C53" i="266"/>
  <c r="C54" i="266"/>
  <c r="C55" i="266"/>
  <c r="C56" i="266"/>
  <c r="C57" i="266"/>
  <c r="C58" i="266"/>
  <c r="C59" i="266"/>
  <c r="C60" i="266"/>
  <c r="C61" i="266"/>
  <c r="C62" i="266"/>
  <c r="C63" i="266"/>
  <c r="C64" i="266"/>
  <c r="C65" i="266"/>
  <c r="C66" i="266"/>
  <c r="C67" i="266"/>
  <c r="C68" i="266"/>
  <c r="C69" i="266"/>
  <c r="C70" i="266"/>
  <c r="C71" i="266"/>
  <c r="C72" i="266"/>
  <c r="C73" i="266"/>
  <c r="C74" i="266"/>
  <c r="C75" i="266"/>
  <c r="C76" i="266"/>
  <c r="C77" i="266"/>
  <c r="C78" i="266"/>
  <c r="C79" i="266"/>
  <c r="C80" i="266"/>
  <c r="C81" i="266"/>
  <c r="C82" i="266"/>
  <c r="C83" i="266"/>
  <c r="C84" i="266"/>
  <c r="C85" i="266"/>
  <c r="C86" i="266"/>
  <c r="C87" i="266"/>
  <c r="C88" i="266"/>
  <c r="C89" i="266"/>
  <c r="C96" i="266"/>
  <c r="C97" i="266"/>
  <c r="C98" i="266"/>
  <c r="C99" i="266"/>
  <c r="C100" i="266"/>
  <c r="C101" i="266"/>
  <c r="C102" i="266"/>
  <c r="C103" i="266"/>
  <c r="C104" i="266"/>
  <c r="C105" i="266"/>
  <c r="C106" i="266"/>
  <c r="C107" i="266"/>
  <c r="C108" i="266"/>
  <c r="C109" i="266"/>
  <c r="C110" i="266"/>
  <c r="C111" i="266"/>
  <c r="E161" i="266"/>
  <c r="B202" i="266"/>
  <c r="A202" i="266"/>
  <c r="B201" i="266"/>
  <c r="A201" i="266"/>
  <c r="B196" i="266"/>
  <c r="A196" i="266"/>
  <c r="B192" i="266"/>
  <c r="A192" i="266"/>
  <c r="B178" i="266"/>
  <c r="A178" i="266"/>
  <c r="C4" i="266"/>
  <c r="A5" i="266"/>
  <c r="B5" i="266"/>
  <c r="A6" i="266"/>
  <c r="B6" i="266"/>
  <c r="A7" i="266"/>
  <c r="B7" i="266"/>
  <c r="A165" i="266"/>
  <c r="B165" i="266"/>
  <c r="A162" i="266"/>
  <c r="B162" i="266"/>
  <c r="A163" i="266"/>
  <c r="B163" i="266"/>
  <c r="A164" i="266"/>
  <c r="B164" i="266"/>
  <c r="A169" i="266"/>
  <c r="B169" i="266"/>
  <c r="A166" i="266"/>
  <c r="B166" i="266"/>
  <c r="A8" i="266"/>
  <c r="B8" i="266"/>
  <c r="A9" i="266"/>
  <c r="B9" i="266"/>
  <c r="A10" i="266"/>
  <c r="B10" i="266"/>
  <c r="A11" i="266"/>
  <c r="B11" i="266"/>
  <c r="A12" i="266"/>
  <c r="B12" i="266"/>
  <c r="A175" i="266"/>
  <c r="B175" i="266"/>
  <c r="A167" i="266"/>
  <c r="B167" i="266"/>
  <c r="A14" i="266"/>
  <c r="B14" i="266"/>
  <c r="A15" i="266"/>
  <c r="B15" i="266"/>
  <c r="A16" i="266"/>
  <c r="B16" i="266"/>
  <c r="A17" i="266"/>
  <c r="B17" i="266"/>
  <c r="A177" i="266"/>
  <c r="B177" i="266"/>
  <c r="A18" i="266"/>
  <c r="B18" i="266"/>
  <c r="A179" i="266"/>
  <c r="B179" i="266"/>
  <c r="A19" i="266"/>
  <c r="B19" i="266"/>
  <c r="A168" i="266"/>
  <c r="B168" i="266"/>
  <c r="A20" i="266"/>
  <c r="B20" i="266"/>
  <c r="A181" i="266"/>
  <c r="B181" i="266"/>
  <c r="A182" i="266"/>
  <c r="B182" i="266"/>
  <c r="A170" i="266"/>
  <c r="B170" i="266"/>
  <c r="A21" i="266"/>
  <c r="B21" i="266"/>
  <c r="A184" i="266"/>
  <c r="B184" i="266"/>
  <c r="A22" i="266"/>
  <c r="B22" i="266"/>
  <c r="A23" i="266"/>
  <c r="B23" i="266"/>
  <c r="A171" i="266"/>
  <c r="B171" i="266"/>
  <c r="A185" i="266"/>
  <c r="B185" i="266"/>
  <c r="A172" i="266"/>
  <c r="B172" i="266"/>
  <c r="A24" i="266"/>
  <c r="B24" i="266"/>
  <c r="A25" i="266"/>
  <c r="B25" i="266"/>
  <c r="A186" i="266"/>
  <c r="B186" i="266"/>
  <c r="A173" i="266"/>
  <c r="B173" i="266"/>
  <c r="A26" i="266"/>
  <c r="B26" i="266"/>
  <c r="A187" i="266"/>
  <c r="B187" i="266"/>
  <c r="A27" i="266"/>
  <c r="B27" i="266"/>
  <c r="A28" i="266"/>
  <c r="B28" i="266"/>
  <c r="A188" i="266"/>
  <c r="B188" i="266"/>
  <c r="A189" i="266"/>
  <c r="B189" i="266"/>
  <c r="A190" i="266"/>
  <c r="B190" i="266"/>
  <c r="A191" i="266"/>
  <c r="B191" i="266"/>
  <c r="A174" i="266"/>
  <c r="B174" i="266"/>
  <c r="A29" i="266"/>
  <c r="B29" i="266"/>
  <c r="A30" i="266"/>
  <c r="B30" i="266"/>
  <c r="A31" i="266"/>
  <c r="B31" i="266"/>
  <c r="A32" i="266"/>
  <c r="B32" i="266"/>
  <c r="A33" i="266"/>
  <c r="B33" i="266"/>
  <c r="A34" i="266"/>
  <c r="B34" i="266"/>
  <c r="A35" i="266"/>
  <c r="B35" i="266"/>
  <c r="A193" i="266"/>
  <c r="B193" i="266"/>
  <c r="A194" i="266"/>
  <c r="B194" i="266"/>
  <c r="A176" i="266"/>
  <c r="B176" i="266"/>
  <c r="A36" i="266"/>
  <c r="B36" i="266"/>
  <c r="A37" i="266"/>
  <c r="B37" i="266"/>
  <c r="A195" i="266"/>
  <c r="B195" i="266"/>
  <c r="A206" i="266"/>
  <c r="B206" i="266"/>
  <c r="A38" i="266"/>
  <c r="B38" i="266"/>
  <c r="A39" i="266"/>
  <c r="B39" i="266"/>
  <c r="A197" i="266"/>
  <c r="B197" i="266"/>
  <c r="A198" i="266"/>
  <c r="B198" i="266"/>
  <c r="A40" i="266"/>
  <c r="B40" i="266"/>
  <c r="A41" i="266"/>
  <c r="B41" i="266"/>
  <c r="A199" i="266"/>
  <c r="B199" i="266"/>
  <c r="A42" i="266"/>
  <c r="B42" i="266"/>
  <c r="A43" i="266"/>
  <c r="B43" i="266"/>
  <c r="A44" i="266"/>
  <c r="B44" i="266"/>
  <c r="A45" i="266"/>
  <c r="B45" i="266"/>
  <c r="A46" i="266"/>
  <c r="B46" i="266"/>
  <c r="A47" i="266"/>
  <c r="B47" i="266"/>
  <c r="A48" i="266"/>
  <c r="B48" i="266"/>
  <c r="A200" i="266"/>
  <c r="B200" i="266"/>
  <c r="A49" i="266"/>
  <c r="B49" i="266"/>
  <c r="A50" i="266"/>
  <c r="B50" i="266"/>
  <c r="A51" i="266"/>
  <c r="B51" i="266"/>
  <c r="A52" i="266"/>
  <c r="B52" i="266"/>
  <c r="A53" i="266"/>
  <c r="B53" i="266"/>
  <c r="A54" i="266"/>
  <c r="B54" i="266"/>
  <c r="A55" i="266"/>
  <c r="B55" i="266"/>
  <c r="A56" i="266"/>
  <c r="B56" i="266"/>
  <c r="A57" i="266"/>
  <c r="B57" i="266"/>
  <c r="A58" i="266"/>
  <c r="B58" i="266"/>
  <c r="A204" i="266"/>
  <c r="B204" i="266"/>
  <c r="A59" i="266"/>
  <c r="B59" i="266"/>
  <c r="A205" i="266"/>
  <c r="B205" i="266"/>
  <c r="A207" i="266"/>
  <c r="B207" i="266"/>
  <c r="A208" i="266"/>
  <c r="B208" i="266"/>
  <c r="A209" i="266"/>
  <c r="B209" i="266"/>
  <c r="A60" i="266"/>
  <c r="B60" i="266"/>
  <c r="A61" i="266"/>
  <c r="B61" i="266"/>
  <c r="A62" i="266"/>
  <c r="B62" i="266"/>
  <c r="A63" i="266"/>
  <c r="B63" i="266"/>
  <c r="A64" i="266"/>
  <c r="B64" i="266"/>
  <c r="A210" i="266"/>
  <c r="B210" i="266"/>
  <c r="A211" i="266"/>
  <c r="B211" i="266"/>
  <c r="A212" i="266"/>
  <c r="B212" i="266"/>
  <c r="A65" i="266"/>
  <c r="B65" i="266"/>
  <c r="A66" i="266"/>
  <c r="B66" i="266"/>
  <c r="A67" i="266"/>
  <c r="B67" i="266"/>
  <c r="A213" i="266"/>
  <c r="B213" i="266"/>
  <c r="A68" i="266"/>
  <c r="B68" i="266"/>
  <c r="A69" i="266"/>
  <c r="B69" i="266"/>
  <c r="A70" i="266"/>
  <c r="B70" i="266"/>
  <c r="A214" i="266"/>
  <c r="B214" i="266"/>
  <c r="A71" i="266"/>
  <c r="B71" i="266"/>
  <c r="A72" i="266"/>
  <c r="B72" i="266"/>
  <c r="A73" i="266"/>
  <c r="B73" i="266"/>
  <c r="A215" i="266"/>
  <c r="B215" i="266"/>
  <c r="A74" i="266"/>
  <c r="B74" i="266"/>
  <c r="A75" i="266"/>
  <c r="B75" i="266"/>
  <c r="A76" i="266"/>
  <c r="B76" i="266"/>
  <c r="A230" i="266"/>
  <c r="B230" i="266"/>
  <c r="A216" i="266"/>
  <c r="B216" i="266"/>
  <c r="A77" i="266"/>
  <c r="B77" i="266"/>
  <c r="A217" i="266"/>
  <c r="B217" i="266"/>
  <c r="A218" i="266"/>
  <c r="B218" i="266"/>
  <c r="A219" i="266"/>
  <c r="B219" i="266"/>
  <c r="A78" i="266"/>
  <c r="B78" i="266"/>
  <c r="A79" i="266"/>
  <c r="B79" i="266"/>
  <c r="A231" i="266"/>
  <c r="B231" i="266"/>
  <c r="A80" i="266"/>
  <c r="B80" i="266"/>
  <c r="A220" i="266"/>
  <c r="B220" i="266"/>
  <c r="A81" i="266"/>
  <c r="B81" i="266"/>
  <c r="A82" i="266"/>
  <c r="B82" i="266"/>
  <c r="A221" i="266"/>
  <c r="B221" i="266"/>
  <c r="A83" i="266"/>
  <c r="B83" i="266"/>
  <c r="A222" i="266"/>
  <c r="B222" i="266"/>
  <c r="A84" i="266"/>
  <c r="B84" i="266"/>
  <c r="A223" i="266"/>
  <c r="B223" i="266"/>
  <c r="A85" i="266"/>
  <c r="B85" i="266"/>
  <c r="A86" i="266"/>
  <c r="B86" i="266"/>
  <c r="A224" i="266"/>
  <c r="B224" i="266"/>
  <c r="A87" i="266"/>
  <c r="B87" i="266"/>
  <c r="A225" i="266"/>
  <c r="B225" i="266"/>
  <c r="A88" i="266"/>
  <c r="B88" i="266"/>
  <c r="A89" i="266"/>
  <c r="B89" i="266"/>
  <c r="A226" i="266"/>
  <c r="B226" i="266"/>
  <c r="A234" i="266"/>
  <c r="B234" i="266"/>
  <c r="A236" i="266"/>
  <c r="B236" i="266"/>
  <c r="A96" i="266"/>
  <c r="B96" i="266"/>
  <c r="A97" i="266"/>
  <c r="B97" i="266"/>
  <c r="A98" i="266"/>
  <c r="B98" i="266"/>
  <c r="A99" i="266"/>
  <c r="B99" i="266"/>
  <c r="A239" i="266"/>
  <c r="B239" i="266"/>
  <c r="A100" i="266"/>
  <c r="B100" i="266"/>
  <c r="A240" i="266"/>
  <c r="B240" i="266"/>
  <c r="A101" i="266"/>
  <c r="B101" i="266"/>
  <c r="A102" i="266"/>
  <c r="B102" i="266"/>
  <c r="A103" i="266"/>
  <c r="B103" i="266"/>
  <c r="A104" i="266"/>
  <c r="B104" i="266"/>
  <c r="A241" i="266"/>
  <c r="B241" i="266"/>
  <c r="A243" i="266"/>
  <c r="B243" i="266"/>
  <c r="A105" i="266"/>
  <c r="B105" i="266"/>
  <c r="A244" i="266"/>
  <c r="B244" i="266"/>
  <c r="A106" i="266"/>
  <c r="B106" i="266"/>
  <c r="A107" i="266"/>
  <c r="B107" i="266"/>
  <c r="A108" i="266"/>
  <c r="B108" i="266"/>
  <c r="A109" i="266"/>
  <c r="B109" i="266"/>
  <c r="A110" i="266"/>
  <c r="B110" i="266"/>
  <c r="A111" i="266"/>
  <c r="B111" i="266"/>
  <c r="A4" i="249"/>
  <c r="A5" i="249"/>
  <c r="A6" i="249"/>
  <c r="A7" i="249"/>
  <c r="A8" i="249"/>
  <c r="A9" i="249"/>
  <c r="A3" i="249"/>
  <c r="G3" i="249" l="1"/>
  <c r="E3" i="249"/>
  <c r="C3" i="249"/>
  <c r="H3" i="249" s="1"/>
  <c r="G6" i="249"/>
  <c r="E6" i="249"/>
  <c r="C6" i="249"/>
  <c r="H6" i="249" s="1"/>
  <c r="C7" i="249"/>
  <c r="H7" i="249" s="1"/>
  <c r="G7" i="249"/>
  <c r="E7" i="249"/>
  <c r="G9" i="249"/>
  <c r="C9" i="249"/>
  <c r="H9" i="249" s="1"/>
  <c r="E9" i="249"/>
  <c r="G5" i="249"/>
  <c r="E5" i="249"/>
  <c r="C5" i="249"/>
  <c r="H5" i="249" s="1"/>
  <c r="C8" i="249"/>
  <c r="H8" i="249" s="1"/>
  <c r="G8" i="249"/>
  <c r="E8" i="249"/>
  <c r="C4" i="249"/>
  <c r="H4" i="249" s="1"/>
  <c r="G4" i="249"/>
  <c r="E4" i="249"/>
  <c r="C51" i="287"/>
  <c r="C74" i="286"/>
  <c r="U303" i="222"/>
  <c r="N86" i="222"/>
  <c r="O86" i="222" s="1"/>
  <c r="N69" i="222"/>
  <c r="O69" i="222" s="1"/>
  <c r="N79" i="222"/>
  <c r="O79" i="222" s="1"/>
  <c r="N75" i="222"/>
  <c r="O75" i="222" s="1"/>
  <c r="N82" i="222"/>
  <c r="O82" i="222" s="1"/>
  <c r="N196" i="222"/>
  <c r="O196" i="222" s="1"/>
  <c r="N183" i="222"/>
  <c r="O183" i="222" s="1"/>
  <c r="Z304" i="222"/>
  <c r="W304" i="222"/>
  <c r="N182" i="222"/>
  <c r="O182" i="222" s="1"/>
  <c r="N194" i="222"/>
  <c r="O194" i="222" s="1"/>
  <c r="N188" i="222"/>
  <c r="O188" i="222" s="1"/>
  <c r="N73" i="222"/>
  <c r="O73" i="222" s="1"/>
  <c r="N80" i="222"/>
  <c r="O80" i="222" s="1"/>
  <c r="N81" i="222"/>
  <c r="O81" i="222" s="1"/>
  <c r="N90" i="222"/>
  <c r="O90" i="222" s="1"/>
  <c r="N66" i="222"/>
  <c r="O66" i="222" s="1"/>
  <c r="N67" i="222"/>
  <c r="O67" i="222" s="1"/>
  <c r="N70" i="222"/>
  <c r="O70" i="222" s="1"/>
  <c r="N77" i="222"/>
  <c r="O77" i="222" s="1"/>
  <c r="N78" i="222"/>
  <c r="O78" i="222" s="1"/>
  <c r="N85" i="222"/>
  <c r="O85" i="222" s="1"/>
  <c r="N88" i="222"/>
  <c r="O88" i="222" s="1"/>
  <c r="N91" i="222"/>
  <c r="O91" i="222" s="1"/>
  <c r="N93" i="222"/>
  <c r="O93" i="222" s="1"/>
  <c r="N94" i="222"/>
  <c r="O94" i="222" s="1"/>
  <c r="N96" i="222"/>
  <c r="O96" i="222" s="1"/>
  <c r="N74" i="222"/>
  <c r="O74" i="222" s="1"/>
  <c r="N92" i="222"/>
  <c r="O92" i="222" s="1"/>
  <c r="N97" i="222"/>
  <c r="O97" i="222" s="1"/>
  <c r="N68" i="222"/>
  <c r="O68" i="222" s="1"/>
  <c r="N71" i="222"/>
  <c r="O71" i="222" s="1"/>
  <c r="N72" i="222"/>
  <c r="O72" i="222" s="1"/>
  <c r="N76" i="222"/>
  <c r="O76" i="222" s="1"/>
  <c r="N249" i="222"/>
  <c r="O249" i="222" s="1"/>
  <c r="N84" i="222"/>
  <c r="O84" i="222" s="1"/>
  <c r="N250" i="222"/>
  <c r="O250" i="222" s="1"/>
  <c r="N89" i="222"/>
  <c r="O89" i="222" s="1"/>
  <c r="N95" i="222"/>
  <c r="O95" i="222" s="1"/>
  <c r="X304" i="222"/>
  <c r="Y304" i="222"/>
  <c r="F38" i="249" l="1"/>
  <c r="G38" i="249"/>
  <c r="R303" i="222"/>
  <c r="H38" i="249" l="1"/>
  <c r="T74" i="286"/>
  <c r="AL11" i="209" s="1"/>
  <c r="S74" i="286"/>
  <c r="AK11" i="209" s="1"/>
  <c r="D273" i="266" l="1"/>
  <c r="C273" i="266"/>
  <c r="I4" i="249"/>
  <c r="J4" i="249" s="1"/>
  <c r="I5" i="249"/>
  <c r="J5" i="249" s="1"/>
  <c r="I6" i="249"/>
  <c r="I7" i="249"/>
  <c r="J7" i="249" s="1"/>
  <c r="I8" i="249"/>
  <c r="J8" i="249" s="1"/>
  <c r="I9" i="249"/>
  <c r="J9" i="249" s="1"/>
  <c r="J6" i="249" l="1"/>
  <c r="G36" i="249"/>
  <c r="H76" i="286"/>
  <c r="Q76" i="286"/>
  <c r="E273" i="266"/>
  <c r="F158" i="266"/>
  <c r="E158" i="266"/>
  <c r="M9" i="283" l="1"/>
  <c r="K9" i="283"/>
  <c r="L7" i="283"/>
  <c r="L5" i="283" s="1"/>
  <c r="J7" i="283"/>
  <c r="J5" i="283" s="1"/>
  <c r="M11" i="283"/>
  <c r="M12" i="283" s="1"/>
  <c r="K11" i="283"/>
  <c r="K12" i="283" s="1"/>
  <c r="M38" i="245" l="1"/>
  <c r="N38" i="245" s="1"/>
  <c r="M33" i="245"/>
  <c r="D9" i="209" s="1"/>
  <c r="M74" i="245"/>
  <c r="N74" i="245" s="1"/>
  <c r="M71" i="245"/>
  <c r="N71" i="245" s="1"/>
  <c r="M70" i="244"/>
  <c r="M67" i="244"/>
  <c r="M38" i="244"/>
  <c r="M33" i="244"/>
  <c r="N33" i="245" l="1"/>
  <c r="D11" i="209"/>
  <c r="Q51" i="287"/>
  <c r="AJ9" i="209" s="1"/>
  <c r="P51" i="287"/>
  <c r="AI9" i="209" s="1"/>
  <c r="O51" i="287"/>
  <c r="AH9" i="209" s="1"/>
  <c r="N51" i="287"/>
  <c r="AG9" i="209" s="1"/>
  <c r="M51" i="287"/>
  <c r="L51" i="287"/>
  <c r="AE9" i="209" s="1"/>
  <c r="K51" i="287"/>
  <c r="AD9" i="209" s="1"/>
  <c r="J51" i="287"/>
  <c r="AC9" i="209" s="1"/>
  <c r="I51" i="287"/>
  <c r="AB9" i="209" s="1"/>
  <c r="H51" i="287"/>
  <c r="Z9" i="209" s="1"/>
  <c r="G51" i="287"/>
  <c r="Y9" i="209" s="1"/>
  <c r="F51" i="287"/>
  <c r="V51" i="287"/>
  <c r="AQ9" i="209" s="1"/>
  <c r="X9" i="209" l="1"/>
  <c r="AR9" i="209" s="1"/>
  <c r="H54" i="287"/>
  <c r="AF9" i="209"/>
  <c r="Q54" i="287"/>
  <c r="H23" i="209"/>
  <c r="T51" i="287"/>
  <c r="S51" i="287"/>
  <c r="AK9" i="209" s="1"/>
  <c r="AN9" i="209" l="1"/>
  <c r="AL9" i="209"/>
  <c r="H22" i="209"/>
  <c r="AD11" i="209"/>
  <c r="AD13" i="209" s="1"/>
  <c r="AJ11" i="209"/>
  <c r="AJ13" i="209" s="1"/>
  <c r="AI11" i="209"/>
  <c r="AI13" i="209" s="1"/>
  <c r="AH11" i="209"/>
  <c r="AH13" i="209" s="1"/>
  <c r="AG11" i="209"/>
  <c r="AG13" i="209" s="1"/>
  <c r="AF11" i="209"/>
  <c r="AF13" i="209" s="1"/>
  <c r="AE11" i="209"/>
  <c r="AE13" i="209" s="1"/>
  <c r="AC11" i="209"/>
  <c r="AB11" i="209"/>
  <c r="AB13" i="209" s="1"/>
  <c r="Z11" i="209"/>
  <c r="Z13" i="209" s="1"/>
  <c r="Y11" i="209"/>
  <c r="Y13" i="209" s="1"/>
  <c r="X11" i="209"/>
  <c r="X13" i="209" s="1"/>
  <c r="Y4" i="286"/>
  <c r="D274" i="266"/>
  <c r="C274" i="266"/>
  <c r="E159" i="266"/>
  <c r="F159" i="266"/>
  <c r="D158" i="266"/>
  <c r="E274" i="266"/>
  <c r="G5" i="265" s="1"/>
  <c r="E25" i="286" l="1"/>
  <c r="R25" i="286" s="1"/>
  <c r="U25" i="286" s="1"/>
  <c r="E17" i="286"/>
  <c r="R17" i="286" s="1"/>
  <c r="U17" i="286" s="1"/>
  <c r="E38" i="286"/>
  <c r="R38" i="286" s="1"/>
  <c r="U38" i="286" s="1"/>
  <c r="E10" i="286"/>
  <c r="E29" i="286"/>
  <c r="E34" i="286"/>
  <c r="E36" i="286"/>
  <c r="R36" i="286" s="1"/>
  <c r="U36" i="286" s="1"/>
  <c r="E21" i="286"/>
  <c r="E27" i="286"/>
  <c r="R27" i="286" s="1"/>
  <c r="U27" i="286" s="1"/>
  <c r="E40" i="286"/>
  <c r="R40" i="286" s="1"/>
  <c r="U40" i="286" s="1"/>
  <c r="E41" i="286"/>
  <c r="R41" i="286" s="1"/>
  <c r="U41" i="286" s="1"/>
  <c r="E18" i="286"/>
  <c r="E33" i="286"/>
  <c r="R33" i="286" s="1"/>
  <c r="U33" i="286" s="1"/>
  <c r="E20" i="286"/>
  <c r="R20" i="286" s="1"/>
  <c r="U20" i="286" s="1"/>
  <c r="E22" i="286"/>
  <c r="E31" i="286"/>
  <c r="E8" i="286"/>
  <c r="E39" i="286"/>
  <c r="R39" i="286" s="1"/>
  <c r="U39" i="286" s="1"/>
  <c r="E16" i="286"/>
  <c r="R16" i="286" s="1"/>
  <c r="U16" i="286" s="1"/>
  <c r="E23" i="286"/>
  <c r="E32" i="286"/>
  <c r="R32" i="286" s="1"/>
  <c r="U32" i="286" s="1"/>
  <c r="E9" i="286"/>
  <c r="E24" i="286"/>
  <c r="E26" i="286"/>
  <c r="E28" i="286"/>
  <c r="E19" i="286"/>
  <c r="R19" i="286" s="1"/>
  <c r="U19" i="286" s="1"/>
  <c r="E30" i="286"/>
  <c r="E37" i="286"/>
  <c r="R37" i="286" s="1"/>
  <c r="U37" i="286" s="1"/>
  <c r="E7" i="286"/>
  <c r="E43" i="286"/>
  <c r="E15" i="286"/>
  <c r="R15" i="286" s="1"/>
  <c r="U15" i="286" s="1"/>
  <c r="E12" i="286"/>
  <c r="E13" i="286"/>
  <c r="R13" i="286" s="1"/>
  <c r="U13" i="286" s="1"/>
  <c r="E11" i="286"/>
  <c r="E14" i="286"/>
  <c r="E35" i="286"/>
  <c r="R35" i="286" s="1"/>
  <c r="U35" i="286" s="1"/>
  <c r="E42" i="286"/>
  <c r="E6" i="286"/>
  <c r="AC13" i="209"/>
  <c r="AE6" i="207" s="1"/>
  <c r="B67" i="222"/>
  <c r="B78" i="222"/>
  <c r="B97" i="222"/>
  <c r="B73" i="222"/>
  <c r="B80" i="222"/>
  <c r="B82" i="222"/>
  <c r="B72" i="222"/>
  <c r="B92" i="222"/>
  <c r="B79" i="222"/>
  <c r="B74" i="222"/>
  <c r="B94" i="222"/>
  <c r="B85" i="222"/>
  <c r="B75" i="222"/>
  <c r="B70" i="222"/>
  <c r="B91" i="222"/>
  <c r="B66" i="222"/>
  <c r="B250" i="222"/>
  <c r="B81" i="222"/>
  <c r="B90" i="222"/>
  <c r="B76" i="222"/>
  <c r="B86" i="222"/>
  <c r="B96" i="222"/>
  <c r="B71" i="222"/>
  <c r="B93" i="222"/>
  <c r="B249" i="222"/>
  <c r="B69" i="222"/>
  <c r="B89" i="222"/>
  <c r="B95" i="222"/>
  <c r="B84" i="222"/>
  <c r="B77" i="222"/>
  <c r="B68" i="222"/>
  <c r="B88" i="222"/>
  <c r="D6" i="243"/>
  <c r="B194" i="222"/>
  <c r="B188" i="222"/>
  <c r="B183" i="222"/>
  <c r="B182" i="222"/>
  <c r="B196" i="222"/>
  <c r="H20" i="209"/>
  <c r="H21" i="209"/>
  <c r="C159" i="266"/>
  <c r="G4" i="265" s="1"/>
  <c r="C158" i="266"/>
  <c r="D4" i="265" s="1"/>
  <c r="AD15" i="209"/>
  <c r="AF6" i="207"/>
  <c r="AF9" i="207" s="1"/>
  <c r="AR11" i="209"/>
  <c r="H5" i="265"/>
  <c r="D159" i="266"/>
  <c r="H4" i="265" s="1"/>
  <c r="E4" i="265"/>
  <c r="AN11" i="209"/>
  <c r="R26" i="286" l="1"/>
  <c r="U26" i="286" s="1"/>
  <c r="V26" i="286"/>
  <c r="R6" i="286"/>
  <c r="U6" i="286" s="1"/>
  <c r="R43" i="286"/>
  <c r="U43" i="286" s="1"/>
  <c r="V43" i="286"/>
  <c r="R9" i="286"/>
  <c r="U9" i="286" s="1"/>
  <c r="R34" i="286"/>
  <c r="U34" i="286" s="1"/>
  <c r="R31" i="286"/>
  <c r="V31" i="286" s="1"/>
  <c r="U31" i="286"/>
  <c r="R22" i="286"/>
  <c r="U22" i="286" s="1"/>
  <c r="V22" i="286"/>
  <c r="U42" i="286"/>
  <c r="R42" i="286"/>
  <c r="V42" i="286" s="1"/>
  <c r="R7" i="286"/>
  <c r="U7" i="286" s="1"/>
  <c r="V7" i="286"/>
  <c r="R29" i="286"/>
  <c r="V29" i="286" s="1"/>
  <c r="R23" i="286"/>
  <c r="V23" i="286" s="1"/>
  <c r="U23" i="286"/>
  <c r="R18" i="286"/>
  <c r="U18" i="286" s="1"/>
  <c r="R10" i="286"/>
  <c r="U10" i="286" s="1"/>
  <c r="V10" i="286"/>
  <c r="R12" i="286"/>
  <c r="U12" i="286" s="1"/>
  <c r="R24" i="286"/>
  <c r="U24" i="286" s="1"/>
  <c r="R14" i="286"/>
  <c r="U14" i="286" s="1"/>
  <c r="R30" i="286"/>
  <c r="U30" i="286"/>
  <c r="V30" i="286"/>
  <c r="R11" i="286"/>
  <c r="U11" i="286" s="1"/>
  <c r="U21" i="286"/>
  <c r="R21" i="286"/>
  <c r="R28" i="286"/>
  <c r="U28" i="286"/>
  <c r="R8" i="286"/>
  <c r="U8" i="286" s="1"/>
  <c r="V8" i="286"/>
  <c r="C5" i="209"/>
  <c r="C6" i="288"/>
  <c r="C7" i="209"/>
  <c r="C5" i="288"/>
  <c r="AN13" i="209"/>
  <c r="AO6" i="207" s="1"/>
  <c r="AC15" i="209"/>
  <c r="D74" i="286"/>
  <c r="E75" i="286" s="1"/>
  <c r="AA6" i="207"/>
  <c r="AA9" i="207" s="1"/>
  <c r="Y15" i="209"/>
  <c r="D160" i="266"/>
  <c r="D51" i="287"/>
  <c r="E52" i="287" s="1"/>
  <c r="U29" i="286" l="1"/>
  <c r="V6" i="286"/>
  <c r="V9" i="286"/>
  <c r="AS8" i="209"/>
  <c r="AS6" i="209"/>
  <c r="C7" i="288"/>
  <c r="V74" i="286"/>
  <c r="AQ11" i="209" s="1"/>
  <c r="R51" i="287"/>
  <c r="G39" i="249"/>
  <c r="G40" i="249"/>
  <c r="F37" i="249"/>
  <c r="C7" i="283" s="1"/>
  <c r="G8" i="283" s="1"/>
  <c r="C9" i="283"/>
  <c r="K10" i="283" s="1"/>
  <c r="F39" i="249"/>
  <c r="F40" i="249"/>
  <c r="H7" i="283"/>
  <c r="H5" i="283" s="1"/>
  <c r="N7" i="283"/>
  <c r="N5" i="283" s="1"/>
  <c r="P7" i="283"/>
  <c r="P5" i="283" s="1"/>
  <c r="G9" i="283"/>
  <c r="I9" i="283"/>
  <c r="O9" i="283"/>
  <c r="P9" i="283"/>
  <c r="E11" i="283"/>
  <c r="I11" i="283"/>
  <c r="O11" i="283"/>
  <c r="P11" i="283"/>
  <c r="P12" i="283" s="1"/>
  <c r="AQ13" i="209" l="1"/>
  <c r="AY6" i="207" s="1"/>
  <c r="AY9" i="207" s="1"/>
  <c r="R74" i="286"/>
  <c r="U74" i="286"/>
  <c r="AO11" i="209" s="1"/>
  <c r="K13" i="283"/>
  <c r="BI8" i="207" s="1"/>
  <c r="J8" i="283"/>
  <c r="G10" i="283"/>
  <c r="N8" i="283"/>
  <c r="M10" i="283"/>
  <c r="H8" i="283"/>
  <c r="L8" i="283"/>
  <c r="U51" i="287"/>
  <c r="AO9" i="209" s="1"/>
  <c r="H40" i="249"/>
  <c r="H39" i="249"/>
  <c r="I12" i="283"/>
  <c r="E12" i="283"/>
  <c r="I10" i="283"/>
  <c r="O12" i="283"/>
  <c r="O10" i="283"/>
  <c r="P10" i="283"/>
  <c r="P8" i="283"/>
  <c r="I13" i="283" l="1"/>
  <c r="BG8" i="207" s="1"/>
  <c r="O13" i="283"/>
  <c r="BM8" i="207" s="1"/>
  <c r="M13" i="283"/>
  <c r="BK8" i="207" s="1"/>
  <c r="G13" i="283"/>
  <c r="BE8" i="207" s="1"/>
  <c r="T61" i="282" l="1"/>
  <c r="W5" i="209" s="1"/>
  <c r="S61" i="282"/>
  <c r="V5" i="209" s="1"/>
  <c r="R61" i="282"/>
  <c r="U5" i="209" s="1"/>
  <c r="Q61" i="282"/>
  <c r="T5" i="209" s="1"/>
  <c r="P61" i="282"/>
  <c r="S5" i="209" s="1"/>
  <c r="O61" i="282"/>
  <c r="R5" i="209" s="1"/>
  <c r="N61" i="282"/>
  <c r="Q5" i="209" s="1"/>
  <c r="M61" i="282"/>
  <c r="P5" i="209" s="1"/>
  <c r="L61" i="282"/>
  <c r="N5" i="209" s="1"/>
  <c r="K61" i="282"/>
  <c r="J61" i="282"/>
  <c r="L5" i="209" s="1"/>
  <c r="I61" i="282"/>
  <c r="K5" i="209" s="1"/>
  <c r="H61" i="282"/>
  <c r="J5" i="209" s="1"/>
  <c r="G61" i="282"/>
  <c r="I5" i="209" s="1"/>
  <c r="F61" i="282"/>
  <c r="C61" i="282"/>
  <c r="V6" i="243"/>
  <c r="AA6" i="243"/>
  <c r="W7" i="209"/>
  <c r="V7" i="209"/>
  <c r="U7" i="209"/>
  <c r="T7" i="209"/>
  <c r="S7" i="209"/>
  <c r="G165" i="243"/>
  <c r="W6" i="243"/>
  <c r="T13" i="209" l="1"/>
  <c r="V6" i="207" s="1"/>
  <c r="V9" i="207" s="1"/>
  <c r="U13" i="209"/>
  <c r="V13" i="209"/>
  <c r="S13" i="209"/>
  <c r="S15" i="209" s="1"/>
  <c r="W13" i="209"/>
  <c r="I7" i="209"/>
  <c r="I13" i="209" s="1"/>
  <c r="I15" i="209" s="1"/>
  <c r="M5" i="209"/>
  <c r="T64" i="282"/>
  <c r="H5" i="209"/>
  <c r="H64" i="282"/>
  <c r="H19" i="209"/>
  <c r="D61" i="282"/>
  <c r="E62" i="282" s="1"/>
  <c r="W61" i="282"/>
  <c r="AL5" i="209" s="1"/>
  <c r="V61" i="282"/>
  <c r="AK5" i="209" s="1"/>
  <c r="H18" i="209" l="1"/>
  <c r="AR5" i="209"/>
  <c r="T15" i="209"/>
  <c r="U6" i="207"/>
  <c r="U9" i="207" s="1"/>
  <c r="K6" i="207"/>
  <c r="K9" i="207" s="1"/>
  <c r="Y61" i="282" l="1"/>
  <c r="AP5" i="209" s="1"/>
  <c r="U61" i="282"/>
  <c r="X61" i="282" l="1"/>
  <c r="AO5" i="209" s="1"/>
  <c r="W165" i="243" l="1"/>
  <c r="AL7" i="209" s="1"/>
  <c r="AL13" i="209" s="1"/>
  <c r="Z36" i="271" l="1"/>
  <c r="Z36" i="270" s="1"/>
  <c r="Z37" i="270" s="1"/>
  <c r="W36" i="271"/>
  <c r="W36" i="270" s="1"/>
  <c r="W37" i="270" s="1"/>
  <c r="T36" i="271"/>
  <c r="T36" i="270" s="1"/>
  <c r="T37" i="270" s="1"/>
  <c r="Q36" i="271"/>
  <c r="Q36" i="270" s="1"/>
  <c r="Q37" i="270" s="1"/>
  <c r="N36" i="271"/>
  <c r="N36" i="270" s="1"/>
  <c r="N37" i="270" s="1"/>
  <c r="K36" i="271"/>
  <c r="K36" i="270" s="1"/>
  <c r="K37" i="270" s="1"/>
  <c r="K38" i="270" l="1"/>
  <c r="K40" i="270"/>
  <c r="W38" i="270"/>
  <c r="W39" i="270"/>
  <c r="W40" i="270"/>
  <c r="W41" i="270" s="1"/>
  <c r="N38" i="270"/>
  <c r="N39" i="270" s="1"/>
  <c r="N40" i="270"/>
  <c r="N41" i="270" s="1"/>
  <c r="Z40" i="270"/>
  <c r="Z41" i="270" s="1"/>
  <c r="Z38" i="270"/>
  <c r="Z39" i="270" s="1"/>
  <c r="Q38" i="270"/>
  <c r="Q39" i="270" s="1"/>
  <c r="Q40" i="270"/>
  <c r="Q41" i="270" s="1"/>
  <c r="T40" i="270"/>
  <c r="T41" i="270" s="1"/>
  <c r="T38" i="270"/>
  <c r="T39" i="270" s="1"/>
  <c r="F44" i="235"/>
  <c r="K44" i="235" l="1"/>
  <c r="E5" i="288"/>
  <c r="G44" i="235"/>
  <c r="D20" i="235" l="1"/>
  <c r="D22" i="235"/>
  <c r="D16" i="235"/>
  <c r="D18" i="235"/>
  <c r="E18" i="235" s="1"/>
  <c r="E8" i="288"/>
  <c r="E6" i="288"/>
  <c r="A161" i="266"/>
  <c r="A4" i="266"/>
  <c r="G181" i="222"/>
  <c r="G4" i="222"/>
  <c r="E4" i="222"/>
  <c r="E20" i="235" l="1"/>
  <c r="E22" i="235"/>
  <c r="E16" i="235"/>
  <c r="E9" i="288"/>
  <c r="J23" i="276"/>
  <c r="K38" i="271" l="1"/>
  <c r="F17" i="269" s="1"/>
  <c r="F54" i="235"/>
  <c r="V54" i="235" s="1"/>
  <c r="K37" i="271" l="1"/>
  <c r="F4" i="269" s="1"/>
  <c r="I54" i="235"/>
  <c r="F45" i="235" l="1"/>
  <c r="A5" i="222"/>
  <c r="P5" i="222" s="1"/>
  <c r="A6" i="222"/>
  <c r="P6" i="222" s="1"/>
  <c r="A7" i="222"/>
  <c r="P7" i="222" s="1"/>
  <c r="A184" i="222"/>
  <c r="P184" i="222" s="1"/>
  <c r="A185" i="222"/>
  <c r="P185" i="222" s="1"/>
  <c r="A8" i="222"/>
  <c r="P8" i="222" s="1"/>
  <c r="A9" i="222"/>
  <c r="P9" i="222" s="1"/>
  <c r="A10" i="222"/>
  <c r="P10" i="222" s="1"/>
  <c r="A11" i="222"/>
  <c r="P11" i="222" s="1"/>
  <c r="A12" i="222"/>
  <c r="P12" i="222" s="1"/>
  <c r="A13" i="222"/>
  <c r="P13" i="222" s="1"/>
  <c r="A186" i="222"/>
  <c r="P186" i="222" s="1"/>
  <c r="A14" i="222"/>
  <c r="P14" i="222" s="1"/>
  <c r="A15" i="222"/>
  <c r="P15" i="222" s="1"/>
  <c r="A16" i="222"/>
  <c r="P16" i="222" s="1"/>
  <c r="A17" i="222"/>
  <c r="P17" i="222" s="1"/>
  <c r="A18" i="222"/>
  <c r="P18" i="222" s="1"/>
  <c r="A19" i="222"/>
  <c r="P19" i="222" s="1"/>
  <c r="A187" i="222"/>
  <c r="P187" i="222" s="1"/>
  <c r="A21" i="222"/>
  <c r="P21" i="222" s="1"/>
  <c r="A189" i="222"/>
  <c r="P189" i="222" s="1"/>
  <c r="A23" i="222"/>
  <c r="P23" i="222" s="1"/>
  <c r="A24" i="222"/>
  <c r="P24" i="222" s="1"/>
  <c r="A25" i="222"/>
  <c r="P25" i="222" s="1"/>
  <c r="A190" i="222"/>
  <c r="P190" i="222" s="1"/>
  <c r="A191" i="222"/>
  <c r="P191" i="222" s="1"/>
  <c r="A28" i="222"/>
  <c r="P28" i="222" s="1"/>
  <c r="A29" i="222"/>
  <c r="P29" i="222" s="1"/>
  <c r="A192" i="222"/>
  <c r="P192" i="222" s="1"/>
  <c r="A31" i="222"/>
  <c r="P31" i="222" s="1"/>
  <c r="A32" i="222"/>
  <c r="P32" i="222" s="1"/>
  <c r="A33" i="222"/>
  <c r="P33" i="222" s="1"/>
  <c r="A193" i="222"/>
  <c r="P193" i="222" s="1"/>
  <c r="A35" i="222"/>
  <c r="P35" i="222" s="1"/>
  <c r="A36" i="222"/>
  <c r="P36" i="222" s="1"/>
  <c r="A37" i="222"/>
  <c r="P37" i="222" s="1"/>
  <c r="A38" i="222"/>
  <c r="P38" i="222" s="1"/>
  <c r="A39" i="222"/>
  <c r="P39" i="222" s="1"/>
  <c r="A40" i="222"/>
  <c r="P40" i="222" s="1"/>
  <c r="A41" i="222"/>
  <c r="P41" i="222" s="1"/>
  <c r="A42" i="222"/>
  <c r="P42" i="222" s="1"/>
  <c r="A43" i="222"/>
  <c r="P43" i="222" s="1"/>
  <c r="A44" i="222"/>
  <c r="P44" i="222" s="1"/>
  <c r="A45" i="222"/>
  <c r="P45" i="222" s="1"/>
  <c r="A46" i="222"/>
  <c r="P46" i="222" s="1"/>
  <c r="A47" i="222"/>
  <c r="P47" i="222" s="1"/>
  <c r="A48" i="222"/>
  <c r="P48" i="222" s="1"/>
  <c r="A49" i="222"/>
  <c r="P49" i="222" s="1"/>
  <c r="A50" i="222"/>
  <c r="P50" i="222" s="1"/>
  <c r="A51" i="222"/>
  <c r="P51" i="222" s="1"/>
  <c r="A52" i="222"/>
  <c r="P52" i="222" s="1"/>
  <c r="A53" i="222"/>
  <c r="P53" i="222" s="1"/>
  <c r="A54" i="222"/>
  <c r="P54" i="222" s="1"/>
  <c r="A55" i="222"/>
  <c r="P55" i="222" s="1"/>
  <c r="A56" i="222"/>
  <c r="P56" i="222" s="1"/>
  <c r="A57" i="222"/>
  <c r="P57" i="222" s="1"/>
  <c r="A58" i="222"/>
  <c r="P58" i="222" s="1"/>
  <c r="A59" i="222"/>
  <c r="P59" i="222" s="1"/>
  <c r="A60" i="222"/>
  <c r="P60" i="222" s="1"/>
  <c r="A61" i="222"/>
  <c r="P61" i="222" s="1"/>
  <c r="A62" i="222"/>
  <c r="P62" i="222" s="1"/>
  <c r="A63" i="222"/>
  <c r="P63" i="222" s="1"/>
  <c r="A64" i="222"/>
  <c r="P64" i="222" s="1"/>
  <c r="A65" i="222"/>
  <c r="P65" i="222" s="1"/>
  <c r="A181" i="222"/>
  <c r="P181" i="222" s="1"/>
  <c r="I181" i="222"/>
  <c r="K181" i="222"/>
  <c r="K4" i="222"/>
  <c r="I4" i="222"/>
  <c r="A4" i="222"/>
  <c r="P4" i="222" s="1"/>
  <c r="B161" i="266"/>
  <c r="N2" i="263"/>
  <c r="K45" i="235" l="1"/>
  <c r="F16" i="235" s="1"/>
  <c r="H5" i="288"/>
  <c r="B181" i="222"/>
  <c r="B4" i="222"/>
  <c r="B58" i="222"/>
  <c r="B51" i="222"/>
  <c r="B41" i="222"/>
  <c r="B35" i="222"/>
  <c r="B31" i="222"/>
  <c r="B15" i="222"/>
  <c r="B9" i="222"/>
  <c r="B7" i="222"/>
  <c r="B64" i="222"/>
  <c r="B57" i="222"/>
  <c r="B50" i="222"/>
  <c r="B38" i="222"/>
  <c r="B11" i="222"/>
  <c r="B185" i="222"/>
  <c r="B5" i="222"/>
  <c r="B65" i="222"/>
  <c r="B62" i="222"/>
  <c r="B54" i="222"/>
  <c r="B47" i="222"/>
  <c r="B43" i="222"/>
  <c r="B39" i="222"/>
  <c r="B61" i="222"/>
  <c r="B193" i="222"/>
  <c r="B28" i="222"/>
  <c r="B25" i="222"/>
  <c r="B189" i="222"/>
  <c r="B187" i="222"/>
  <c r="B17" i="222"/>
  <c r="B14" i="222"/>
  <c r="B12" i="222"/>
  <c r="B8" i="222"/>
  <c r="B6" i="222"/>
  <c r="B60" i="222"/>
  <c r="B56" i="222"/>
  <c r="B53" i="222"/>
  <c r="B49" i="222"/>
  <c r="B46" i="222"/>
  <c r="B44" i="222"/>
  <c r="B42" i="222"/>
  <c r="B37" i="222"/>
  <c r="B33" i="222"/>
  <c r="B192" i="222"/>
  <c r="B191" i="222"/>
  <c r="B24" i="222"/>
  <c r="B21" i="222"/>
  <c r="B19" i="222"/>
  <c r="B186" i="222"/>
  <c r="B63" i="222"/>
  <c r="B59" i="222"/>
  <c r="B55" i="222"/>
  <c r="B52" i="222"/>
  <c r="B48" i="222"/>
  <c r="B45" i="222"/>
  <c r="B40" i="222"/>
  <c r="B36" i="222"/>
  <c r="B32" i="222"/>
  <c r="B29" i="222"/>
  <c r="B190" i="222"/>
  <c r="B23" i="222"/>
  <c r="B18" i="222"/>
  <c r="B16" i="222"/>
  <c r="B13" i="222"/>
  <c r="B10" i="222"/>
  <c r="B184" i="222"/>
  <c r="G45" i="235"/>
  <c r="F18" i="269"/>
  <c r="N181" i="222"/>
  <c r="N64" i="222"/>
  <c r="O64" i="222" s="1"/>
  <c r="N63" i="222"/>
  <c r="O63" i="222" s="1"/>
  <c r="N61" i="222"/>
  <c r="O61" i="222" s="1"/>
  <c r="N59" i="222"/>
  <c r="O59" i="222" s="1"/>
  <c r="N57" i="222"/>
  <c r="O57" i="222" s="1"/>
  <c r="N55" i="222"/>
  <c r="O55" i="222" s="1"/>
  <c r="N52" i="222"/>
  <c r="O52" i="222" s="1"/>
  <c r="N50" i="222"/>
  <c r="O50" i="222" s="1"/>
  <c r="N48" i="222"/>
  <c r="O48" i="222" s="1"/>
  <c r="N45" i="222"/>
  <c r="O45" i="222" s="1"/>
  <c r="N40" i="222"/>
  <c r="O40" i="222" s="1"/>
  <c r="N38" i="222"/>
  <c r="O38" i="222" s="1"/>
  <c r="N36" i="222"/>
  <c r="O36" i="222" s="1"/>
  <c r="N193" i="222"/>
  <c r="O193" i="222" s="1"/>
  <c r="N32" i="222"/>
  <c r="O32" i="222" s="1"/>
  <c r="N29" i="222"/>
  <c r="O29" i="222" s="1"/>
  <c r="N28" i="222"/>
  <c r="O28" i="222" s="1"/>
  <c r="N190" i="222"/>
  <c r="O190" i="222" s="1"/>
  <c r="N25" i="222"/>
  <c r="O25" i="222" s="1"/>
  <c r="N23" i="222"/>
  <c r="O23" i="222" s="1"/>
  <c r="N189" i="222"/>
  <c r="O189" i="222" s="1"/>
  <c r="N187" i="222"/>
  <c r="O187" i="222" s="1"/>
  <c r="N18" i="222"/>
  <c r="O18" i="222" s="1"/>
  <c r="N17" i="222"/>
  <c r="O17" i="222" s="1"/>
  <c r="N16" i="222"/>
  <c r="O16" i="222" s="1"/>
  <c r="N14" i="222"/>
  <c r="O14" i="222" s="1"/>
  <c r="N13" i="222"/>
  <c r="O13" i="222" s="1"/>
  <c r="N12" i="222"/>
  <c r="O12" i="222" s="1"/>
  <c r="N10" i="222"/>
  <c r="O10" i="222" s="1"/>
  <c r="N8" i="222"/>
  <c r="O8" i="222" s="1"/>
  <c r="N184" i="222"/>
  <c r="O184" i="222" s="1"/>
  <c r="N6" i="222"/>
  <c r="O6" i="222" s="1"/>
  <c r="N65" i="222"/>
  <c r="O65" i="222" s="1"/>
  <c r="N62" i="222"/>
  <c r="O62" i="222" s="1"/>
  <c r="N60" i="222"/>
  <c r="O60" i="222" s="1"/>
  <c r="N58" i="222"/>
  <c r="O58" i="222" s="1"/>
  <c r="N56" i="222"/>
  <c r="O56" i="222" s="1"/>
  <c r="N54" i="222"/>
  <c r="O54" i="222" s="1"/>
  <c r="N53" i="222"/>
  <c r="O53" i="222" s="1"/>
  <c r="N51" i="222"/>
  <c r="O51" i="222" s="1"/>
  <c r="N49" i="222"/>
  <c r="O49" i="222" s="1"/>
  <c r="N47" i="222"/>
  <c r="O47" i="222" s="1"/>
  <c r="N46" i="222"/>
  <c r="O46" i="222" s="1"/>
  <c r="N44" i="222"/>
  <c r="O44" i="222" s="1"/>
  <c r="N43" i="222"/>
  <c r="O43" i="222" s="1"/>
  <c r="N42" i="222"/>
  <c r="O42" i="222" s="1"/>
  <c r="N41" i="222"/>
  <c r="O41" i="222" s="1"/>
  <c r="N39" i="222"/>
  <c r="O39" i="222" s="1"/>
  <c r="N37" i="222"/>
  <c r="O37" i="222" s="1"/>
  <c r="N35" i="222"/>
  <c r="O35" i="222" s="1"/>
  <c r="N33" i="222"/>
  <c r="O33" i="222" s="1"/>
  <c r="N31" i="222"/>
  <c r="O31" i="222" s="1"/>
  <c r="N192" i="222"/>
  <c r="O192" i="222" s="1"/>
  <c r="N191" i="222"/>
  <c r="O191" i="222" s="1"/>
  <c r="N24" i="222"/>
  <c r="O24" i="222" s="1"/>
  <c r="N21" i="222"/>
  <c r="O21" i="222" s="1"/>
  <c r="N19" i="222"/>
  <c r="O19" i="222" s="1"/>
  <c r="N15" i="222"/>
  <c r="O15" i="222" s="1"/>
  <c r="N186" i="222"/>
  <c r="O186" i="222" s="1"/>
  <c r="N11" i="222"/>
  <c r="O11" i="222" s="1"/>
  <c r="N9" i="222"/>
  <c r="O9" i="222" s="1"/>
  <c r="N185" i="222"/>
  <c r="O185" i="222" s="1"/>
  <c r="N7" i="222"/>
  <c r="O7" i="222" s="1"/>
  <c r="N5" i="222"/>
  <c r="O5" i="222" s="1"/>
  <c r="H8" i="288" l="1"/>
  <c r="H9" i="288" s="1"/>
  <c r="H6" i="288"/>
  <c r="F18" i="235"/>
  <c r="F20" i="235" s="1"/>
  <c r="F22" i="235" s="1"/>
  <c r="G16" i="235"/>
  <c r="G18" i="235" s="1"/>
  <c r="G20" i="235" s="1"/>
  <c r="G22" i="235" s="1"/>
  <c r="F303" i="222"/>
  <c r="I303" i="222"/>
  <c r="E303" i="222"/>
  <c r="J303" i="222"/>
  <c r="G303" i="222"/>
  <c r="C303" i="222"/>
  <c r="L303" i="222"/>
  <c r="D303" i="222"/>
  <c r="K303" i="222"/>
  <c r="H303" i="222"/>
  <c r="C302" i="222"/>
  <c r="F7" i="235" s="1"/>
  <c r="F21" i="235" s="1"/>
  <c r="E302" i="222"/>
  <c r="I302" i="222"/>
  <c r="D302" i="222"/>
  <c r="F302" i="222"/>
  <c r="J302" i="222"/>
  <c r="H302" i="222"/>
  <c r="G302" i="222"/>
  <c r="K302" i="222"/>
  <c r="L302" i="222"/>
  <c r="O181" i="222"/>
  <c r="L179" i="222"/>
  <c r="O5" i="235" s="1"/>
  <c r="K178" i="222"/>
  <c r="N4" i="235" s="1"/>
  <c r="H178" i="222"/>
  <c r="G178" i="222"/>
  <c r="I178" i="222"/>
  <c r="L4" i="235" s="1"/>
  <c r="E178" i="222"/>
  <c r="F178" i="222"/>
  <c r="D179" i="222"/>
  <c r="L178" i="222"/>
  <c r="O4" i="235" s="1"/>
  <c r="J178" i="222"/>
  <c r="M4" i="235" s="1"/>
  <c r="G179" i="222"/>
  <c r="I179" i="222"/>
  <c r="L5" i="235" s="1"/>
  <c r="J179" i="222"/>
  <c r="M5" i="235" s="1"/>
  <c r="F179" i="222"/>
  <c r="H179" i="222"/>
  <c r="E179" i="222"/>
  <c r="K179" i="222"/>
  <c r="N5" i="235" s="1"/>
  <c r="F5" i="269"/>
  <c r="S5" i="288" l="1"/>
  <c r="O6" i="235"/>
  <c r="P5" i="288"/>
  <c r="M6" i="235"/>
  <c r="N6" i="235"/>
  <c r="S6" i="288"/>
  <c r="L6" i="235"/>
  <c r="P6" i="288"/>
  <c r="G5" i="235"/>
  <c r="G19" i="235" s="1"/>
  <c r="J4" i="235"/>
  <c r="N302" i="222"/>
  <c r="Q7" i="235" s="1"/>
  <c r="K7" i="235"/>
  <c r="K8" i="235"/>
  <c r="I7" i="235"/>
  <c r="M7" i="235"/>
  <c r="H5" i="235"/>
  <c r="K5" i="235"/>
  <c r="J5" i="235"/>
  <c r="I4" i="235"/>
  <c r="K4" i="235"/>
  <c r="H7" i="235"/>
  <c r="J7" i="235"/>
  <c r="N8" i="235"/>
  <c r="M8" i="235"/>
  <c r="L7" i="235"/>
  <c r="I5" i="235"/>
  <c r="H4" i="235"/>
  <c r="G7" i="235"/>
  <c r="G21" i="235" s="1"/>
  <c r="N7" i="235"/>
  <c r="J8" i="235"/>
  <c r="I8" i="235"/>
  <c r="O7" i="235"/>
  <c r="O8" i="235"/>
  <c r="L8" i="235"/>
  <c r="G8" i="235"/>
  <c r="G23" i="235" s="1"/>
  <c r="H8" i="235"/>
  <c r="F8" i="235"/>
  <c r="F23" i="235" s="1"/>
  <c r="N303" i="222"/>
  <c r="Q8" i="235" s="1"/>
  <c r="G304" i="222"/>
  <c r="Q302" i="222"/>
  <c r="K304" i="222"/>
  <c r="L304" i="222"/>
  <c r="E304" i="222"/>
  <c r="H304" i="222"/>
  <c r="J304" i="222"/>
  <c r="F304" i="222"/>
  <c r="I304" i="222"/>
  <c r="AV11" i="209"/>
  <c r="AX5" i="209"/>
  <c r="AV7" i="209"/>
  <c r="J8" i="288" l="1"/>
  <c r="S7" i="288"/>
  <c r="M8" i="288"/>
  <c r="M5" i="288"/>
  <c r="P8" i="288"/>
  <c r="I9" i="235"/>
  <c r="G8" i="288"/>
  <c r="I8" i="288" s="1"/>
  <c r="L9" i="235"/>
  <c r="L10" i="235" s="1"/>
  <c r="P9" i="288"/>
  <c r="J9" i="235"/>
  <c r="M9" i="288"/>
  <c r="H9" i="235"/>
  <c r="J9" i="288"/>
  <c r="G9" i="235"/>
  <c r="K6" i="235"/>
  <c r="J5" i="288"/>
  <c r="K9" i="235"/>
  <c r="G9" i="288"/>
  <c r="I9" i="288" s="1"/>
  <c r="M6" i="288"/>
  <c r="J6" i="235"/>
  <c r="P7" i="288"/>
  <c r="S9" i="288"/>
  <c r="N9" i="235"/>
  <c r="N10" i="235" s="1"/>
  <c r="O9" i="235"/>
  <c r="O10" i="235" s="1"/>
  <c r="H6" i="235"/>
  <c r="J6" i="288"/>
  <c r="S8" i="288"/>
  <c r="I6" i="235"/>
  <c r="M9" i="235"/>
  <c r="M10" i="235" s="1"/>
  <c r="F9" i="235"/>
  <c r="P8" i="235"/>
  <c r="P7" i="235"/>
  <c r="C165" i="243"/>
  <c r="E19" i="279"/>
  <c r="E18" i="279"/>
  <c r="E17" i="279"/>
  <c r="E15" i="279"/>
  <c r="G19" i="278" s="1"/>
  <c r="H19" i="278" s="1"/>
  <c r="E10" i="279"/>
  <c r="E9" i="279"/>
  <c r="G11" i="278" s="1"/>
  <c r="H11" i="278" s="1"/>
  <c r="H35" i="278"/>
  <c r="G31" i="278"/>
  <c r="G30" i="278"/>
  <c r="H30" i="278" s="1"/>
  <c r="G29" i="278"/>
  <c r="H29" i="278" s="1"/>
  <c r="G28" i="278"/>
  <c r="H28" i="278" s="1"/>
  <c r="G27" i="278"/>
  <c r="H27" i="278" s="1"/>
  <c r="G25" i="278"/>
  <c r="G23" i="278"/>
  <c r="H18" i="278"/>
  <c r="G18" i="278"/>
  <c r="G17" i="278"/>
  <c r="H17" i="278" s="1"/>
  <c r="G14" i="278"/>
  <c r="G13" i="278"/>
  <c r="H13" i="278" s="1"/>
  <c r="G12" i="278"/>
  <c r="H12" i="278" s="1"/>
  <c r="G10" i="278"/>
  <c r="H10" i="278" s="1"/>
  <c r="H9" i="278"/>
  <c r="G9" i="278"/>
  <c r="G7" i="278"/>
  <c r="H7" i="278" s="1"/>
  <c r="G5" i="278"/>
  <c r="G4" i="278"/>
  <c r="H4" i="278" s="1"/>
  <c r="E19" i="276"/>
  <c r="G27" i="275" s="1"/>
  <c r="H27" i="275" s="1"/>
  <c r="E18" i="276"/>
  <c r="E17" i="276"/>
  <c r="G23" i="275" s="1"/>
  <c r="E15" i="276"/>
  <c r="G19" i="275" s="1"/>
  <c r="H19" i="275" s="1"/>
  <c r="E14" i="276"/>
  <c r="E13" i="276"/>
  <c r="E12" i="276"/>
  <c r="G14" i="275" s="1"/>
  <c r="E11" i="276"/>
  <c r="E10" i="276"/>
  <c r="E9" i="276"/>
  <c r="G35" i="275"/>
  <c r="H35" i="275" s="1"/>
  <c r="G34" i="275"/>
  <c r="G31" i="275"/>
  <c r="G30" i="275"/>
  <c r="H30" i="275" s="1"/>
  <c r="G29" i="275"/>
  <c r="H29" i="275" s="1"/>
  <c r="H28" i="275"/>
  <c r="G28" i="275"/>
  <c r="G25" i="275"/>
  <c r="G18" i="275"/>
  <c r="H18" i="275" s="1"/>
  <c r="G17" i="275"/>
  <c r="H17" i="275" s="1"/>
  <c r="G13" i="275"/>
  <c r="H13" i="275" s="1"/>
  <c r="H12" i="275"/>
  <c r="G12" i="275"/>
  <c r="G11" i="275"/>
  <c r="H11" i="275" s="1"/>
  <c r="G10" i="275"/>
  <c r="H10" i="275" s="1"/>
  <c r="G9" i="275"/>
  <c r="H9" i="275" s="1"/>
  <c r="G7" i="275"/>
  <c r="H7" i="275" s="1"/>
  <c r="G5" i="275"/>
  <c r="H4" i="275"/>
  <c r="G4" i="275"/>
  <c r="H10" i="235" l="1"/>
  <c r="I10" i="235"/>
  <c r="K10" i="235"/>
  <c r="J10" i="235"/>
  <c r="M7" i="288"/>
  <c r="G10" i="288"/>
  <c r="P9" i="235"/>
  <c r="S10" i="288"/>
  <c r="S11" i="288" s="1"/>
  <c r="AV6" i="207" s="1"/>
  <c r="I10" i="288"/>
  <c r="M10" i="288"/>
  <c r="J7" i="288"/>
  <c r="J10" i="288"/>
  <c r="P10" i="288"/>
  <c r="P11" i="288" s="1"/>
  <c r="AU6" i="207" s="1"/>
  <c r="AU9" i="207" s="1"/>
  <c r="H20" i="275"/>
  <c r="H20" i="278"/>
  <c r="M11" i="288" l="1"/>
  <c r="AT6" i="207" s="1"/>
  <c r="AT9" i="207" s="1"/>
  <c r="J11" i="288"/>
  <c r="AS6" i="207" s="1"/>
  <c r="AS9" i="207" s="1"/>
  <c r="C49" i="272"/>
  <c r="C48" i="272"/>
  <c r="C47" i="272"/>
  <c r="C46" i="272"/>
  <c r="C45" i="272"/>
  <c r="C44" i="272"/>
  <c r="C43" i="272"/>
  <c r="C42" i="272"/>
  <c r="C37" i="272"/>
  <c r="C36" i="272"/>
  <c r="C35" i="272"/>
  <c r="C34" i="272"/>
  <c r="C33" i="272"/>
  <c r="C32" i="272"/>
  <c r="C31" i="272"/>
  <c r="C30" i="272"/>
  <c r="C24" i="272"/>
  <c r="C23" i="272"/>
  <c r="C22" i="272"/>
  <c r="C21" i="272"/>
  <c r="C20" i="272"/>
  <c r="C19" i="272"/>
  <c r="C18" i="272"/>
  <c r="C17" i="272"/>
  <c r="C11" i="272"/>
  <c r="C9" i="272"/>
  <c r="C10" i="272"/>
  <c r="C12" i="272"/>
  <c r="C8" i="272"/>
  <c r="C7" i="272"/>
  <c r="C6" i="272"/>
  <c r="C5" i="272"/>
  <c r="L19" i="268"/>
  <c r="AD10" i="268"/>
  <c r="AJ7" i="268"/>
  <c r="Y7" i="268"/>
  <c r="D47" i="272"/>
  <c r="D48" i="272"/>
  <c r="D49" i="272"/>
  <c r="L14" i="259"/>
  <c r="L19" i="259"/>
  <c r="Z38" i="271"/>
  <c r="F27" i="269" s="1"/>
  <c r="W38" i="271"/>
  <c r="F25" i="269" s="1"/>
  <c r="Q37" i="271"/>
  <c r="F8" i="269" s="1"/>
  <c r="N38" i="271" l="1"/>
  <c r="F19" i="269" s="1"/>
  <c r="F20" i="269" s="1"/>
  <c r="T37" i="271"/>
  <c r="F10" i="269" s="1"/>
  <c r="Q38" i="271"/>
  <c r="F21" i="269" s="1"/>
  <c r="E6" i="269"/>
  <c r="W37" i="271"/>
  <c r="F12" i="269" s="1"/>
  <c r="T38" i="271"/>
  <c r="F23" i="269" s="1"/>
  <c r="E8" i="269"/>
  <c r="N37" i="271"/>
  <c r="F6" i="269" s="1"/>
  <c r="Z37" i="271"/>
  <c r="F14" i="269" s="1"/>
  <c r="F36" i="272"/>
  <c r="E37" i="272"/>
  <c r="F35" i="272"/>
  <c r="D46" i="272"/>
  <c r="F46" i="272" s="1"/>
  <c r="F28" i="269"/>
  <c r="D44" i="272"/>
  <c r="E44" i="272" s="1"/>
  <c r="D19" i="272"/>
  <c r="F19" i="272" s="1"/>
  <c r="D45" i="272"/>
  <c r="F45" i="272" s="1"/>
  <c r="F26" i="269"/>
  <c r="E49" i="272"/>
  <c r="F49" i="272"/>
  <c r="E47" i="272"/>
  <c r="F47" i="272"/>
  <c r="F48" i="272"/>
  <c r="E48" i="272"/>
  <c r="E10" i="269"/>
  <c r="E23" i="269"/>
  <c r="F34" i="272"/>
  <c r="E27" i="269" l="1"/>
  <c r="E28" i="269" s="1"/>
  <c r="E25" i="269"/>
  <c r="E26" i="269" s="1"/>
  <c r="E14" i="269"/>
  <c r="C29" i="269"/>
  <c r="K39" i="270"/>
  <c r="E4" i="269" s="1"/>
  <c r="E5" i="269" s="1"/>
  <c r="K41" i="270"/>
  <c r="E17" i="269" s="1"/>
  <c r="E18" i="269" s="1"/>
  <c r="D23" i="272"/>
  <c r="F15" i="269"/>
  <c r="D21" i="272"/>
  <c r="F21" i="272" s="1"/>
  <c r="D24" i="272"/>
  <c r="D22" i="272"/>
  <c r="D11" i="272"/>
  <c r="F22" i="269"/>
  <c r="E12" i="269"/>
  <c r="E21" i="269"/>
  <c r="E19" i="269"/>
  <c r="E20" i="269" s="1"/>
  <c r="F37" i="272"/>
  <c r="E46" i="272"/>
  <c r="E36" i="272"/>
  <c r="D20" i="272"/>
  <c r="F20" i="272" s="1"/>
  <c r="E24" i="269"/>
  <c r="E35" i="272"/>
  <c r="E19" i="272"/>
  <c r="E45" i="272"/>
  <c r="F44" i="272"/>
  <c r="E34" i="272"/>
  <c r="F13" i="269"/>
  <c r="F24" i="269"/>
  <c r="E15" i="269" l="1"/>
  <c r="E21" i="272"/>
  <c r="F22" i="272"/>
  <c r="E22" i="272"/>
  <c r="F24" i="272"/>
  <c r="E24" i="272"/>
  <c r="F23" i="272"/>
  <c r="E23" i="272"/>
  <c r="F11" i="272"/>
  <c r="E11" i="272"/>
  <c r="D12" i="272"/>
  <c r="D10" i="272"/>
  <c r="AH14" i="259"/>
  <c r="F31" i="272"/>
  <c r="E22" i="269"/>
  <c r="E29" i="269" s="1"/>
  <c r="E13" i="269"/>
  <c r="E20" i="272"/>
  <c r="AH14" i="268"/>
  <c r="AH13" i="268"/>
  <c r="F29" i="269"/>
  <c r="F10" i="272" l="1"/>
  <c r="E10" i="272"/>
  <c r="F12" i="272"/>
  <c r="E12" i="272"/>
  <c r="F33" i="272"/>
  <c r="E33" i="272"/>
  <c r="F32" i="272"/>
  <c r="E32" i="272"/>
  <c r="E31" i="272"/>
  <c r="AH13" i="259"/>
  <c r="W7" i="268"/>
  <c r="W6" i="268" s="1"/>
  <c r="AH11" i="268"/>
  <c r="AH12" i="268"/>
  <c r="AJ9" i="268" s="1"/>
  <c r="W9" i="268" l="1"/>
  <c r="E7" i="268"/>
  <c r="E6" i="268" l="1"/>
  <c r="E9" i="268"/>
  <c r="L15" i="268"/>
  <c r="T17" i="268" l="1"/>
  <c r="I15" i="268"/>
  <c r="P15" i="268" s="1"/>
  <c r="AF24" i="268" s="1"/>
  <c r="H27" i="268" l="1"/>
  <c r="AF27" i="268"/>
  <c r="AJ29" i="268" s="1"/>
  <c r="H24" i="268"/>
  <c r="AJ8" i="268"/>
  <c r="V17" i="268"/>
  <c r="AL8" i="268" s="1"/>
  <c r="AF23" i="268"/>
  <c r="AJ26" i="268" s="1"/>
  <c r="H23" i="268"/>
  <c r="AH11" i="259" l="1"/>
  <c r="D8" i="272"/>
  <c r="D7" i="272"/>
  <c r="AH12" i="259"/>
  <c r="D9" i="272"/>
  <c r="F30" i="272"/>
  <c r="F38" i="272" s="1"/>
  <c r="E30" i="272"/>
  <c r="E38" i="272" s="1"/>
  <c r="D38" i="272"/>
  <c r="D9" i="267"/>
  <c r="C9" i="267"/>
  <c r="H3" i="267"/>
  <c r="E7" i="267" s="1"/>
  <c r="B4" i="266"/>
  <c r="E6" i="267" l="1"/>
  <c r="C10" i="267"/>
  <c r="E7" i="272"/>
  <c r="F7" i="272"/>
  <c r="D39" i="272"/>
  <c r="E39" i="272"/>
  <c r="G39" i="272"/>
  <c r="E8" i="272"/>
  <c r="F8" i="272"/>
  <c r="F9" i="272"/>
  <c r="E9" i="272"/>
  <c r="E8" i="267"/>
  <c r="E5" i="267"/>
  <c r="I2" i="275" l="1"/>
  <c r="F5" i="275" s="1"/>
  <c r="I2" i="278"/>
  <c r="F5" i="278" s="1"/>
  <c r="F31" i="275" l="1"/>
  <c r="G32" i="275" s="1"/>
  <c r="H31" i="275" s="1"/>
  <c r="F23" i="275"/>
  <c r="G24" i="275" s="1"/>
  <c r="H23" i="275" s="1"/>
  <c r="F21" i="275"/>
  <c r="G21" i="275" s="1"/>
  <c r="H21" i="275" s="1"/>
  <c r="F14" i="275"/>
  <c r="G15" i="275" s="1"/>
  <c r="H14" i="275" s="1"/>
  <c r="H16" i="275" s="1"/>
  <c r="G6" i="275"/>
  <c r="H5" i="275" s="1"/>
  <c r="H8" i="275" s="1"/>
  <c r="F25" i="275"/>
  <c r="G26" i="275" s="1"/>
  <c r="H25" i="275" s="1"/>
  <c r="F23" i="278"/>
  <c r="G24" i="278" s="1"/>
  <c r="H23" i="278" s="1"/>
  <c r="G6" i="278"/>
  <c r="H5" i="278" s="1"/>
  <c r="H8" i="278" s="1"/>
  <c r="F25" i="278"/>
  <c r="G26" i="278" s="1"/>
  <c r="H25" i="278" s="1"/>
  <c r="F14" i="278"/>
  <c r="G15" i="278" s="1"/>
  <c r="H14" i="278" s="1"/>
  <c r="H16" i="278" s="1"/>
  <c r="F31" i="278"/>
  <c r="G32" i="278" s="1"/>
  <c r="H31" i="278" s="1"/>
  <c r="H33" i="278" s="1"/>
  <c r="F21" i="278"/>
  <c r="G21" i="278" s="1"/>
  <c r="H21" i="278" s="1"/>
  <c r="F49" i="235"/>
  <c r="F48" i="235"/>
  <c r="F47" i="235"/>
  <c r="K47" i="235" l="1"/>
  <c r="J16" i="235" s="1"/>
  <c r="N5" i="288"/>
  <c r="K48" i="235"/>
  <c r="L16" i="235" s="1"/>
  <c r="Q5" i="288"/>
  <c r="K49" i="235"/>
  <c r="N16" i="235" s="1"/>
  <c r="T5" i="288"/>
  <c r="G48" i="235"/>
  <c r="G47" i="235"/>
  <c r="G49" i="235"/>
  <c r="H33" i="275"/>
  <c r="I32" i="275"/>
  <c r="I32" i="278"/>
  <c r="Q8" i="288" l="1"/>
  <c r="Q6" i="288"/>
  <c r="R6" i="288" s="1"/>
  <c r="R5" i="288"/>
  <c r="T8" i="288"/>
  <c r="T6" i="288"/>
  <c r="U6" i="288" s="1"/>
  <c r="U5" i="288"/>
  <c r="M16" i="235"/>
  <c r="L18" i="235"/>
  <c r="L17" i="235"/>
  <c r="O16" i="235"/>
  <c r="N18" i="235"/>
  <c r="N17" i="235"/>
  <c r="N8" i="288"/>
  <c r="N6" i="288"/>
  <c r="O6" i="288" s="1"/>
  <c r="O5" i="288"/>
  <c r="J18" i="235"/>
  <c r="K16" i="235"/>
  <c r="J17" i="235"/>
  <c r="M72" i="263"/>
  <c r="N72" i="263" s="1"/>
  <c r="M69" i="263"/>
  <c r="N69" i="263" s="1"/>
  <c r="M36" i="263"/>
  <c r="N36" i="263" s="1"/>
  <c r="N9" i="262"/>
  <c r="M9" i="262"/>
  <c r="L9" i="262"/>
  <c r="K9" i="262"/>
  <c r="J9" i="262"/>
  <c r="I9" i="262"/>
  <c r="H9" i="262"/>
  <c r="G9" i="262"/>
  <c r="F9" i="262"/>
  <c r="D9" i="262"/>
  <c r="C9" i="262"/>
  <c r="R8" i="262"/>
  <c r="P8" i="262"/>
  <c r="R7" i="262"/>
  <c r="P7" i="262"/>
  <c r="R6" i="262"/>
  <c r="P6" i="262"/>
  <c r="R5" i="262"/>
  <c r="P5" i="262"/>
  <c r="S3" i="262"/>
  <c r="O7" i="288" l="1"/>
  <c r="U7" i="288"/>
  <c r="R7" i="288"/>
  <c r="M18" i="235"/>
  <c r="M17" i="235"/>
  <c r="J20" i="235"/>
  <c r="J19" i="235"/>
  <c r="T9" i="288"/>
  <c r="U9" i="288" s="1"/>
  <c r="U8" i="288"/>
  <c r="N9" i="288"/>
  <c r="O9" i="288" s="1"/>
  <c r="O8" i="288"/>
  <c r="N20" i="235"/>
  <c r="N19" i="235"/>
  <c r="L20" i="235"/>
  <c r="L19" i="235"/>
  <c r="O18" i="235"/>
  <c r="O17" i="235"/>
  <c r="K18" i="235"/>
  <c r="K17" i="235"/>
  <c r="Q9" i="288"/>
  <c r="R9" i="288" s="1"/>
  <c r="R8" i="288"/>
  <c r="C10" i="262"/>
  <c r="P9" i="262"/>
  <c r="E6" i="262"/>
  <c r="O6" i="262" s="1"/>
  <c r="E5" i="262"/>
  <c r="O5" i="262" s="1"/>
  <c r="E7" i="262"/>
  <c r="O7" i="262" s="1"/>
  <c r="E8" i="262"/>
  <c r="O8" i="262" s="1"/>
  <c r="R10" i="288" l="1"/>
  <c r="R11" i="288" s="1"/>
  <c r="U10" i="288"/>
  <c r="U11" i="288" s="1"/>
  <c r="O20" i="235"/>
  <c r="O19" i="235"/>
  <c r="J22" i="235"/>
  <c r="J23" i="235" s="1"/>
  <c r="J21" i="235"/>
  <c r="L22" i="235"/>
  <c r="L23" i="235" s="1"/>
  <c r="L21" i="235"/>
  <c r="K20" i="235"/>
  <c r="K19" i="235"/>
  <c r="N22" i="235"/>
  <c r="N23" i="235" s="1"/>
  <c r="N21" i="235"/>
  <c r="O10" i="288"/>
  <c r="O11" i="288" s="1"/>
  <c r="M20" i="235"/>
  <c r="M19" i="235"/>
  <c r="O9" i="262"/>
  <c r="N24" i="235" l="1"/>
  <c r="J24" i="235"/>
  <c r="L24" i="235"/>
  <c r="O22" i="235"/>
  <c r="O23" i="235" s="1"/>
  <c r="O21" i="235"/>
  <c r="K22" i="235"/>
  <c r="K23" i="235" s="1"/>
  <c r="K21" i="235"/>
  <c r="M22" i="235"/>
  <c r="M23" i="235" s="1"/>
  <c r="M21" i="235"/>
  <c r="E9" i="255"/>
  <c r="O24" i="235" l="1"/>
  <c r="K24" i="235"/>
  <c r="M24" i="235"/>
  <c r="I3" i="249"/>
  <c r="I32" i="249" l="1"/>
  <c r="J3" i="249"/>
  <c r="G37" i="249"/>
  <c r="H37" i="249" s="1"/>
  <c r="B7" i="283" s="1"/>
  <c r="D7" i="283" s="1"/>
  <c r="F53" i="235"/>
  <c r="I53" i="235" s="1"/>
  <c r="F51" i="235"/>
  <c r="V51" i="235" s="1"/>
  <c r="AD10" i="259"/>
  <c r="AJ9" i="259"/>
  <c r="AJ7" i="259"/>
  <c r="Y7" i="259"/>
  <c r="W7" i="259"/>
  <c r="W6" i="259" s="1"/>
  <c r="E7" i="259"/>
  <c r="E6" i="259" s="1"/>
  <c r="E9" i="283" l="1"/>
  <c r="E10" i="283" s="1"/>
  <c r="E13" i="283" s="1"/>
  <c r="BB8" i="207" s="1"/>
  <c r="D8" i="283"/>
  <c r="D5" i="283"/>
  <c r="W9" i="259"/>
  <c r="V53" i="235"/>
  <c r="I51" i="235"/>
  <c r="L15" i="259"/>
  <c r="I15" i="259" s="1"/>
  <c r="P15" i="259" s="1"/>
  <c r="H24" i="259" s="1"/>
  <c r="E9" i="259"/>
  <c r="H27" i="259" l="1"/>
  <c r="T17" i="259"/>
  <c r="AJ8" i="259" s="1"/>
  <c r="AF27" i="259"/>
  <c r="AJ29" i="259" s="1"/>
  <c r="AF24" i="259"/>
  <c r="V17" i="259" l="1"/>
  <c r="AL8" i="259" s="1"/>
  <c r="H23" i="259"/>
  <c r="AF23" i="259"/>
  <c r="AJ26" i="259" s="1"/>
  <c r="D9" i="258"/>
  <c r="C9" i="258"/>
  <c r="H3" i="258"/>
  <c r="C10" i="258" l="1"/>
  <c r="E5" i="258"/>
  <c r="E8" i="258"/>
  <c r="E6" i="258"/>
  <c r="E7" i="258"/>
  <c r="K23" i="257"/>
  <c r="M23" i="257" s="1"/>
  <c r="K22" i="257"/>
  <c r="M22" i="257" s="1"/>
  <c r="E20" i="257"/>
  <c r="G28" i="256" s="1"/>
  <c r="H28" i="256" s="1"/>
  <c r="E19" i="257"/>
  <c r="G26" i="256" s="1"/>
  <c r="E18" i="257"/>
  <c r="E15" i="257"/>
  <c r="G19" i="256" s="1"/>
  <c r="H19" i="256" s="1"/>
  <c r="E14" i="257"/>
  <c r="G18" i="256" s="1"/>
  <c r="H18" i="256" s="1"/>
  <c r="E13" i="257"/>
  <c r="E12" i="257"/>
  <c r="E11" i="257"/>
  <c r="G13" i="256" s="1"/>
  <c r="H13" i="256" s="1"/>
  <c r="E10" i="257"/>
  <c r="G12" i="256" s="1"/>
  <c r="H12" i="256" s="1"/>
  <c r="E9" i="257"/>
  <c r="G11" i="256" s="1"/>
  <c r="H11" i="256" s="1"/>
  <c r="E8" i="257"/>
  <c r="E7" i="257"/>
  <c r="G9" i="256" s="1"/>
  <c r="H9" i="256" s="1"/>
  <c r="E6" i="257"/>
  <c r="G7" i="256" s="1"/>
  <c r="H7" i="256" s="1"/>
  <c r="E5" i="257"/>
  <c r="G5" i="256" s="1"/>
  <c r="E4" i="257"/>
  <c r="G4" i="256" s="1"/>
  <c r="H4" i="256" s="1"/>
  <c r="G34" i="256"/>
  <c r="H34" i="256" s="1"/>
  <c r="G33" i="256"/>
  <c r="H33" i="256" s="1"/>
  <c r="G30" i="256"/>
  <c r="H30" i="256" s="1"/>
  <c r="G29" i="256"/>
  <c r="H29" i="256" s="1"/>
  <c r="G24" i="256"/>
  <c r="G20" i="256"/>
  <c r="H20" i="256" s="1"/>
  <c r="G14" i="256"/>
  <c r="H14" i="256" s="1"/>
  <c r="G10" i="256"/>
  <c r="H10" i="256" s="1"/>
  <c r="F22" i="256"/>
  <c r="G22" i="256" s="1"/>
  <c r="H22" i="256" s="1"/>
  <c r="K23" i="255"/>
  <c r="M23" i="255" s="1"/>
  <c r="E20" i="255"/>
  <c r="G28" i="254" s="1"/>
  <c r="H28" i="254" s="1"/>
  <c r="E19" i="255"/>
  <c r="G26" i="254" s="1"/>
  <c r="E18" i="255"/>
  <c r="E16" i="255"/>
  <c r="G20" i="254" s="1"/>
  <c r="H20" i="254" s="1"/>
  <c r="E15" i="255"/>
  <c r="G19" i="254" s="1"/>
  <c r="H19" i="254" s="1"/>
  <c r="E14" i="255"/>
  <c r="G18" i="254" s="1"/>
  <c r="H18" i="254" s="1"/>
  <c r="E13" i="255"/>
  <c r="G15" i="256" s="1"/>
  <c r="E12" i="255"/>
  <c r="G14" i="254" s="1"/>
  <c r="H14" i="254" s="1"/>
  <c r="E11" i="255"/>
  <c r="G13" i="254" s="1"/>
  <c r="H13" i="254" s="1"/>
  <c r="E10" i="255"/>
  <c r="G12" i="254" s="1"/>
  <c r="H12" i="254" s="1"/>
  <c r="E8" i="255"/>
  <c r="G10" i="254" s="1"/>
  <c r="H10" i="254" s="1"/>
  <c r="E7" i="255"/>
  <c r="G9" i="254" s="1"/>
  <c r="H9" i="254" s="1"/>
  <c r="E6" i="255"/>
  <c r="G7" i="254" s="1"/>
  <c r="H7" i="254" s="1"/>
  <c r="E5" i="255"/>
  <c r="G5" i="254" s="1"/>
  <c r="E4" i="255"/>
  <c r="G4" i="254" s="1"/>
  <c r="H4" i="254" s="1"/>
  <c r="G34" i="254"/>
  <c r="H34" i="254" s="1"/>
  <c r="G33" i="254"/>
  <c r="H33" i="254" s="1"/>
  <c r="G30" i="254"/>
  <c r="H30" i="254" s="1"/>
  <c r="G29" i="254"/>
  <c r="H29" i="254" s="1"/>
  <c r="G24" i="254"/>
  <c r="G11" i="254"/>
  <c r="H11" i="254" s="1"/>
  <c r="M24" i="257" l="1"/>
  <c r="G15" i="254"/>
  <c r="F15" i="256"/>
  <c r="G16" i="256" s="1"/>
  <c r="H15" i="256" s="1"/>
  <c r="H17" i="256" s="1"/>
  <c r="G6" i="256"/>
  <c r="H5" i="256" s="1"/>
  <c r="H8" i="256" s="1"/>
  <c r="F24" i="256"/>
  <c r="G25" i="256" s="1"/>
  <c r="H24" i="256" s="1"/>
  <c r="F26" i="256"/>
  <c r="G27" i="256" s="1"/>
  <c r="H26" i="256" s="1"/>
  <c r="O23" i="257"/>
  <c r="E23" i="257" s="1"/>
  <c r="G31" i="256" s="1"/>
  <c r="H31" i="256" s="1"/>
  <c r="H32" i="256" s="1"/>
  <c r="H21" i="254"/>
  <c r="H21" i="256"/>
  <c r="I31" i="256" l="1"/>
  <c r="N38" i="263" l="1"/>
  <c r="G71" i="263" l="1"/>
  <c r="M71" i="263"/>
  <c r="N71" i="263" s="1"/>
  <c r="K20" i="255"/>
  <c r="K22" i="255" s="1"/>
  <c r="M22" i="255" s="1"/>
  <c r="F5" i="254"/>
  <c r="J7" i="209"/>
  <c r="J13" i="209" s="1"/>
  <c r="I165" i="243"/>
  <c r="K7" i="209" s="1"/>
  <c r="K13" i="209" s="1"/>
  <c r="J165" i="243"/>
  <c r="L7" i="209" s="1"/>
  <c r="L13" i="209" s="1"/>
  <c r="K165" i="243"/>
  <c r="N7" i="209"/>
  <c r="N13" i="209" s="1"/>
  <c r="P7" i="209"/>
  <c r="P13" i="209" s="1"/>
  <c r="Q7" i="209"/>
  <c r="Q13" i="209" s="1"/>
  <c r="R7" i="209"/>
  <c r="R13" i="209" s="1"/>
  <c r="F165" i="243"/>
  <c r="D165" i="243"/>
  <c r="M7" i="209" l="1"/>
  <c r="M13" i="209" s="1"/>
  <c r="T168" i="243"/>
  <c r="H7" i="209"/>
  <c r="H168" i="243"/>
  <c r="Q15" i="209"/>
  <c r="S6" i="207"/>
  <c r="P15" i="209"/>
  <c r="R6" i="207"/>
  <c r="H17" i="209"/>
  <c r="Q6" i="207"/>
  <c r="N15" i="209"/>
  <c r="G35" i="263"/>
  <c r="M35" i="263"/>
  <c r="N35" i="263" s="1"/>
  <c r="E166" i="243"/>
  <c r="F26" i="254"/>
  <c r="G27" i="254" s="1"/>
  <c r="H26" i="254" s="1"/>
  <c r="F15" i="254"/>
  <c r="G16" i="254" s="1"/>
  <c r="H15" i="254" s="1"/>
  <c r="H17" i="254" s="1"/>
  <c r="F22" i="254"/>
  <c r="G22" i="254" s="1"/>
  <c r="H22" i="254" s="1"/>
  <c r="G6" i="254"/>
  <c r="H5" i="254" s="1"/>
  <c r="H8" i="254" s="1"/>
  <c r="F24" i="254"/>
  <c r="G25" i="254" s="1"/>
  <c r="H24" i="254" s="1"/>
  <c r="O23" i="255"/>
  <c r="E23" i="255" s="1"/>
  <c r="G31" i="254" s="1"/>
  <c r="H31" i="254" s="1"/>
  <c r="M24" i="255"/>
  <c r="H16" i="209" l="1"/>
  <c r="H13" i="209"/>
  <c r="I31" i="254"/>
  <c r="H32" i="254"/>
  <c r="F36" i="249" l="1"/>
  <c r="F32" i="249"/>
  <c r="C5" i="283" l="1"/>
  <c r="N6" i="283" s="1"/>
  <c r="N13" i="283" s="1"/>
  <c r="BL8" i="207" s="1"/>
  <c r="BL9" i="207" s="1"/>
  <c r="H36" i="249"/>
  <c r="B5" i="283" s="1"/>
  <c r="P6" i="283"/>
  <c r="P13" i="283" s="1"/>
  <c r="D6" i="283"/>
  <c r="D13" i="283" s="1"/>
  <c r="BA8" i="207" s="1"/>
  <c r="BM9" i="207"/>
  <c r="F41" i="249"/>
  <c r="J32" i="249"/>
  <c r="H6" i="283" l="1"/>
  <c r="H13" i="283" s="1"/>
  <c r="BF8" i="207" s="1"/>
  <c r="J6" i="283"/>
  <c r="J13" i="283" s="1"/>
  <c r="BH8" i="207" s="1"/>
  <c r="C13" i="283"/>
  <c r="L6" i="283"/>
  <c r="L13" i="283" s="1"/>
  <c r="BJ8" i="207" s="1"/>
  <c r="F6" i="283"/>
  <c r="F13" i="283" s="1"/>
  <c r="BD8" i="207" s="1"/>
  <c r="BN8" i="207"/>
  <c r="BN9" i="207" s="1"/>
  <c r="G41" i="249"/>
  <c r="D26" i="253" l="1"/>
  <c r="AG11" i="252" s="1"/>
  <c r="E16" i="252" s="1"/>
  <c r="C26" i="253"/>
  <c r="H25" i="253"/>
  <c r="J25" i="253" s="1"/>
  <c r="H24" i="253"/>
  <c r="J24" i="253" s="1"/>
  <c r="H23" i="253"/>
  <c r="J23" i="253" s="1"/>
  <c r="H22" i="253"/>
  <c r="J22" i="253" s="1"/>
  <c r="H21" i="253"/>
  <c r="J21" i="253" s="1"/>
  <c r="H20" i="253"/>
  <c r="J20" i="253" s="1"/>
  <c r="H19" i="253"/>
  <c r="J19" i="253" s="1"/>
  <c r="H18" i="253"/>
  <c r="J18" i="253" s="1"/>
  <c r="H17" i="253"/>
  <c r="J17" i="253" s="1"/>
  <c r="H16" i="253"/>
  <c r="J16" i="253" s="1"/>
  <c r="H15" i="253"/>
  <c r="J15" i="253" s="1"/>
  <c r="H14" i="253"/>
  <c r="J14" i="253" s="1"/>
  <c r="H13" i="253"/>
  <c r="J13" i="253" s="1"/>
  <c r="H12" i="253"/>
  <c r="J12" i="253" s="1"/>
  <c r="H11" i="253"/>
  <c r="J11" i="253" s="1"/>
  <c r="H10" i="253"/>
  <c r="J10" i="253" s="1"/>
  <c r="H9" i="253"/>
  <c r="J9" i="253" s="1"/>
  <c r="H8" i="253"/>
  <c r="J8" i="253" s="1"/>
  <c r="J7" i="253"/>
  <c r="H7" i="253"/>
  <c r="H6" i="253"/>
  <c r="J6" i="253" s="1"/>
  <c r="H5" i="253"/>
  <c r="J5" i="253" s="1"/>
  <c r="H4" i="253"/>
  <c r="J4" i="253" s="1"/>
  <c r="H3" i="253"/>
  <c r="J3" i="253" s="1"/>
  <c r="E20" i="252"/>
  <c r="T16" i="252"/>
  <c r="Q16" i="252"/>
  <c r="H16" i="252"/>
  <c r="G15" i="252"/>
  <c r="AG10" i="252"/>
  <c r="B4" i="251"/>
  <c r="J26" i="253" l="1"/>
  <c r="AG12" i="252" s="1"/>
  <c r="L17" i="252" s="1"/>
  <c r="E15" i="252"/>
  <c r="AB15" i="252" s="1"/>
  <c r="AL11" i="252"/>
  <c r="V16" i="252" l="1"/>
  <c r="AN11" i="252"/>
  <c r="J16" i="252"/>
  <c r="AB16" i="252" s="1"/>
  <c r="AE16" i="252" s="1"/>
  <c r="E17" i="252"/>
  <c r="AE15" i="252"/>
  <c r="G17" i="252" l="1"/>
  <c r="AB17" i="252" s="1"/>
  <c r="AE17" i="252" s="1"/>
  <c r="C4" i="251" s="1"/>
  <c r="D4" i="251" s="1"/>
  <c r="BD9" i="207"/>
  <c r="BE9" i="207" l="1"/>
  <c r="BK9" i="207" l="1"/>
  <c r="BJ9" i="207"/>
  <c r="BF9" i="207"/>
  <c r="BH9" i="207"/>
  <c r="BI9" i="207"/>
  <c r="BG9" i="207" l="1"/>
  <c r="F52" i="235"/>
  <c r="V52" i="235" s="1"/>
  <c r="F50" i="235"/>
  <c r="I50" i="235" s="1"/>
  <c r="F46" i="235"/>
  <c r="K46" i="235" l="1"/>
  <c r="H16" i="235" s="1"/>
  <c r="K5" i="288"/>
  <c r="G46" i="235"/>
  <c r="BA9" i="207"/>
  <c r="V50" i="235"/>
  <c r="I52" i="235"/>
  <c r="K8" i="288" l="1"/>
  <c r="K6" i="288"/>
  <c r="L6" i="288" s="1"/>
  <c r="L5" i="288"/>
  <c r="H18" i="235"/>
  <c r="I16" i="235"/>
  <c r="H17" i="235"/>
  <c r="BB9" i="207"/>
  <c r="AB4" i="243"/>
  <c r="E73" i="243" l="1"/>
  <c r="U73" i="243" s="1"/>
  <c r="X73" i="243" s="1"/>
  <c r="E20" i="243"/>
  <c r="E16" i="243"/>
  <c r="E7" i="243"/>
  <c r="U7" i="243" s="1"/>
  <c r="X7" i="243" s="1"/>
  <c r="E22" i="243"/>
  <c r="E60" i="243"/>
  <c r="U60" i="243" s="1"/>
  <c r="X60" i="243" s="1"/>
  <c r="E10" i="243"/>
  <c r="E23" i="243"/>
  <c r="E14" i="243"/>
  <c r="E63" i="243"/>
  <c r="E33" i="243"/>
  <c r="U33" i="243" s="1"/>
  <c r="X33" i="243" s="1"/>
  <c r="E35" i="243"/>
  <c r="U35" i="243" s="1"/>
  <c r="X35" i="243" s="1"/>
  <c r="E13" i="243"/>
  <c r="E26" i="243"/>
  <c r="E12" i="243"/>
  <c r="E47" i="243"/>
  <c r="E71" i="243"/>
  <c r="U71" i="243" s="1"/>
  <c r="X71" i="243" s="1"/>
  <c r="E45" i="243"/>
  <c r="E11" i="243"/>
  <c r="E55" i="243"/>
  <c r="U55" i="243" s="1"/>
  <c r="X55" i="243" s="1"/>
  <c r="E77" i="243"/>
  <c r="E8" i="243"/>
  <c r="E72" i="243"/>
  <c r="U72" i="243" s="1"/>
  <c r="X72" i="243" s="1"/>
  <c r="E78" i="243"/>
  <c r="E9" i="243"/>
  <c r="E44" i="243"/>
  <c r="U44" i="243" s="1"/>
  <c r="X44" i="243" s="1"/>
  <c r="E74" i="243"/>
  <c r="E59" i="243"/>
  <c r="U59" i="243" s="1"/>
  <c r="X59" i="243" s="1"/>
  <c r="E70" i="243"/>
  <c r="U70" i="243" s="1"/>
  <c r="X70" i="243" s="1"/>
  <c r="E25" i="243"/>
  <c r="E24" i="243"/>
  <c r="E37" i="243"/>
  <c r="E65" i="243"/>
  <c r="U65" i="243" s="1"/>
  <c r="X65" i="243" s="1"/>
  <c r="E64" i="243"/>
  <c r="U64" i="243" s="1"/>
  <c r="X64" i="243" s="1"/>
  <c r="E57" i="243"/>
  <c r="U57" i="243" s="1"/>
  <c r="X57" i="243" s="1"/>
  <c r="E68" i="243"/>
  <c r="U68" i="243" s="1"/>
  <c r="X68" i="243" s="1"/>
  <c r="E31" i="243"/>
  <c r="U31" i="243" s="1"/>
  <c r="X31" i="243" s="1"/>
  <c r="E66" i="243"/>
  <c r="U66" i="243" s="1"/>
  <c r="X66" i="243" s="1"/>
  <c r="E56" i="243"/>
  <c r="U56" i="243" s="1"/>
  <c r="X56" i="243" s="1"/>
  <c r="E42" i="243"/>
  <c r="U42" i="243" s="1"/>
  <c r="X42" i="243" s="1"/>
  <c r="E29" i="243"/>
  <c r="E17" i="243"/>
  <c r="E51" i="243"/>
  <c r="E75" i="243"/>
  <c r="E48" i="243"/>
  <c r="E54" i="243"/>
  <c r="E36" i="243"/>
  <c r="U36" i="243" s="1"/>
  <c r="X36" i="243" s="1"/>
  <c r="E28" i="243"/>
  <c r="E50" i="243"/>
  <c r="E43" i="243"/>
  <c r="U43" i="243" s="1"/>
  <c r="X43" i="243" s="1"/>
  <c r="E62" i="243"/>
  <c r="U62" i="243" s="1"/>
  <c r="X62" i="243" s="1"/>
  <c r="E52" i="243"/>
  <c r="U52" i="243" s="1"/>
  <c r="X52" i="243" s="1"/>
  <c r="E67" i="243"/>
  <c r="U67" i="243" s="1"/>
  <c r="X67" i="243" s="1"/>
  <c r="E39" i="243"/>
  <c r="U39" i="243" s="1"/>
  <c r="X39" i="243" s="1"/>
  <c r="E32" i="243"/>
  <c r="U32" i="243" s="1"/>
  <c r="X32" i="243" s="1"/>
  <c r="E41" i="243"/>
  <c r="U41" i="243" s="1"/>
  <c r="X41" i="243" s="1"/>
  <c r="E58" i="243"/>
  <c r="U58" i="243" s="1"/>
  <c r="X58" i="243" s="1"/>
  <c r="E18" i="243"/>
  <c r="E34" i="243"/>
  <c r="U34" i="243" s="1"/>
  <c r="X34" i="243" s="1"/>
  <c r="E40" i="243"/>
  <c r="U40" i="243" s="1"/>
  <c r="X40" i="243" s="1"/>
  <c r="E46" i="243"/>
  <c r="E49" i="243"/>
  <c r="E76" i="243"/>
  <c r="U76" i="243" s="1"/>
  <c r="X76" i="243" s="1"/>
  <c r="E53" i="243"/>
  <c r="E61" i="243"/>
  <c r="U61" i="243" s="1"/>
  <c r="X61" i="243" s="1"/>
  <c r="E19" i="243"/>
  <c r="E38" i="243"/>
  <c r="E69" i="243"/>
  <c r="U69" i="243" s="1"/>
  <c r="X69" i="243" s="1"/>
  <c r="E15" i="243"/>
  <c r="E21" i="243"/>
  <c r="E27" i="243"/>
  <c r="E30" i="243"/>
  <c r="U30" i="243" s="1"/>
  <c r="X30" i="243" s="1"/>
  <c r="L7" i="288"/>
  <c r="H20" i="235"/>
  <c r="H19" i="235"/>
  <c r="I18" i="235"/>
  <c r="I17" i="235"/>
  <c r="K9" i="288"/>
  <c r="L9" i="288" s="1"/>
  <c r="L8" i="288"/>
  <c r="V165" i="243"/>
  <c r="AK7" i="209" s="1"/>
  <c r="AK13" i="209" s="1"/>
  <c r="E6" i="243"/>
  <c r="U53" i="243" l="1"/>
  <c r="X53" i="243" s="1"/>
  <c r="Y53" i="243"/>
  <c r="U24" i="243"/>
  <c r="Y24" i="243" s="1"/>
  <c r="X24" i="243"/>
  <c r="U12" i="243"/>
  <c r="X12" i="243" s="1"/>
  <c r="Y12" i="243"/>
  <c r="U10" i="243"/>
  <c r="X10" i="243" s="1"/>
  <c r="U28" i="243"/>
  <c r="Y28" i="243" s="1"/>
  <c r="U78" i="243"/>
  <c r="Y78" i="243" s="1"/>
  <c r="U49" i="243"/>
  <c r="X49" i="243" s="1"/>
  <c r="Y49" i="243"/>
  <c r="U25" i="243"/>
  <c r="X25" i="243" s="1"/>
  <c r="U8" i="243"/>
  <c r="X8" i="243" s="1"/>
  <c r="Y8" i="243"/>
  <c r="U26" i="243"/>
  <c r="Y26" i="243" s="1"/>
  <c r="U54" i="243"/>
  <c r="X54" i="243" s="1"/>
  <c r="U15" i="243"/>
  <c r="X15" i="243" s="1"/>
  <c r="U46" i="243"/>
  <c r="X46" i="243" s="1"/>
  <c r="Y46" i="243"/>
  <c r="U48" i="243"/>
  <c r="Y48" i="243" s="1"/>
  <c r="U77" i="243"/>
  <c r="X77" i="243" s="1"/>
  <c r="U13" i="243"/>
  <c r="Y13" i="243" s="1"/>
  <c r="U22" i="243"/>
  <c r="X22" i="243" s="1"/>
  <c r="U47" i="243"/>
  <c r="X47" i="243" s="1"/>
  <c r="U27" i="243"/>
  <c r="X27" i="243" s="1"/>
  <c r="Y27" i="243"/>
  <c r="U21" i="243"/>
  <c r="Y21" i="243" s="1"/>
  <c r="U75" i="243"/>
  <c r="X75" i="243" s="1"/>
  <c r="U37" i="243"/>
  <c r="X37" i="243" s="1"/>
  <c r="U38" i="243"/>
  <c r="X38" i="243" s="1"/>
  <c r="Y38" i="243"/>
  <c r="U51" i="243"/>
  <c r="X51" i="243" s="1"/>
  <c r="U74" i="243"/>
  <c r="Y74" i="243" s="1"/>
  <c r="X74" i="243"/>
  <c r="U11" i="243"/>
  <c r="Y11" i="243" s="1"/>
  <c r="X11" i="243"/>
  <c r="U16" i="243"/>
  <c r="X16" i="243" s="1"/>
  <c r="U19" i="243"/>
  <c r="Y19" i="243" s="1"/>
  <c r="U18" i="243"/>
  <c r="X18" i="243" s="1"/>
  <c r="Y18" i="243"/>
  <c r="U17" i="243"/>
  <c r="X17" i="243" s="1"/>
  <c r="Y17" i="243"/>
  <c r="U45" i="243"/>
  <c r="X45" i="243" s="1"/>
  <c r="U63" i="243"/>
  <c r="X63" i="243" s="1"/>
  <c r="U20" i="243"/>
  <c r="X20" i="243" s="1"/>
  <c r="Y20" i="243"/>
  <c r="U23" i="243"/>
  <c r="X23" i="243" s="1"/>
  <c r="Y23" i="243"/>
  <c r="U50" i="243"/>
  <c r="Y50" i="243" s="1"/>
  <c r="U29" i="243"/>
  <c r="X29" i="243" s="1"/>
  <c r="U9" i="243"/>
  <c r="X9" i="243" s="1"/>
  <c r="Y9" i="243"/>
  <c r="U14" i="243"/>
  <c r="X14" i="243" s="1"/>
  <c r="Y14" i="243"/>
  <c r="U6" i="243"/>
  <c r="X6" i="243" s="1"/>
  <c r="L10" i="288"/>
  <c r="L11" i="288" s="1"/>
  <c r="I20" i="235"/>
  <c r="I19" i="235"/>
  <c r="H22" i="235"/>
  <c r="H23" i="235" s="1"/>
  <c r="H21" i="235"/>
  <c r="X50" i="243" l="1"/>
  <c r="Y45" i="243"/>
  <c r="Y16" i="243"/>
  <c r="Y22" i="243"/>
  <c r="Y54" i="243"/>
  <c r="Y29" i="243"/>
  <c r="Y63" i="243"/>
  <c r="X19" i="243"/>
  <c r="Y51" i="243"/>
  <c r="Y77" i="243"/>
  <c r="Y75" i="243"/>
  <c r="X28" i="243"/>
  <c r="Y47" i="243"/>
  <c r="X48" i="243"/>
  <c r="X26" i="243"/>
  <c r="X78" i="243"/>
  <c r="X21" i="243"/>
  <c r="X13" i="243"/>
  <c r="Y15" i="243"/>
  <c r="Y25" i="243"/>
  <c r="Y10" i="243"/>
  <c r="I22" i="235"/>
  <c r="I23" i="235" s="1"/>
  <c r="I21" i="235"/>
  <c r="H24" i="235"/>
  <c r="Y6" i="243"/>
  <c r="U165" i="243"/>
  <c r="I24" i="235" l="1"/>
  <c r="Y165" i="243"/>
  <c r="AP7" i="209" s="1"/>
  <c r="X165" i="243"/>
  <c r="AP13" i="209" l="1"/>
  <c r="AX6" i="207" s="1"/>
  <c r="AX9" i="207" s="1"/>
  <c r="AO7" i="209"/>
  <c r="AO13" i="209" l="1"/>
  <c r="AW6" i="207" s="1"/>
  <c r="AW9" i="207" s="1"/>
  <c r="AJ15" i="209"/>
  <c r="AL6" i="207"/>
  <c r="AL9" i="207" s="1"/>
  <c r="AO9" i="207"/>
  <c r="AN6" i="207" l="1"/>
  <c r="AN9" i="207" s="1"/>
  <c r="AM6" i="207" l="1"/>
  <c r="AM9" i="207" s="1"/>
  <c r="N67" i="244"/>
  <c r="D7" i="209" s="1"/>
  <c r="AI15" i="209" l="1"/>
  <c r="AK6" i="207"/>
  <c r="AK9" i="207" s="1"/>
  <c r="AJ6" i="207"/>
  <c r="AJ9" i="207" s="1"/>
  <c r="AH15" i="209"/>
  <c r="S9" i="207" l="1"/>
  <c r="V15" i="209"/>
  <c r="X6" i="207"/>
  <c r="X9" i="207" s="1"/>
  <c r="F11" i="209"/>
  <c r="F9" i="209"/>
  <c r="N70" i="244"/>
  <c r="F7" i="209" s="1"/>
  <c r="N38" i="244"/>
  <c r="F5" i="209" s="1"/>
  <c r="W15" i="209" l="1"/>
  <c r="Y6" i="207"/>
  <c r="Y9" i="207" s="1"/>
  <c r="M33" i="263"/>
  <c r="N33" i="263" s="1"/>
  <c r="AR7" i="209"/>
  <c r="AR13" i="209" s="1"/>
  <c r="M15" i="209" l="1"/>
  <c r="P6" i="207"/>
  <c r="P9" i="207" s="1"/>
  <c r="AI6" i="207"/>
  <c r="AI9" i="207" s="1"/>
  <c r="AG15" i="209"/>
  <c r="J15" i="209"/>
  <c r="L6" i="207"/>
  <c r="L9" i="207" s="1"/>
  <c r="AB6" i="207"/>
  <c r="AB9" i="207" s="1"/>
  <c r="Z15" i="209"/>
  <c r="AE9" i="207"/>
  <c r="AE15" i="209"/>
  <c r="AG6" i="207"/>
  <c r="AG9" i="207" s="1"/>
  <c r="Z6" i="207"/>
  <c r="Z9" i="207" s="1"/>
  <c r="X15" i="209"/>
  <c r="Q9" i="207"/>
  <c r="T6" i="207"/>
  <c r="T9" i="207" s="1"/>
  <c r="R15" i="209"/>
  <c r="AF15" i="209"/>
  <c r="AH6" i="207"/>
  <c r="AH9" i="207" s="1"/>
  <c r="R9" i="207"/>
  <c r="W6" i="207"/>
  <c r="W9" i="207" s="1"/>
  <c r="U15" i="209"/>
  <c r="N6" i="207"/>
  <c r="N9" i="207" s="1"/>
  <c r="L15" i="209"/>
  <c r="N33" i="244"/>
  <c r="AB15" i="209" l="1"/>
  <c r="AD6" i="207"/>
  <c r="AD9" i="207" s="1"/>
  <c r="J6" i="207"/>
  <c r="J9" i="207" s="1"/>
  <c r="H15" i="209"/>
  <c r="M6" i="207"/>
  <c r="M9" i="207" s="1"/>
  <c r="K15" i="209"/>
  <c r="D5" i="209"/>
  <c r="J11" i="207" l="1"/>
  <c r="AK15" i="209"/>
  <c r="AZ6" i="207"/>
  <c r="AZ9" i="207" s="1"/>
  <c r="D7" i="229"/>
  <c r="D6" i="229"/>
  <c r="E17" i="228"/>
  <c r="E40" i="228"/>
  <c r="G28" i="227" l="1"/>
  <c r="H28" i="227" l="1"/>
  <c r="G88" i="220"/>
  <c r="E18" i="228" l="1"/>
  <c r="E15" i="228"/>
  <c r="E13" i="228"/>
  <c r="G16" i="227" s="1"/>
  <c r="H16" i="227" s="1"/>
  <c r="E12" i="228"/>
  <c r="G15" i="227" s="1"/>
  <c r="H15" i="227" s="1"/>
  <c r="E11" i="228"/>
  <c r="G13" i="227" s="1"/>
  <c r="E10" i="228"/>
  <c r="G12" i="227" s="1"/>
  <c r="H12" i="227" s="1"/>
  <c r="E9" i="228"/>
  <c r="G11" i="227" s="1"/>
  <c r="H11" i="227" s="1"/>
  <c r="E8" i="228"/>
  <c r="G10" i="227" s="1"/>
  <c r="H10" i="227" s="1"/>
  <c r="E7" i="228"/>
  <c r="G9" i="227" s="1"/>
  <c r="E6" i="228"/>
  <c r="G7" i="227" s="1"/>
  <c r="H7" i="227" s="1"/>
  <c r="E5" i="228"/>
  <c r="G5" i="227" s="1"/>
  <c r="E4" i="228"/>
  <c r="G4" i="227" s="1"/>
  <c r="H4" i="227" s="1"/>
  <c r="E41" i="228"/>
  <c r="G56" i="227" s="1"/>
  <c r="E36" i="228"/>
  <c r="G47" i="227" s="1"/>
  <c r="H47" i="227" s="1"/>
  <c r="E35" i="228"/>
  <c r="G46" i="227" s="1"/>
  <c r="H46" i="227" s="1"/>
  <c r="E34" i="228"/>
  <c r="G44" i="227" s="1"/>
  <c r="E33" i="228"/>
  <c r="E32" i="228"/>
  <c r="G42" i="227" s="1"/>
  <c r="H42" i="227" s="1"/>
  <c r="E30" i="228"/>
  <c r="G40" i="227" s="1"/>
  <c r="E29" i="228"/>
  <c r="G38" i="227" s="1"/>
  <c r="H38" i="227" s="1"/>
  <c r="E28" i="228"/>
  <c r="G36" i="227" s="1"/>
  <c r="E27" i="228"/>
  <c r="G35" i="227" s="1"/>
  <c r="H35" i="227" s="1"/>
  <c r="E38" i="228"/>
  <c r="G51" i="227" s="1"/>
  <c r="E31" i="228"/>
  <c r="G41" i="227" s="1"/>
  <c r="H41" i="227" s="1"/>
  <c r="G62" i="227"/>
  <c r="H62" i="227" s="1"/>
  <c r="G61" i="227"/>
  <c r="G59" i="227"/>
  <c r="G58" i="227"/>
  <c r="G57" i="227"/>
  <c r="H57" i="227" s="1"/>
  <c r="G54" i="227"/>
  <c r="G43" i="227"/>
  <c r="H43" i="227" s="1"/>
  <c r="G31" i="227"/>
  <c r="H31" i="227" s="1"/>
  <c r="G30" i="227"/>
  <c r="G27" i="227"/>
  <c r="G26" i="227"/>
  <c r="H26" i="227" s="1"/>
  <c r="G25" i="227"/>
  <c r="G23" i="227"/>
  <c r="G20" i="227"/>
  <c r="E27" i="225"/>
  <c r="D8" i="223" s="1"/>
  <c r="E26" i="225"/>
  <c r="D7" i="223" s="1"/>
  <c r="E25" i="225"/>
  <c r="E24" i="225"/>
  <c r="E23" i="225"/>
  <c r="D4" i="223" s="1"/>
  <c r="BR20" i="224"/>
  <c r="BQ20" i="224"/>
  <c r="BP20" i="224"/>
  <c r="BO20" i="224"/>
  <c r="BN20" i="224"/>
  <c r="BM20" i="224"/>
  <c r="BL20" i="224"/>
  <c r="BK20" i="224"/>
  <c r="BJ20" i="224"/>
  <c r="BI20" i="224"/>
  <c r="BH20" i="224"/>
  <c r="BG20" i="224"/>
  <c r="BF20" i="224"/>
  <c r="BE20" i="224"/>
  <c r="BD20" i="224"/>
  <c r="BC20" i="224"/>
  <c r="BB20" i="224"/>
  <c r="BA20" i="224"/>
  <c r="AZ20" i="224"/>
  <c r="AY20" i="224"/>
  <c r="AX20" i="224"/>
  <c r="AW20" i="224"/>
  <c r="AV20" i="224"/>
  <c r="AU20" i="224"/>
  <c r="AT20" i="224"/>
  <c r="AS20" i="224"/>
  <c r="AR20" i="224"/>
  <c r="AQ20" i="224"/>
  <c r="AP20" i="224"/>
  <c r="AO20" i="224"/>
  <c r="AN20" i="224"/>
  <c r="AM20" i="224"/>
  <c r="AH20" i="224"/>
  <c r="AG20" i="224"/>
  <c r="AF20" i="224"/>
  <c r="AE20" i="224"/>
  <c r="AD20" i="224"/>
  <c r="AC20" i="224"/>
  <c r="AB20" i="224"/>
  <c r="AA20" i="224"/>
  <c r="Z20" i="224"/>
  <c r="Y20" i="224"/>
  <c r="X20" i="224"/>
  <c r="W20" i="224"/>
  <c r="V20" i="224"/>
  <c r="U20" i="224"/>
  <c r="T20" i="224"/>
  <c r="S20" i="224"/>
  <c r="R20" i="224"/>
  <c r="Q20" i="224"/>
  <c r="P20" i="224"/>
  <c r="O20" i="224"/>
  <c r="N20" i="224"/>
  <c r="M20" i="224"/>
  <c r="L20" i="224"/>
  <c r="K20" i="224"/>
  <c r="J20" i="224"/>
  <c r="I20" i="224"/>
  <c r="H20" i="224"/>
  <c r="G20" i="224"/>
  <c r="F20" i="224"/>
  <c r="E20" i="224"/>
  <c r="D20" i="224"/>
  <c r="C20" i="224"/>
  <c r="BR19" i="224"/>
  <c r="BQ19" i="224"/>
  <c r="BP19" i="224"/>
  <c r="BO19" i="224"/>
  <c r="BN19" i="224"/>
  <c r="BM19" i="224"/>
  <c r="BL19" i="224"/>
  <c r="BK19" i="224"/>
  <c r="BJ19" i="224"/>
  <c r="BI19" i="224"/>
  <c r="BH19" i="224"/>
  <c r="BG19" i="224"/>
  <c r="BF19" i="224"/>
  <c r="BE19" i="224"/>
  <c r="BD19" i="224"/>
  <c r="BC19" i="224"/>
  <c r="BB19" i="224"/>
  <c r="BA19" i="224"/>
  <c r="AZ19" i="224"/>
  <c r="AY19" i="224"/>
  <c r="AX19" i="224"/>
  <c r="AW19" i="224"/>
  <c r="AV19" i="224"/>
  <c r="AU19" i="224"/>
  <c r="AT19" i="224"/>
  <c r="AS19" i="224"/>
  <c r="AR19" i="224"/>
  <c r="AQ19" i="224"/>
  <c r="AP19" i="224"/>
  <c r="AO19" i="224"/>
  <c r="AN19" i="224"/>
  <c r="AM19" i="224"/>
  <c r="AH19" i="224"/>
  <c r="AG19" i="224"/>
  <c r="AF19" i="224"/>
  <c r="AE19" i="224"/>
  <c r="AD19" i="224"/>
  <c r="AC19" i="224"/>
  <c r="AB19" i="224"/>
  <c r="AA19" i="224"/>
  <c r="Z19" i="224"/>
  <c r="Y19" i="224"/>
  <c r="X19" i="224"/>
  <c r="W19" i="224"/>
  <c r="V19" i="224"/>
  <c r="U19" i="224"/>
  <c r="T19" i="224"/>
  <c r="S19" i="224"/>
  <c r="R19" i="224"/>
  <c r="Q19" i="224"/>
  <c r="P19" i="224"/>
  <c r="O19" i="224"/>
  <c r="N19" i="224"/>
  <c r="M19" i="224"/>
  <c r="L19" i="224"/>
  <c r="K19" i="224"/>
  <c r="J19" i="224"/>
  <c r="I19" i="224"/>
  <c r="H19" i="224"/>
  <c r="G19" i="224"/>
  <c r="F19" i="224"/>
  <c r="E19" i="224"/>
  <c r="D19" i="224"/>
  <c r="C19" i="224"/>
  <c r="D6" i="223"/>
  <c r="D5" i="223"/>
  <c r="F87" i="220"/>
  <c r="E87" i="220"/>
  <c r="D87" i="220"/>
  <c r="C87" i="220"/>
  <c r="F86" i="220"/>
  <c r="E86" i="220"/>
  <c r="D86" i="220"/>
  <c r="C5" i="229" s="1"/>
  <c r="C86" i="220"/>
  <c r="C4" i="229" s="1"/>
  <c r="C4" i="223" l="1"/>
  <c r="E4" i="223" s="1"/>
  <c r="H61" i="227"/>
  <c r="H56" i="227"/>
  <c r="H9" i="227"/>
  <c r="H58" i="227"/>
  <c r="H27" i="227"/>
  <c r="H29" i="227" s="1"/>
  <c r="H30" i="227"/>
  <c r="H59" i="227"/>
  <c r="H40" i="227"/>
  <c r="H25" i="227"/>
  <c r="J9" i="228"/>
  <c r="C6" i="229"/>
  <c r="E6" i="229" s="1"/>
  <c r="E88" i="220"/>
  <c r="C7" i="229"/>
  <c r="J88" i="220"/>
  <c r="F88" i="220"/>
  <c r="C88" i="220"/>
  <c r="F36" i="227"/>
  <c r="I33" i="227" s="1"/>
  <c r="D88" i="220"/>
  <c r="C6" i="223"/>
  <c r="E6" i="223" s="1"/>
  <c r="C8" i="223"/>
  <c r="E8" i="223" s="1"/>
  <c r="C5" i="223"/>
  <c r="E5" i="223" s="1"/>
  <c r="AI20" i="224"/>
  <c r="C7" i="223"/>
  <c r="E7" i="223" s="1"/>
  <c r="H60" i="227" l="1"/>
  <c r="F5" i="227"/>
  <c r="F18" i="227" s="1"/>
  <c r="G18" i="227" s="1"/>
  <c r="H18" i="227" s="1"/>
  <c r="C8" i="229"/>
  <c r="E7" i="229"/>
  <c r="F51" i="227"/>
  <c r="G52" i="227" s="1"/>
  <c r="G37" i="227"/>
  <c r="F49" i="227"/>
  <c r="G49" i="227" s="1"/>
  <c r="F53" i="227"/>
  <c r="F54" i="227"/>
  <c r="F44" i="227"/>
  <c r="G45" i="227" s="1"/>
  <c r="D5" i="229"/>
  <c r="E5" i="229" s="1"/>
  <c r="D4" i="229"/>
  <c r="E4" i="229" s="1"/>
  <c r="C9" i="223"/>
  <c r="E9" i="223"/>
  <c r="F20" i="227" l="1"/>
  <c r="G21" i="227" s="1"/>
  <c r="H20" i="227" s="1"/>
  <c r="F13" i="227"/>
  <c r="G14" i="227" s="1"/>
  <c r="H13" i="227" s="1"/>
  <c r="H17" i="227" s="1"/>
  <c r="I2" i="227"/>
  <c r="F23" i="227"/>
  <c r="G22" i="227" s="1"/>
  <c r="G6" i="227"/>
  <c r="H5" i="227" s="1"/>
  <c r="H8" i="227" s="1"/>
  <c r="F22" i="227"/>
  <c r="H44" i="227"/>
  <c r="H48" i="227" s="1"/>
  <c r="H49" i="227"/>
  <c r="H51" i="227"/>
  <c r="H36" i="227"/>
  <c r="H39" i="227" s="1"/>
  <c r="E8" i="229"/>
  <c r="G53" i="227"/>
  <c r="G55" i="227"/>
  <c r="G24" i="227" l="1"/>
  <c r="H23" i="227" s="1"/>
  <c r="H54" i="227"/>
  <c r="H22" i="227"/>
  <c r="H53" i="227"/>
  <c r="D18" i="272" l="1"/>
  <c r="D5" i="272" l="1"/>
  <c r="E5" i="272" s="1"/>
  <c r="F18" i="272"/>
  <c r="E18" i="272"/>
  <c r="D6" i="272"/>
  <c r="D17" i="272"/>
  <c r="F5" i="272" l="1"/>
  <c r="F6" i="272"/>
  <c r="E6" i="272"/>
  <c r="E13" i="272" s="1"/>
  <c r="D25" i="272"/>
  <c r="E15" i="272" s="1"/>
  <c r="F17" i="272"/>
  <c r="F25" i="272" s="1"/>
  <c r="E17" i="272"/>
  <c r="E25" i="272" s="1"/>
  <c r="D13" i="272"/>
  <c r="E3" i="272" s="1"/>
  <c r="F13" i="272" l="1"/>
  <c r="G14" i="272" s="1"/>
  <c r="E26" i="272"/>
  <c r="D26" i="272"/>
  <c r="D14" i="272"/>
  <c r="E14" i="272"/>
  <c r="G26" i="272"/>
  <c r="C8" i="269" l="1"/>
  <c r="C10" i="269"/>
  <c r="D42" i="272" l="1"/>
  <c r="E42" i="272" s="1"/>
  <c r="E9" i="269"/>
  <c r="F9" i="269"/>
  <c r="E11" i="269"/>
  <c r="F11" i="269"/>
  <c r="D43" i="272"/>
  <c r="D50" i="272" l="1"/>
  <c r="E40" i="272" s="1"/>
  <c r="F42" i="272"/>
  <c r="F43" i="272"/>
  <c r="E43" i="272"/>
  <c r="E50" i="272" s="1"/>
  <c r="F50" i="272" l="1"/>
  <c r="G51" i="272" s="1"/>
  <c r="E51" i="272"/>
  <c r="D51" i="272"/>
  <c r="H158" i="266"/>
  <c r="C160" i="266"/>
  <c r="J4" i="265" l="1"/>
  <c r="D9" i="265" s="1"/>
  <c r="J9" i="265" s="1"/>
  <c r="E8" i="209"/>
  <c r="AW8" i="209"/>
  <c r="G8" i="209"/>
  <c r="I5" i="265"/>
  <c r="N40" i="244" l="1"/>
  <c r="I4" i="265"/>
  <c r="AY6" i="209"/>
  <c r="G6" i="209"/>
  <c r="E6" i="209"/>
  <c r="K4" i="265"/>
  <c r="D10" i="265" s="1"/>
  <c r="J10" i="265" s="1"/>
  <c r="F4" i="265"/>
  <c r="AT6" i="209" l="1"/>
  <c r="AU6" i="209"/>
  <c r="N2" i="244"/>
  <c r="E275" i="266" l="1"/>
  <c r="H273" i="266"/>
  <c r="E5" i="265"/>
  <c r="D5" i="265"/>
  <c r="C8" i="288" s="1"/>
  <c r="C9" i="288" l="1"/>
  <c r="C10" i="288" s="1"/>
  <c r="C11" i="288" s="1"/>
  <c r="K5" i="265"/>
  <c r="D12" i="265" s="1"/>
  <c r="J12" i="265" s="1"/>
  <c r="C9" i="209"/>
  <c r="F5" i="265"/>
  <c r="M5" i="265" s="1"/>
  <c r="C11" i="209"/>
  <c r="J5" i="265"/>
  <c r="D11" i="265" s="1"/>
  <c r="J11" i="265" s="1"/>
  <c r="N2" i="245" l="1"/>
  <c r="AS10" i="209"/>
  <c r="C13" i="209"/>
  <c r="AS12" i="209"/>
  <c r="E10" i="209"/>
  <c r="G10" i="209"/>
  <c r="AY10" i="209"/>
  <c r="E12" i="209"/>
  <c r="AW12" i="209"/>
  <c r="G12" i="209"/>
  <c r="C16" i="209"/>
  <c r="N40" i="245"/>
  <c r="AT10" i="209" l="1"/>
  <c r="AU10" i="209"/>
  <c r="AS13" i="209"/>
  <c r="E6" i="207" s="1"/>
  <c r="E9" i="207" s="1"/>
  <c r="AV13" i="209"/>
  <c r="AX13" i="209"/>
  <c r="G6" i="207" s="1"/>
  <c r="G9" i="207" s="1"/>
  <c r="D13" i="209"/>
  <c r="B6" i="207" s="1"/>
  <c r="B9" i="207" s="1"/>
  <c r="F13" i="209"/>
  <c r="D6" i="207" s="1"/>
  <c r="D9" i="207" s="1"/>
  <c r="AT13" i="209" l="1"/>
  <c r="H6" i="207" s="1"/>
  <c r="H9" i="207" s="1"/>
  <c r="AU13" i="209"/>
  <c r="I6" i="207" s="1"/>
  <c r="I9" i="207" s="1"/>
  <c r="AV14" i="209"/>
  <c r="F6" i="207"/>
  <c r="F9" i="207" s="1"/>
  <c r="G11" i="207" l="1"/>
  <c r="D178" i="222"/>
  <c r="C4" i="222"/>
  <c r="C178" i="222" s="1"/>
  <c r="N178" i="222" l="1"/>
  <c r="Q4" i="235" s="1"/>
  <c r="G4" i="235"/>
  <c r="N4" i="222"/>
  <c r="O4" i="222" s="1"/>
  <c r="C179" i="222"/>
  <c r="D304" i="222"/>
  <c r="C6" i="269" s="1"/>
  <c r="F4" i="235"/>
  <c r="F17" i="235" s="1"/>
  <c r="G6" i="235" l="1"/>
  <c r="G10" i="235" s="1"/>
  <c r="G17" i="235"/>
  <c r="G6" i="288"/>
  <c r="I6" i="288" s="1"/>
  <c r="P4" i="235"/>
  <c r="F5" i="235"/>
  <c r="N179" i="222"/>
  <c r="Q5" i="235" s="1"/>
  <c r="Q178" i="222"/>
  <c r="Q304" i="222" s="1"/>
  <c r="C304" i="222"/>
  <c r="R304" i="222" s="1"/>
  <c r="S304" i="222" s="1"/>
  <c r="C16" i="269"/>
  <c r="C30" i="269" s="1"/>
  <c r="F7" i="269"/>
  <c r="F16" i="269" s="1"/>
  <c r="F30" i="269" s="1"/>
  <c r="E7" i="269"/>
  <c r="E16" i="269" s="1"/>
  <c r="E30" i="269" s="1"/>
  <c r="F6" i="235" l="1"/>
  <c r="F10" i="235" s="1"/>
  <c r="F19" i="235"/>
  <c r="G24" i="235"/>
  <c r="P5" i="235"/>
  <c r="P6" i="235" s="1"/>
  <c r="P10" i="235" s="1"/>
  <c r="G5" i="288"/>
  <c r="F24" i="235" l="1"/>
  <c r="R24" i="235" s="1"/>
  <c r="I5" i="288"/>
  <c r="I7" i="288" s="1"/>
  <c r="I11" i="288" s="1"/>
  <c r="G7" i="288"/>
  <c r="G11" i="288" s="1"/>
  <c r="AR6" i="207" l="1"/>
  <c r="AR9" i="207" s="1"/>
  <c r="S13" i="288"/>
  <c r="AV9" i="207"/>
  <c r="F6" i="288" l="1"/>
  <c r="V6" i="288" s="1"/>
  <c r="D4" i="235"/>
  <c r="D7" i="235"/>
  <c r="F9" i="288"/>
  <c r="V9" i="288" s="1"/>
  <c r="D7" i="288"/>
  <c r="F5" i="288"/>
  <c r="D5" i="235"/>
  <c r="D19" i="235" s="1"/>
  <c r="P19" i="235" s="1"/>
  <c r="D8" i="235"/>
  <c r="D23" i="235" s="1"/>
  <c r="P23" i="235" s="1"/>
  <c r="F8" i="288"/>
  <c r="D10" i="288"/>
  <c r="D11" i="288" l="1"/>
  <c r="AQ6" i="207" s="1"/>
  <c r="AQ9" i="207" s="1"/>
  <c r="AV11" i="207" s="1"/>
  <c r="V5" i="288"/>
  <c r="V7" i="288" s="1"/>
  <c r="F7" i="288"/>
  <c r="D21" i="235"/>
  <c r="P21" i="235" s="1"/>
  <c r="D9" i="235"/>
  <c r="D17" i="235"/>
  <c r="D6" i="235"/>
  <c r="V8" i="288"/>
  <c r="V10" i="288" s="1"/>
  <c r="F10" i="288"/>
  <c r="D10" i="235" l="1"/>
  <c r="D24" i="235"/>
  <c r="P17" i="235"/>
  <c r="P24" i="235" s="1"/>
  <c r="C7" i="207" s="1"/>
  <c r="C9" i="207" s="1"/>
  <c r="F11" i="288"/>
  <c r="V11" i="288"/>
</calcChain>
</file>

<file path=xl/sharedStrings.xml><?xml version="1.0" encoding="utf-8"?>
<sst xmlns="http://schemas.openxmlformats.org/spreadsheetml/2006/main" count="4838" uniqueCount="1550">
  <si>
    <t>계</t>
    <phoneticPr fontId="13" type="noConversion"/>
  </si>
  <si>
    <t>m3</t>
    <phoneticPr fontId="13" type="noConversion"/>
  </si>
  <si>
    <t>벽체</t>
    <phoneticPr fontId="13" type="noConversion"/>
  </si>
  <si>
    <t>바닥</t>
    <phoneticPr fontId="13" type="noConversion"/>
  </si>
  <si>
    <t>사다리</t>
    <phoneticPr fontId="13" type="noConversion"/>
  </si>
  <si>
    <t>EA</t>
    <phoneticPr fontId="13" type="noConversion"/>
  </si>
  <si>
    <t>공종</t>
    <phoneticPr fontId="13" type="noConversion"/>
  </si>
  <si>
    <t>맨홀뚜껑</t>
    <phoneticPr fontId="13" type="noConversion"/>
  </si>
  <si>
    <t>구 분</t>
    <phoneticPr fontId="13" type="noConversion"/>
  </si>
  <si>
    <t>25-21-12</t>
    <phoneticPr fontId="13" type="noConversion"/>
  </si>
  <si>
    <t>Φ648</t>
    <phoneticPr fontId="13" type="noConversion"/>
  </si>
  <si>
    <t>MH1</t>
    <phoneticPr fontId="13" type="noConversion"/>
  </si>
  <si>
    <t>보도</t>
    <phoneticPr fontId="13" type="noConversion"/>
  </si>
  <si>
    <t>차도</t>
    <phoneticPr fontId="13" type="noConversion"/>
  </si>
  <si>
    <t>높이조절용</t>
    <phoneticPr fontId="13" type="noConversion"/>
  </si>
  <si>
    <t>㎥</t>
    <phoneticPr fontId="13" type="noConversion"/>
  </si>
  <si>
    <t>/</t>
    <phoneticPr fontId="13" type="noConversion"/>
  </si>
  <si>
    <t>=</t>
    <phoneticPr fontId="13" type="noConversion"/>
  </si>
  <si>
    <t>㎥</t>
    <phoneticPr fontId="13" type="noConversion"/>
  </si>
  <si>
    <t>㎡</t>
    <phoneticPr fontId="13" type="noConversion"/>
  </si>
  <si>
    <t>높이조절용</t>
    <phoneticPr fontId="13" type="noConversion"/>
  </si>
  <si>
    <t>구  분</t>
    <phoneticPr fontId="13" type="noConversion"/>
  </si>
  <si>
    <t>비    고</t>
    <phoneticPr fontId="13" type="noConversion"/>
  </si>
  <si>
    <t>계</t>
    <phoneticPr fontId="13" type="noConversion"/>
  </si>
  <si>
    <t>차 도</t>
    <phoneticPr fontId="13" type="noConversion"/>
  </si>
  <si>
    <t>녹 지</t>
    <phoneticPr fontId="13" type="noConversion"/>
  </si>
  <si>
    <t>D200mm</t>
    <phoneticPr fontId="13" type="noConversion"/>
  </si>
  <si>
    <t>D300mm</t>
    <phoneticPr fontId="13" type="noConversion"/>
  </si>
  <si>
    <t>D400mm</t>
    <phoneticPr fontId="13" type="noConversion"/>
  </si>
  <si>
    <t>D500mm</t>
    <phoneticPr fontId="13" type="noConversion"/>
  </si>
  <si>
    <t>계</t>
    <phoneticPr fontId="21" type="noConversion"/>
  </si>
  <si>
    <t>노선명</t>
  </si>
  <si>
    <t>맨홀  No</t>
  </si>
  <si>
    <t>유 출 입 개 소</t>
    <phoneticPr fontId="13" type="noConversion"/>
  </si>
  <si>
    <t xml:space="preserve">비고 </t>
    <phoneticPr fontId="13" type="noConversion"/>
  </si>
  <si>
    <t>보 도</t>
    <phoneticPr fontId="13" type="noConversion"/>
  </si>
  <si>
    <t>D150</t>
    <phoneticPr fontId="13" type="noConversion"/>
  </si>
  <si>
    <t>D200</t>
    <phoneticPr fontId="13" type="noConversion"/>
  </si>
  <si>
    <t>D300</t>
    <phoneticPr fontId="13" type="noConversion"/>
  </si>
  <si>
    <t>D400</t>
    <phoneticPr fontId="13" type="noConversion"/>
  </si>
  <si>
    <t>D500</t>
    <phoneticPr fontId="13" type="noConversion"/>
  </si>
  <si>
    <t>지우지 말 것</t>
    <phoneticPr fontId="13" type="noConversion"/>
  </si>
  <si>
    <t>入</t>
    <phoneticPr fontId="13" type="noConversion"/>
  </si>
  <si>
    <t>出</t>
    <phoneticPr fontId="13" type="noConversion"/>
  </si>
  <si>
    <t>특MH2</t>
    <phoneticPr fontId="13" type="noConversion"/>
  </si>
  <si>
    <t>합  계</t>
    <phoneticPr fontId="13" type="noConversion"/>
  </si>
  <si>
    <t>개소</t>
    <phoneticPr fontId="13" type="noConversion"/>
  </si>
  <si>
    <t>원형1호맨홀</t>
    <phoneticPr fontId="13" type="noConversion"/>
  </si>
  <si>
    <t>맨홀접속부(성토부) 잡석수량 집계표</t>
    <phoneticPr fontId="13" type="noConversion"/>
  </si>
  <si>
    <t>관  경</t>
    <phoneticPr fontId="13" type="noConversion"/>
  </si>
  <si>
    <t>유출입 개소</t>
    <phoneticPr fontId="13" type="noConversion"/>
  </si>
  <si>
    <t>단위수량</t>
    <phoneticPr fontId="13" type="noConversion"/>
  </si>
  <si>
    <t>수 량</t>
    <phoneticPr fontId="13" type="noConversion"/>
  </si>
  <si>
    <t>mm</t>
    <phoneticPr fontId="13" type="noConversion"/>
  </si>
  <si>
    <t>EA</t>
    <phoneticPr fontId="13" type="noConversion"/>
  </si>
  <si>
    <t>잡   석
(Φ40mm)</t>
    <phoneticPr fontId="13" type="noConversion"/>
  </si>
  <si>
    <t>D200</t>
    <phoneticPr fontId="13" type="noConversion"/>
  </si>
  <si>
    <t>D300</t>
    <phoneticPr fontId="13" type="noConversion"/>
  </si>
  <si>
    <t>D400</t>
    <phoneticPr fontId="13" type="noConversion"/>
  </si>
  <si>
    <t>D500</t>
    <phoneticPr fontId="13" type="noConversion"/>
  </si>
  <si>
    <t>D700</t>
    <phoneticPr fontId="13" type="noConversion"/>
  </si>
  <si>
    <t>※ 연결관(D150mm, 12EA)은 미적용함.</t>
    <phoneticPr fontId="13" type="noConversion"/>
  </si>
  <si>
    <t>D700</t>
    <phoneticPr fontId="13" type="noConversion"/>
  </si>
  <si>
    <t>소(국)2-32</t>
    <phoneticPr fontId="13" type="noConversion"/>
  </si>
  <si>
    <t>MH1-034</t>
  </si>
  <si>
    <t>소(국)1-40</t>
    <phoneticPr fontId="13" type="noConversion"/>
  </si>
  <si>
    <t>MH1-035</t>
  </si>
  <si>
    <t>MH1-036</t>
  </si>
  <si>
    <t>MH1-037</t>
  </si>
  <si>
    <t>MH1-039</t>
  </si>
  <si>
    <t>MH1-040</t>
  </si>
  <si>
    <t>소(국)2-31</t>
    <phoneticPr fontId="13" type="noConversion"/>
  </si>
  <si>
    <t>MH1-042</t>
  </si>
  <si>
    <t>MH1-043</t>
  </si>
  <si>
    <t>소(국)2-35</t>
    <phoneticPr fontId="13" type="noConversion"/>
  </si>
  <si>
    <t>MH1-066</t>
  </si>
  <si>
    <t>MH1-067</t>
  </si>
  <si>
    <t>소(국)2-13</t>
    <phoneticPr fontId="13" type="noConversion"/>
  </si>
  <si>
    <t>MH1-118</t>
  </si>
  <si>
    <t>MH1-119</t>
  </si>
  <si>
    <t>중(집)2-25</t>
    <phoneticPr fontId="13" type="noConversion"/>
  </si>
  <si>
    <t>MH1-141</t>
  </si>
  <si>
    <t>MH1-144</t>
  </si>
  <si>
    <t>MH2</t>
    <phoneticPr fontId="13" type="noConversion"/>
  </si>
  <si>
    <t>맨홀접속부(성토부) 잡석 단위수량</t>
    <phoneticPr fontId="13" type="noConversion"/>
  </si>
  <si>
    <t>맨홀 유출입 1개소당</t>
    <phoneticPr fontId="13" type="noConversion"/>
  </si>
  <si>
    <t>산      출      근      거</t>
    <phoneticPr fontId="13" type="noConversion"/>
  </si>
  <si>
    <t>단위</t>
    <phoneticPr fontId="13" type="noConversion"/>
  </si>
  <si>
    <t>수     량</t>
    <phoneticPr fontId="13" type="noConversion"/>
  </si>
  <si>
    <t>비     고</t>
    <phoneticPr fontId="13" type="noConversion"/>
  </si>
  <si>
    <t>{(2.0 x 1.7) + (0.8 x 0.2)} x 0.5 x 0.6 -
(0.15 x 0.25 + 0.25 x 0.2)</t>
    <phoneticPr fontId="13" type="noConversion"/>
  </si>
  <si>
    <t>{(2.1 x 1.7) + (0.8 x 0.3)} x 0.5 x 0.6 -
(0.15 x 0.25 + 0.25 x 0.2)</t>
    <phoneticPr fontId="13" type="noConversion"/>
  </si>
  <si>
    <t>{(2.2 x 1.7) + (0.8 x 0.4)} x 0.5 x 0.6 -
(0.15 x 0.25 + 0.25 x 0.2)</t>
    <phoneticPr fontId="13" type="noConversion"/>
  </si>
  <si>
    <t>{(2.3 x 1.7) + (0.8 x 0.5)} x 0.5 x 0.6 -
(0.15 x 0.25 + 0.25 x 0.2)</t>
    <phoneticPr fontId="13" type="noConversion"/>
  </si>
  <si>
    <t>D700mm</t>
    <phoneticPr fontId="13" type="noConversion"/>
  </si>
  <si>
    <t>{(2.5 x 1.7) + (0.8 x 0.7)} x 0.5 x 0.6 -
(0.15 x 0.25 + 0.25 x 0.2)</t>
    <phoneticPr fontId="13" type="noConversion"/>
  </si>
  <si>
    <t>각형맨홀 2호 (1200x1200) - 차도측</t>
    <phoneticPr fontId="13" type="noConversion"/>
  </si>
  <si>
    <t>규    격</t>
    <phoneticPr fontId="13" type="noConversion"/>
  </si>
  <si>
    <t>단  위</t>
    <phoneticPr fontId="13" type="noConversion"/>
  </si>
  <si>
    <t>수    량</t>
    <phoneticPr fontId="13" type="noConversion"/>
  </si>
  <si>
    <t>결    과</t>
    <phoneticPr fontId="13" type="noConversion"/>
  </si>
  <si>
    <t>레
미
콘</t>
    <phoneticPr fontId="13" type="noConversion"/>
  </si>
  <si>
    <t>슬라브</t>
    <phoneticPr fontId="13" type="noConversion"/>
  </si>
  <si>
    <t>구체</t>
    <phoneticPr fontId="13" type="noConversion"/>
  </si>
  <si>
    <t>소계</t>
    <phoneticPr fontId="13" type="noConversion"/>
  </si>
  <si>
    <t>높이 조절용</t>
    <phoneticPr fontId="13" type="noConversion"/>
  </si>
  <si>
    <t>합판 4회</t>
    <phoneticPr fontId="13" type="noConversion"/>
  </si>
  <si>
    <t>수평</t>
    <phoneticPr fontId="13" type="noConversion"/>
  </si>
  <si>
    <t>벽     체</t>
    <phoneticPr fontId="13" type="noConversion"/>
  </si>
  <si>
    <t>수직(내측)</t>
    <phoneticPr fontId="13" type="noConversion"/>
  </si>
  <si>
    <t>소     계</t>
    <phoneticPr fontId="13" type="noConversion"/>
  </si>
  <si>
    <t xml:space="preserve"> </t>
    <phoneticPr fontId="13" type="noConversion"/>
  </si>
  <si>
    <t>nr</t>
    <phoneticPr fontId="13" type="noConversion"/>
  </si>
  <si>
    <t>(H'-0.60)/0.3</t>
    <phoneticPr fontId="13" type="noConversion"/>
  </si>
  <si>
    <t>동바리</t>
  </si>
  <si>
    <t>강    관</t>
  </si>
  <si>
    <t>공/㎥</t>
  </si>
  <si>
    <t>T=80mm</t>
  </si>
  <si>
    <t>ton</t>
  </si>
  <si>
    <t>개</t>
  </si>
  <si>
    <t>거
푸
집</t>
    <phoneticPr fontId="13" type="noConversion"/>
  </si>
  <si>
    <t>합판</t>
    <phoneticPr fontId="13" type="noConversion"/>
  </si>
  <si>
    <t>슬 라 브</t>
    <phoneticPr fontId="13" type="noConversion"/>
  </si>
  <si>
    <t>㎡</t>
    <phoneticPr fontId="13" type="noConversion"/>
  </si>
  <si>
    <t>수직(외측)</t>
    <phoneticPr fontId="13" type="noConversion"/>
  </si>
  <si>
    <t>바    닥</t>
    <phoneticPr fontId="13" type="noConversion"/>
  </si>
  <si>
    <t>제    품</t>
    <phoneticPr fontId="13" type="noConversion"/>
  </si>
  <si>
    <t>㎡</t>
  </si>
  <si>
    <t>㎥</t>
  </si>
  <si>
    <t>각형맨홀 2호 (1200x1200)</t>
    <phoneticPr fontId="13" type="noConversion"/>
  </si>
  <si>
    <t>{(1.8×1.8) - (1.2×1.2)}×1.0</t>
    <phoneticPr fontId="13" type="noConversion"/>
  </si>
  <si>
    <t>2.0×2.0×0.3</t>
    <phoneticPr fontId="13" type="noConversion"/>
  </si>
  <si>
    <t>1.8×0.30×4개</t>
    <phoneticPr fontId="13" type="noConversion"/>
  </si>
  <si>
    <t>2.0×0.3×4개</t>
    <phoneticPr fontId="13" type="noConversion"/>
  </si>
  <si>
    <t>π×0.6×0.30</t>
    <phoneticPr fontId="13" type="noConversion"/>
  </si>
  <si>
    <t>{(π×1.00) + (π×0.60)} × 0.075</t>
    <phoneticPr fontId="13" type="noConversion"/>
  </si>
  <si>
    <t>(단위 : 1개)</t>
    <phoneticPr fontId="13" type="noConversion"/>
  </si>
  <si>
    <t>공             종</t>
    <phoneticPr fontId="13" type="noConversion"/>
  </si>
  <si>
    <t>산      출     근      거</t>
    <phoneticPr fontId="13" type="noConversion"/>
  </si>
  <si>
    <t>결       과</t>
    <phoneticPr fontId="13" type="noConversion"/>
  </si>
  <si>
    <t>비       고</t>
    <phoneticPr fontId="13" type="noConversion"/>
  </si>
  <si>
    <t>레
미
콘</t>
    <phoneticPr fontId="13" type="noConversion"/>
  </si>
  <si>
    <t>슬라브
(25-21-12)</t>
    <phoneticPr fontId="13" type="noConversion"/>
  </si>
  <si>
    <r>
      <t>{(18×1.8) - (π×0.60</t>
    </r>
    <r>
      <rPr>
        <vertAlign val="superscript"/>
        <sz val="10"/>
        <rFont val="돋움체"/>
        <family val="3"/>
        <charset val="129"/>
      </rPr>
      <t>2</t>
    </r>
    <r>
      <rPr>
        <sz val="10"/>
        <rFont val="돋움체"/>
        <family val="3"/>
        <charset val="129"/>
      </rPr>
      <t>)/4}×0.3</t>
    </r>
    <phoneticPr fontId="13" type="noConversion"/>
  </si>
  <si>
    <t>벽체
(25-21-12)</t>
    <phoneticPr fontId="13" type="noConversion"/>
  </si>
  <si>
    <t>H'=1.0m당</t>
    <phoneticPr fontId="13" type="noConversion"/>
  </si>
  <si>
    <t>바닥
(25-21-12)</t>
    <phoneticPr fontId="13" type="noConversion"/>
  </si>
  <si>
    <r>
      <t>[{(π×1.00</t>
    </r>
    <r>
      <rPr>
        <vertAlign val="superscript"/>
        <sz val="9"/>
        <rFont val="돋움체"/>
        <family val="3"/>
        <charset val="129"/>
      </rPr>
      <t>²</t>
    </r>
    <r>
      <rPr>
        <sz val="9"/>
        <rFont val="돋움체"/>
        <family val="3"/>
        <charset val="129"/>
      </rPr>
      <t>) - (π×0.60</t>
    </r>
    <r>
      <rPr>
        <vertAlign val="superscript"/>
        <sz val="9"/>
        <rFont val="돋움체"/>
        <family val="3"/>
        <charset val="129"/>
      </rPr>
      <t>²</t>
    </r>
    <r>
      <rPr>
        <sz val="9"/>
        <rFont val="돋움체"/>
        <family val="3"/>
        <charset val="129"/>
      </rPr>
      <t>)}/4×0.075]</t>
    </r>
    <phoneticPr fontId="13" type="noConversion"/>
  </si>
  <si>
    <t>거
푸
집</t>
    <phoneticPr fontId="13" type="noConversion"/>
  </si>
  <si>
    <t>슬 라 브
(합판 4회)</t>
    <phoneticPr fontId="13" type="noConversion"/>
  </si>
  <si>
    <r>
      <t>1.2×1.2-(π×0.60</t>
    </r>
    <r>
      <rPr>
        <vertAlign val="superscript"/>
        <sz val="10"/>
        <rFont val="돋움체"/>
        <family val="3"/>
        <charset val="129"/>
      </rPr>
      <t>2</t>
    </r>
    <r>
      <rPr>
        <sz val="10"/>
        <rFont val="돋움체"/>
        <family val="3"/>
        <charset val="129"/>
      </rPr>
      <t>)/4</t>
    </r>
    <phoneticPr fontId="13" type="noConversion"/>
  </si>
  <si>
    <t>수평</t>
    <phoneticPr fontId="13" type="noConversion"/>
  </si>
  <si>
    <t>수직(외측)</t>
    <phoneticPr fontId="13" type="noConversion"/>
  </si>
  <si>
    <t>바   닥
(합판 4회)</t>
    <phoneticPr fontId="13" type="noConversion"/>
  </si>
  <si>
    <t>벽   체
(합판 4회)</t>
    <phoneticPr fontId="13" type="noConversion"/>
  </si>
  <si>
    <t>1.2×1.0×4개 + 1.8×1.0×4개</t>
    <phoneticPr fontId="13" type="noConversion"/>
  </si>
  <si>
    <t>슬 라 브
((합판 4회)</t>
    <phoneticPr fontId="13" type="noConversion"/>
  </si>
  <si>
    <t>수직(내측)</t>
    <phoneticPr fontId="13" type="noConversion"/>
  </si>
  <si>
    <t>높이조절용
(합판 4회)</t>
    <phoneticPr fontId="13" type="noConversion"/>
  </si>
  <si>
    <t xml:space="preserve"> </t>
    <phoneticPr fontId="13" type="noConversion"/>
  </si>
  <si>
    <t>사다리
( 제    품 )</t>
    <phoneticPr fontId="13" type="noConversion"/>
  </si>
  <si>
    <t>(H-0.60)/0.3</t>
    <phoneticPr fontId="13" type="noConversion"/>
  </si>
  <si>
    <t>동바리(강관)</t>
    <phoneticPr fontId="13" type="noConversion"/>
  </si>
  <si>
    <r>
      <t>{(1.2×1.2) - (π×0.60</t>
    </r>
    <r>
      <rPr>
        <vertAlign val="superscript"/>
        <sz val="10"/>
        <rFont val="돋움체"/>
        <family val="3"/>
        <charset val="129"/>
      </rPr>
      <t>2</t>
    </r>
    <r>
      <rPr>
        <sz val="10"/>
        <rFont val="돋움체"/>
        <family val="3"/>
        <charset val="129"/>
      </rPr>
      <t>)/4} × 1.0</t>
    </r>
    <phoneticPr fontId="13" type="noConversion"/>
  </si>
  <si>
    <t>슬래브</t>
    <phoneticPr fontId="13" type="noConversion"/>
  </si>
  <si>
    <t>기  성  제  품</t>
    <phoneticPr fontId="13" type="noConversion"/>
  </si>
  <si>
    <t>잡석(D150mm)</t>
    <phoneticPr fontId="13" type="noConversion"/>
  </si>
  <si>
    <t>2.2×2.2×0.2</t>
    <phoneticPr fontId="13" type="noConversion"/>
  </si>
  <si>
    <t>(단위 : 1개)</t>
    <phoneticPr fontId="13" type="noConversion"/>
  </si>
  <si>
    <t>공             종</t>
    <phoneticPr fontId="13" type="noConversion"/>
  </si>
  <si>
    <t>산      출     근      거</t>
    <phoneticPr fontId="13" type="noConversion"/>
  </si>
  <si>
    <t>결       과</t>
    <phoneticPr fontId="13" type="noConversion"/>
  </si>
  <si>
    <t>비       고</t>
    <phoneticPr fontId="13" type="noConversion"/>
  </si>
  <si>
    <t>레
미
콘</t>
    <phoneticPr fontId="13" type="noConversion"/>
  </si>
  <si>
    <t>슬라브
(25-21-12)</t>
    <phoneticPr fontId="13" type="noConversion"/>
  </si>
  <si>
    <r>
      <t>{(18×1.8) - (π×0.60</t>
    </r>
    <r>
      <rPr>
        <vertAlign val="superscript"/>
        <sz val="10"/>
        <rFont val="돋움체"/>
        <family val="3"/>
        <charset val="129"/>
      </rPr>
      <t>2</t>
    </r>
    <r>
      <rPr>
        <sz val="10"/>
        <rFont val="돋움체"/>
        <family val="3"/>
        <charset val="129"/>
      </rPr>
      <t>)/4}×0.3</t>
    </r>
    <phoneticPr fontId="13" type="noConversion"/>
  </si>
  <si>
    <t>벽체
(25-21-12)</t>
    <phoneticPr fontId="13" type="noConversion"/>
  </si>
  <si>
    <t>{(1.8×1.8) - (1.2×1.2)}×1.0</t>
    <phoneticPr fontId="13" type="noConversion"/>
  </si>
  <si>
    <t>H'=1.0m당</t>
    <phoneticPr fontId="13" type="noConversion"/>
  </si>
  <si>
    <t>바닥
(25-21-12)</t>
    <phoneticPr fontId="13" type="noConversion"/>
  </si>
  <si>
    <t>2.0×2.0×0.3</t>
    <phoneticPr fontId="13" type="noConversion"/>
  </si>
  <si>
    <r>
      <t>[{(π×1.00</t>
    </r>
    <r>
      <rPr>
        <vertAlign val="superscript"/>
        <sz val="9"/>
        <rFont val="돋움체"/>
        <family val="3"/>
        <charset val="129"/>
      </rPr>
      <t>²</t>
    </r>
    <r>
      <rPr>
        <sz val="9"/>
        <rFont val="돋움체"/>
        <family val="3"/>
        <charset val="129"/>
      </rPr>
      <t>) - (π×0.60</t>
    </r>
    <r>
      <rPr>
        <vertAlign val="superscript"/>
        <sz val="9"/>
        <rFont val="돋움체"/>
        <family val="3"/>
        <charset val="129"/>
      </rPr>
      <t>²</t>
    </r>
    <r>
      <rPr>
        <sz val="9"/>
        <rFont val="돋움체"/>
        <family val="3"/>
        <charset val="129"/>
      </rPr>
      <t>)}/4×0.075]</t>
    </r>
    <phoneticPr fontId="13" type="noConversion"/>
  </si>
  <si>
    <t>거
푸
집</t>
    <phoneticPr fontId="13" type="noConversion"/>
  </si>
  <si>
    <t>슬 라 브
(합판 4회)</t>
    <phoneticPr fontId="13" type="noConversion"/>
  </si>
  <si>
    <r>
      <t>1.2×1.2-(π×0.60</t>
    </r>
    <r>
      <rPr>
        <vertAlign val="superscript"/>
        <sz val="10"/>
        <rFont val="돋움체"/>
        <family val="3"/>
        <charset val="129"/>
      </rPr>
      <t>2</t>
    </r>
    <r>
      <rPr>
        <sz val="10"/>
        <rFont val="돋움체"/>
        <family val="3"/>
        <charset val="129"/>
      </rPr>
      <t>)/4</t>
    </r>
    <phoneticPr fontId="13" type="noConversion"/>
  </si>
  <si>
    <t>수평</t>
    <phoneticPr fontId="13" type="noConversion"/>
  </si>
  <si>
    <t>1.8×0.30×4개</t>
    <phoneticPr fontId="13" type="noConversion"/>
  </si>
  <si>
    <t>수직(외측)</t>
    <phoneticPr fontId="13" type="noConversion"/>
  </si>
  <si>
    <t>바   닥
(합판 4회)</t>
    <phoneticPr fontId="13" type="noConversion"/>
  </si>
  <si>
    <t>2.0×0.3×4개</t>
    <phoneticPr fontId="13" type="noConversion"/>
  </si>
  <si>
    <t>벽   체
(합판 4회)</t>
    <phoneticPr fontId="13" type="noConversion"/>
  </si>
  <si>
    <t>1.2×1.0×4개 + 1.8×1.0×4개</t>
    <phoneticPr fontId="13" type="noConversion"/>
  </si>
  <si>
    <t>슬 라 브
((합판 4회)</t>
    <phoneticPr fontId="13" type="noConversion"/>
  </si>
  <si>
    <t>π×0.6×0.30</t>
    <phoneticPr fontId="13" type="noConversion"/>
  </si>
  <si>
    <t>개</t>
    <phoneticPr fontId="13" type="noConversion"/>
  </si>
  <si>
    <t>수직(내측)</t>
    <phoneticPr fontId="13" type="noConversion"/>
  </si>
  <si>
    <t>높이조절용
(합판 4회)</t>
    <phoneticPr fontId="13" type="noConversion"/>
  </si>
  <si>
    <t>{(π×1.00) + (π×0.60)} × 0.075</t>
    <phoneticPr fontId="13" type="noConversion"/>
  </si>
  <si>
    <t xml:space="preserve"> </t>
    <phoneticPr fontId="13" type="noConversion"/>
  </si>
  <si>
    <t>사다리
( 제    품 )</t>
    <phoneticPr fontId="13" type="noConversion"/>
  </si>
  <si>
    <t>(H-0.60)/0.3</t>
    <phoneticPr fontId="13" type="noConversion"/>
  </si>
  <si>
    <t>동바리(강관)</t>
    <phoneticPr fontId="13" type="noConversion"/>
  </si>
  <si>
    <r>
      <t>{(1.2×1.2) - (π×0.60</t>
    </r>
    <r>
      <rPr>
        <vertAlign val="superscript"/>
        <sz val="10"/>
        <rFont val="돋움체"/>
        <family val="3"/>
        <charset val="129"/>
      </rPr>
      <t>2</t>
    </r>
    <r>
      <rPr>
        <sz val="10"/>
        <rFont val="돋움체"/>
        <family val="3"/>
        <charset val="129"/>
      </rPr>
      <t>)/4} × 1.0</t>
    </r>
    <phoneticPr fontId="13" type="noConversion"/>
  </si>
  <si>
    <t>H'=1.0m당</t>
    <phoneticPr fontId="13" type="noConversion"/>
  </si>
  <si>
    <t>각형맨홀 2호 (1200x1200) 단위수량 - 차도측</t>
    <phoneticPr fontId="13" type="noConversion"/>
  </si>
  <si>
    <t>각형맨홀 2호 (1200x1200) 단위수량 - 보도측</t>
    <phoneticPr fontId="13" type="noConversion"/>
  </si>
  <si>
    <t>(1.80×1.80-π×0.60×0.60/4)+(2.0×2.0)</t>
    <phoneticPr fontId="13" type="noConversion"/>
  </si>
  <si>
    <t>소(국)1-4</t>
  </si>
  <si>
    <t>소(국)1-6</t>
  </si>
  <si>
    <t>유입</t>
    <phoneticPr fontId="13" type="noConversion"/>
  </si>
  <si>
    <t>유출</t>
    <phoneticPr fontId="13" type="noConversion"/>
  </si>
  <si>
    <t>원형1호
맨   홀</t>
    <phoneticPr fontId="13" type="noConversion"/>
  </si>
  <si>
    <t>도 로 명</t>
    <phoneticPr fontId="13" type="noConversion"/>
  </si>
  <si>
    <t>맨홀번호</t>
    <phoneticPr fontId="13" type="noConversion"/>
  </si>
  <si>
    <t>맨 홀 높 이</t>
    <phoneticPr fontId="13" type="noConversion"/>
  </si>
  <si>
    <t xml:space="preserve">비 고 </t>
    <phoneticPr fontId="13" type="noConversion"/>
  </si>
  <si>
    <t xml:space="preserve">원형1호 </t>
    <phoneticPr fontId="13" type="noConversion"/>
  </si>
  <si>
    <t>보 도</t>
    <phoneticPr fontId="13" type="noConversion"/>
  </si>
  <si>
    <t>차 도</t>
    <phoneticPr fontId="13" type="noConversion"/>
  </si>
  <si>
    <t>합  계</t>
    <phoneticPr fontId="13" type="noConversion"/>
  </si>
  <si>
    <t>개소</t>
    <phoneticPr fontId="13" type="noConversion"/>
  </si>
  <si>
    <t>높이(m)</t>
    <phoneticPr fontId="13" type="noConversion"/>
  </si>
  <si>
    <t>평균
높이(m)</t>
    <phoneticPr fontId="13" type="noConversion"/>
  </si>
  <si>
    <t>성토부</t>
  </si>
  <si>
    <t>성토부</t>
    <phoneticPr fontId="13" type="noConversion"/>
  </si>
  <si>
    <t>성토부</t>
    <phoneticPr fontId="13" type="noConversion"/>
  </si>
  <si>
    <t>성토부 맨홀 잡석수량 집계표</t>
    <phoneticPr fontId="13" type="noConversion"/>
  </si>
  <si>
    <t>구            분</t>
    <phoneticPr fontId="13" type="noConversion"/>
  </si>
  <si>
    <t>수 량</t>
    <phoneticPr fontId="13" type="noConversion"/>
  </si>
  <si>
    <t>원형1호
맨   홀</t>
    <phoneticPr fontId="13" type="noConversion"/>
  </si>
  <si>
    <t>보  도</t>
    <phoneticPr fontId="13" type="noConversion"/>
  </si>
  <si>
    <t>차  도</t>
    <phoneticPr fontId="13" type="noConversion"/>
  </si>
  <si>
    <t>맨홀개소</t>
    <phoneticPr fontId="13" type="noConversion"/>
  </si>
  <si>
    <t>평균높이</t>
    <phoneticPr fontId="13" type="noConversion"/>
  </si>
  <si>
    <t>㎡</t>
    <phoneticPr fontId="13" type="noConversion"/>
  </si>
  <si>
    <t>T=80mm</t>
    <phoneticPr fontId="13" type="noConversion"/>
  </si>
  <si>
    <t>철    근
(SD-30)</t>
    <phoneticPr fontId="13" type="noConversion"/>
  </si>
  <si>
    <t>D19</t>
    <phoneticPr fontId="13" type="noConversion"/>
  </si>
  <si>
    <t>D16</t>
    <phoneticPr fontId="13" type="noConversion"/>
  </si>
  <si>
    <t>D13</t>
    <phoneticPr fontId="13" type="noConversion"/>
  </si>
  <si>
    <t>소계</t>
    <phoneticPr fontId="13" type="noConversion"/>
  </si>
  <si>
    <t>뚜껑</t>
    <phoneticPr fontId="13" type="noConversion"/>
  </si>
  <si>
    <t>잡석</t>
    <phoneticPr fontId="13" type="noConversion"/>
  </si>
  <si>
    <t>D150mm</t>
    <phoneticPr fontId="13" type="noConversion"/>
  </si>
  <si>
    <t>㎥</t>
    <phoneticPr fontId="13" type="noConversion"/>
  </si>
  <si>
    <t>규    격</t>
    <phoneticPr fontId="13" type="noConversion"/>
  </si>
  <si>
    <t>단  위</t>
    <phoneticPr fontId="13" type="noConversion"/>
  </si>
  <si>
    <t>평균높이</t>
    <phoneticPr fontId="13" type="noConversion"/>
  </si>
  <si>
    <t>수    량</t>
    <phoneticPr fontId="13" type="noConversion"/>
  </si>
  <si>
    <t>결    과</t>
    <phoneticPr fontId="13" type="noConversion"/>
  </si>
  <si>
    <t>비    고</t>
    <phoneticPr fontId="13" type="noConversion"/>
  </si>
  <si>
    <t>레
미
콘</t>
    <phoneticPr fontId="13" type="noConversion"/>
  </si>
  <si>
    <t>슬라브</t>
    <phoneticPr fontId="13" type="noConversion"/>
  </si>
  <si>
    <t>25-21-12</t>
    <phoneticPr fontId="13" type="noConversion"/>
  </si>
  <si>
    <t>구체</t>
    <phoneticPr fontId="13" type="noConversion"/>
  </si>
  <si>
    <t>벽체</t>
    <phoneticPr fontId="13" type="noConversion"/>
  </si>
  <si>
    <t>바닥</t>
    <phoneticPr fontId="13" type="noConversion"/>
  </si>
  <si>
    <t>높이 조절용</t>
    <phoneticPr fontId="13" type="noConversion"/>
  </si>
  <si>
    <t>거
푸
집</t>
    <phoneticPr fontId="13" type="noConversion"/>
  </si>
  <si>
    <t>합판</t>
    <phoneticPr fontId="13" type="noConversion"/>
  </si>
  <si>
    <t>슬 라 브</t>
    <phoneticPr fontId="13" type="noConversion"/>
  </si>
  <si>
    <t>합판 4회</t>
    <phoneticPr fontId="13" type="noConversion"/>
  </si>
  <si>
    <t>㎡</t>
    <phoneticPr fontId="13" type="noConversion"/>
  </si>
  <si>
    <t>수평</t>
    <phoneticPr fontId="13" type="noConversion"/>
  </si>
  <si>
    <t>수직(외측)</t>
    <phoneticPr fontId="13" type="noConversion"/>
  </si>
  <si>
    <t>바    닥</t>
    <phoneticPr fontId="13" type="noConversion"/>
  </si>
  <si>
    <t>벽     체</t>
    <phoneticPr fontId="13" type="noConversion"/>
  </si>
  <si>
    <t>높이조절용</t>
    <phoneticPr fontId="13" type="noConversion"/>
  </si>
  <si>
    <t>소    계</t>
    <phoneticPr fontId="13" type="noConversion"/>
  </si>
  <si>
    <t>사다리</t>
    <phoneticPr fontId="13" type="noConversion"/>
  </si>
  <si>
    <t>제    품</t>
    <phoneticPr fontId="13" type="noConversion"/>
  </si>
  <si>
    <t>(H'-0.60)/0.3</t>
    <phoneticPr fontId="13" type="noConversion"/>
  </si>
  <si>
    <t>각형맨홀 2호 (1200x1200) - 보도측</t>
    <phoneticPr fontId="13" type="noConversion"/>
  </si>
  <si>
    <t>보도용 주철 맨홀뚜껑
(800x800x60,φ648)</t>
    <phoneticPr fontId="13" type="noConversion"/>
  </si>
  <si>
    <t>주철 맨홀뚜껑
(800x800,φ648)</t>
    <phoneticPr fontId="13" type="noConversion"/>
  </si>
  <si>
    <t>공        종</t>
    <phoneticPr fontId="13" type="noConversion"/>
  </si>
  <si>
    <t>수량
(EA)</t>
    <phoneticPr fontId="13" type="noConversion"/>
  </si>
  <si>
    <t>콘크리트</t>
    <phoneticPr fontId="13" type="noConversion"/>
  </si>
  <si>
    <t>철근받침대(수평)</t>
    <phoneticPr fontId="13" type="noConversion"/>
  </si>
  <si>
    <t>(1.2 × 1.0 × 4개) + (1.2 × 1.0 × 4개)</t>
    <phoneticPr fontId="13" type="noConversion"/>
  </si>
  <si>
    <t>철근받침대(수직)</t>
    <phoneticPr fontId="13" type="noConversion"/>
  </si>
  <si>
    <t>철근받침대(수평)</t>
    <phoneticPr fontId="13" type="noConversion"/>
  </si>
  <si>
    <t>비 계</t>
    <phoneticPr fontId="13" type="noConversion"/>
  </si>
  <si>
    <t>(2.0 x 4ea) x (H - 0.5)</t>
    <phoneticPr fontId="13" type="noConversion"/>
  </si>
  <si>
    <t>비  계</t>
    <phoneticPr fontId="13" type="noConversion"/>
  </si>
  <si>
    <t>높이 조절용
fck=21MPa</t>
  </si>
  <si>
    <t>높이 조절용
fck=21MPa</t>
    <phoneticPr fontId="13" type="noConversion"/>
  </si>
  <si>
    <t>콘크리트
fck=21MPa</t>
    <phoneticPr fontId="13" type="noConversion"/>
  </si>
  <si>
    <t>콘크리트
fck=21MPa</t>
    <phoneticPr fontId="13" type="noConversion"/>
  </si>
  <si>
    <t>fck=21MPa</t>
    <phoneticPr fontId="13" type="noConversion"/>
  </si>
  <si>
    <t>fck=
21MPa</t>
    <phoneticPr fontId="18" type="noConversion"/>
  </si>
  <si>
    <t>결과 (M3)</t>
    <phoneticPr fontId="13" type="noConversion"/>
  </si>
  <si>
    <t>구분</t>
    <phoneticPr fontId="21" type="noConversion"/>
  </si>
  <si>
    <t>맨홀 이음부 몰탈 수량산출</t>
    <phoneticPr fontId="21" type="noConversion"/>
  </si>
  <si>
    <t>산 출 근 거</t>
  </si>
  <si>
    <t>2T+D</t>
  </si>
  <si>
    <t>T</t>
  </si>
  <si>
    <t>관경</t>
  </si>
  <si>
    <t xml:space="preserve">   몰탈(1:2) = πx0.05²/4xπx(2T+D)</t>
  </si>
  <si>
    <t>D16 : 도면 참조</t>
    <phoneticPr fontId="13" type="noConversion"/>
  </si>
  <si>
    <t>D13 : 도면 참조</t>
    <phoneticPr fontId="13" type="noConversion"/>
  </si>
  <si>
    <t>철    근
(SD-30)</t>
    <phoneticPr fontId="13" type="noConversion"/>
  </si>
  <si>
    <t>D19 : 도면 참조</t>
    <phoneticPr fontId="13" type="noConversion"/>
  </si>
  <si>
    <t>철    근
(SD-30)</t>
    <phoneticPr fontId="13" type="noConversion"/>
  </si>
  <si>
    <t>D19 : 도면 참조</t>
    <phoneticPr fontId="13" type="noConversion"/>
  </si>
  <si>
    <t>원형주철Φ648</t>
    <phoneticPr fontId="13" type="noConversion"/>
  </si>
  <si>
    <t>뚜껑(원형주철Φ648)</t>
    <phoneticPr fontId="13" type="noConversion"/>
  </si>
  <si>
    <t>중(집)2-1(좌)</t>
  </si>
  <si>
    <t>중(집)2-3(우)</t>
  </si>
  <si>
    <t>중(집)2-3(임시)</t>
  </si>
  <si>
    <t>소(국)1-3(우)</t>
  </si>
  <si>
    <t>소(국)1-3(좌)</t>
  </si>
  <si>
    <t>소(국)1-5</t>
  </si>
  <si>
    <t>소(국)1-5(임시)</t>
  </si>
  <si>
    <t>소(국)1-11(좌)</t>
  </si>
  <si>
    <t>소(국)1-13(우)</t>
  </si>
  <si>
    <t>소(국)2-1</t>
  </si>
  <si>
    <t>소(국)2-2</t>
  </si>
  <si>
    <t>소(국)2-3</t>
  </si>
  <si>
    <t>소(특)3-8</t>
  </si>
  <si>
    <t>소(국)1-12(우)</t>
    <phoneticPr fontId="13" type="noConversion"/>
  </si>
  <si>
    <t>대(보)3-1(좌)</t>
    <phoneticPr fontId="13" type="noConversion"/>
  </si>
  <si>
    <t>중(집)2-1(우)</t>
    <phoneticPr fontId="13" type="noConversion"/>
  </si>
  <si>
    <t>중(집)2-1(좌)</t>
    <phoneticPr fontId="13" type="noConversion"/>
  </si>
  <si>
    <t>소(국)1-13(좌)</t>
    <phoneticPr fontId="13" type="noConversion"/>
  </si>
  <si>
    <t>중(집)2-3(우)</t>
    <phoneticPr fontId="13" type="noConversion"/>
  </si>
  <si>
    <t>소(국)1-10</t>
    <phoneticPr fontId="13" type="noConversion"/>
  </si>
  <si>
    <t>대(보)3-1(좌)</t>
    <phoneticPr fontId="13" type="noConversion"/>
  </si>
  <si>
    <t>소(국)1-1(좌)</t>
    <phoneticPr fontId="13" type="noConversion"/>
  </si>
  <si>
    <t>하천(우측)</t>
    <phoneticPr fontId="13" type="noConversion"/>
  </si>
  <si>
    <t>소(국)1-13(좌)</t>
    <phoneticPr fontId="13" type="noConversion"/>
  </si>
  <si>
    <t>원형1호맨홀
성토부
(EA)</t>
    <phoneticPr fontId="13" type="noConversion"/>
  </si>
  <si>
    <t>각형1호
맨   홀</t>
    <phoneticPr fontId="13" type="noConversion"/>
  </si>
  <si>
    <t>중(집)2-1(우)</t>
    <phoneticPr fontId="13" type="noConversion"/>
  </si>
  <si>
    <t>M1-34</t>
  </si>
  <si>
    <t>원형2호맨홀</t>
    <phoneticPr fontId="13" type="noConversion"/>
  </si>
  <si>
    <t xml:space="preserve">원형2호 </t>
    <phoneticPr fontId="13" type="noConversion"/>
  </si>
  <si>
    <t>원형2호
맨   홀</t>
    <phoneticPr fontId="18" type="noConversion"/>
  </si>
  <si>
    <t>맨홀 No</t>
    <phoneticPr fontId="13" type="noConversion"/>
  </si>
  <si>
    <t>비고</t>
  </si>
  <si>
    <t>원형맨홀</t>
    <phoneticPr fontId="13" type="noConversion"/>
  </si>
  <si>
    <t>2호</t>
    <phoneticPr fontId="13" type="noConversion"/>
  </si>
  <si>
    <t>번호</t>
  </si>
  <si>
    <t>맨홀번호</t>
  </si>
  <si>
    <t>맨홀
높이</t>
  </si>
  <si>
    <t>실
맨홀
높이
(-맨홀뚜껑)</t>
    <phoneticPr fontId="13" type="noConversion"/>
  </si>
  <si>
    <t>하부구체</t>
    <phoneticPr fontId="13" type="noConversion"/>
  </si>
  <si>
    <t>연직구체</t>
    <phoneticPr fontId="13" type="noConversion"/>
  </si>
  <si>
    <t>상판 연직일체형</t>
    <phoneticPr fontId="13" type="noConversion"/>
  </si>
  <si>
    <t>현장타설</t>
    <phoneticPr fontId="13" type="noConversion"/>
  </si>
  <si>
    <t>평균 H</t>
    <phoneticPr fontId="13" type="noConversion"/>
  </si>
  <si>
    <t>총  계</t>
  </si>
  <si>
    <t>맨홀 평균 높이</t>
  </si>
  <si>
    <t>오수원형2호맨홀 수량산출근거-차도측</t>
    <phoneticPr fontId="13" type="noConversion"/>
  </si>
  <si>
    <t>하부구체</t>
    <phoneticPr fontId="13" type="noConversion"/>
  </si>
  <si>
    <t>비 고</t>
    <phoneticPr fontId="13" type="noConversion"/>
  </si>
  <si>
    <t>오수원형1호맨홀 수량산출근거-보도측</t>
    <phoneticPr fontId="13" type="noConversion"/>
  </si>
  <si>
    <t>실
맨홀
높이
(-맨홀뚜껑)</t>
    <phoneticPr fontId="13" type="noConversion"/>
  </si>
  <si>
    <t>하부구체</t>
    <phoneticPr fontId="13" type="noConversion"/>
  </si>
  <si>
    <t>연직구체</t>
    <phoneticPr fontId="13" type="noConversion"/>
  </si>
  <si>
    <t>상판 연직일체형</t>
    <phoneticPr fontId="13" type="noConversion"/>
  </si>
  <si>
    <t>비 고</t>
    <phoneticPr fontId="13" type="noConversion"/>
  </si>
  <si>
    <t>현장타설</t>
    <phoneticPr fontId="13" type="noConversion"/>
  </si>
  <si>
    <t>EA</t>
    <phoneticPr fontId="13" type="noConversion"/>
  </si>
  <si>
    <t>평균 H</t>
    <phoneticPr fontId="13" type="noConversion"/>
  </si>
  <si>
    <t>H'=</t>
  </si>
  <si>
    <t>M</t>
  </si>
  <si>
    <t>※ 맨홀 구체는 기성품으로 설치하고, 높이조절부 및 뚜껑받침대는 현장타설로 설치함.</t>
    <phoneticPr fontId="13" type="noConversion"/>
  </si>
  <si>
    <t>(개소당)</t>
  </si>
  <si>
    <t>공        종</t>
  </si>
  <si>
    <t>산                                 식</t>
  </si>
  <si>
    <t xml:space="preserve"> 결  과</t>
  </si>
  <si>
    <t>조립식맨홀</t>
    <phoneticPr fontId="13" type="noConversion"/>
  </si>
  <si>
    <t>맨홀하부구체</t>
    <phoneticPr fontId="13" type="noConversion"/>
  </si>
  <si>
    <t>맨홀 
개소별
산출</t>
    <phoneticPr fontId="13" type="noConversion"/>
  </si>
  <si>
    <t>연직구체</t>
    <phoneticPr fontId="13" type="noConversion"/>
  </si>
  <si>
    <t>상판연직구체</t>
    <phoneticPr fontId="13" type="noConversion"/>
  </si>
  <si>
    <t>콘크리트 (fck=21)</t>
  </si>
  <si>
    <t>받침대고정
및 높이조절용</t>
    <phoneticPr fontId="13" type="noConversion"/>
  </si>
  <si>
    <t>=</t>
  </si>
  <si>
    <t>㎥</t>
    <phoneticPr fontId="13" type="noConversion"/>
  </si>
  <si>
    <t>맨홀뚜껑</t>
  </si>
  <si>
    <t>조</t>
  </si>
  <si>
    <t>사다리</t>
  </si>
  <si>
    <t xml:space="preserve"> PE D22m/m</t>
    <phoneticPr fontId="13" type="noConversion"/>
  </si>
  <si>
    <t>H</t>
  </si>
  <si>
    <t>-</t>
  </si>
  <si>
    <t>조</t>
    <phoneticPr fontId="13" type="noConversion"/>
  </si>
  <si>
    <t>강제거푸집</t>
    <phoneticPr fontId="13" type="noConversion"/>
  </si>
  <si>
    <t>높이조절부
(현장타설)</t>
    <phoneticPr fontId="13" type="noConversion"/>
  </si>
  <si>
    <t>{(π × 1.08) + (π × 0.60)} × 0.06</t>
    <phoneticPr fontId="13" type="noConversion"/>
  </si>
  <si>
    <t>※ 맨홀 구체는 기성품으로 설치하고, 높이조절부 및 뚜껑받침대는 현장타설로 설치함.</t>
    <phoneticPr fontId="13" type="noConversion"/>
  </si>
  <si>
    <t>조립식맨홀</t>
    <phoneticPr fontId="13" type="noConversion"/>
  </si>
  <si>
    <t>맨홀하부구체</t>
    <phoneticPr fontId="13" type="noConversion"/>
  </si>
  <si>
    <t>맨홀 
개소별 
산출</t>
    <phoneticPr fontId="13" type="noConversion"/>
  </si>
  <si>
    <t>상판연직구체</t>
    <phoneticPr fontId="13" type="noConversion"/>
  </si>
  <si>
    <t xml:space="preserve"> {(0.80 × 0.80) - (π × 0.60²) / 4} × 0.20</t>
    <phoneticPr fontId="13" type="noConversion"/>
  </si>
  <si>
    <t>(0.8 × 0.1 × 4EA) + (π × 0.60 × 0.05)</t>
    <phoneticPr fontId="13" type="noConversion"/>
  </si>
  <si>
    <t>오수 원형 2호맨홀 단위수량(차도측)</t>
    <phoneticPr fontId="13" type="noConversion"/>
  </si>
  <si>
    <t>맨홀 
개소별
산출</t>
    <phoneticPr fontId="13" type="noConversion"/>
  </si>
  <si>
    <t>받침대고정
및 높이조절용</t>
    <phoneticPr fontId="13" type="noConversion"/>
  </si>
  <si>
    <t>EA</t>
    <phoneticPr fontId="13" type="noConversion"/>
  </si>
  <si>
    <t xml:space="preserve"> [{(π×0.82 ²) - (π×0.698²)}/4×0.072]/2
+ [{(π×1.082) - (π×0.82²)}/4×0.07]
+ [{(π×1.082) - (π×0.602)}/4×0.15]</t>
    <phoneticPr fontId="13" type="noConversion"/>
  </si>
  <si>
    <t>하부구체(900)</t>
    <phoneticPr fontId="13" type="noConversion"/>
  </si>
  <si>
    <t>연직구체(900)</t>
    <phoneticPr fontId="13" type="noConversion"/>
  </si>
  <si>
    <t>상판연직구체(900)</t>
    <phoneticPr fontId="13" type="noConversion"/>
  </si>
  <si>
    <t>하부구체(1200)</t>
    <phoneticPr fontId="13" type="noConversion"/>
  </si>
  <si>
    <t>연직구체(1200)</t>
    <phoneticPr fontId="13" type="noConversion"/>
  </si>
  <si>
    <t>상판연직구체(1200)</t>
    <phoneticPr fontId="13" type="noConversion"/>
  </si>
  <si>
    <t>거푸집</t>
    <phoneticPr fontId="13" type="noConversion"/>
  </si>
  <si>
    <t>강재(35회)</t>
    <phoneticPr fontId="13" type="noConversion"/>
  </si>
  <si>
    <t>m2</t>
    <phoneticPr fontId="13" type="noConversion"/>
  </si>
  <si>
    <t>연결볼트 
및 고무링</t>
    <phoneticPr fontId="13" type="noConversion"/>
  </si>
  <si>
    <t>φ648</t>
    <phoneticPr fontId="13" type="noConversion"/>
  </si>
  <si>
    <t>연결볼트</t>
    <phoneticPr fontId="13" type="noConversion"/>
  </si>
  <si>
    <t>고무링</t>
    <phoneticPr fontId="13" type="noConversion"/>
  </si>
  <si>
    <t>높이조절</t>
    <phoneticPr fontId="13" type="noConversion"/>
  </si>
  <si>
    <t>부관맨홀</t>
    <phoneticPr fontId="13" type="noConversion"/>
  </si>
  <si>
    <t>오수원형2호맨홀 수량산출근거-보도측</t>
    <phoneticPr fontId="13" type="noConversion"/>
  </si>
  <si>
    <t>오수 원형 2호맨홀 단위수량(보도측)</t>
    <phoneticPr fontId="13" type="noConversion"/>
  </si>
  <si>
    <t>M1-76</t>
  </si>
  <si>
    <t>M1-75</t>
  </si>
  <si>
    <t>M1-74</t>
  </si>
  <si>
    <t>M1-109</t>
  </si>
  <si>
    <t>M1-112</t>
  </si>
  <si>
    <t>M1-114</t>
  </si>
  <si>
    <t>M1-103</t>
  </si>
  <si>
    <t>M1-119</t>
  </si>
  <si>
    <t>M1-120</t>
  </si>
  <si>
    <t>M1-128</t>
  </si>
  <si>
    <t>M1-129</t>
  </si>
  <si>
    <t>M1-153</t>
  </si>
  <si>
    <t>M1-151</t>
  </si>
  <si>
    <t>중(집)1-2</t>
  </si>
  <si>
    <t>소(국)2-5</t>
  </si>
  <si>
    <t>맨홀뚜껑높이</t>
    <phoneticPr fontId="13" type="noConversion"/>
  </si>
  <si>
    <t>높이조절부</t>
    <phoneticPr fontId="13" type="noConversion"/>
  </si>
  <si>
    <t>높이조절부</t>
    <phoneticPr fontId="13" type="noConversion"/>
  </si>
  <si>
    <t>비
고</t>
    <phoneticPr fontId="13" type="noConversion"/>
  </si>
  <si>
    <t>몰탈</t>
    <phoneticPr fontId="13" type="noConversion"/>
  </si>
  <si>
    <t>1:2</t>
    <phoneticPr fontId="13" type="noConversion"/>
  </si>
  <si>
    <t>㎥</t>
    <phoneticPr fontId="13" type="noConversion"/>
  </si>
  <si>
    <t>PC단위중량(kg)</t>
    <phoneticPr fontId="13" type="noConversion"/>
  </si>
  <si>
    <t>총중량(ton)</t>
    <phoneticPr fontId="13" type="noConversion"/>
  </si>
  <si>
    <t>맨홀</t>
    <phoneticPr fontId="13" type="noConversion"/>
  </si>
  <si>
    <t>단위수량</t>
    <phoneticPr fontId="21" type="noConversion"/>
  </si>
  <si>
    <t>※맨홀 이음부 수량(EA)은 맨홀유출입수량 산출조서 참조</t>
    <phoneticPr fontId="13" type="noConversion"/>
  </si>
  <si>
    <t>계</t>
    <phoneticPr fontId="13" type="noConversion"/>
  </si>
  <si>
    <t>비고</t>
    <phoneticPr fontId="13" type="noConversion"/>
  </si>
  <si>
    <t>포</t>
    <phoneticPr fontId="13" type="noConversion"/>
  </si>
  <si>
    <t>접착제</t>
    <phoneticPr fontId="13" type="noConversion"/>
  </si>
  <si>
    <t>2kg/포</t>
    <phoneticPr fontId="13" type="noConversion"/>
  </si>
  <si>
    <t>부관맨홀 수량산출</t>
    <phoneticPr fontId="36" type="noConversion"/>
  </si>
  <si>
    <t>관 로 명</t>
    <phoneticPr fontId="13" type="noConversion"/>
  </si>
  <si>
    <t>본관관경</t>
    <phoneticPr fontId="13" type="noConversion"/>
  </si>
  <si>
    <t>유입 관저고</t>
    <phoneticPr fontId="13" type="noConversion"/>
  </si>
  <si>
    <t>유출 관저고</t>
    <phoneticPr fontId="13" type="noConversion"/>
  </si>
  <si>
    <t>낙  차</t>
    <phoneticPr fontId="13" type="noConversion"/>
  </si>
  <si>
    <t>부관
맨홀 H</t>
    <phoneticPr fontId="13" type="noConversion"/>
  </si>
  <si>
    <t>→</t>
  </si>
  <si>
    <t>합     계</t>
    <phoneticPr fontId="13" type="noConversion"/>
  </si>
  <si>
    <t>M2-88</t>
    <phoneticPr fontId="13" type="noConversion"/>
  </si>
  <si>
    <t>M2-116</t>
    <phoneticPr fontId="13" type="noConversion"/>
  </si>
  <si>
    <t>M2-95</t>
    <phoneticPr fontId="13" type="noConversion"/>
  </si>
  <si>
    <t>m</t>
  </si>
  <si>
    <t>EA</t>
  </si>
  <si>
    <t>관절단</t>
    <phoneticPr fontId="13" type="noConversion"/>
  </si>
  <si>
    <t>관접합</t>
    <phoneticPr fontId="13" type="noConversion"/>
  </si>
  <si>
    <t>90엘보</t>
    <phoneticPr fontId="13" type="noConversion"/>
  </si>
  <si>
    <t>25-18-8</t>
    <phoneticPr fontId="13" type="noConversion"/>
  </si>
  <si>
    <t>구분</t>
    <phoneticPr fontId="13" type="noConversion"/>
  </si>
  <si>
    <t>수량</t>
    <phoneticPr fontId="13" type="noConversion"/>
  </si>
  <si>
    <t>낙차</t>
    <phoneticPr fontId="13" type="noConversion"/>
  </si>
  <si>
    <t>총연장</t>
    <phoneticPr fontId="13" type="noConversion"/>
  </si>
  <si>
    <t>평균낙차</t>
    <phoneticPr fontId="13" type="noConversion"/>
  </si>
  <si>
    <t>D300x
D200</t>
    <phoneticPr fontId="13" type="noConversion"/>
  </si>
  <si>
    <t>맨홀 유입관로 하부 잡석 포설수량 집계표</t>
    <phoneticPr fontId="13" type="noConversion"/>
  </si>
  <si>
    <t>유입부</t>
    <phoneticPr fontId="13" type="noConversion"/>
  </si>
  <si>
    <t>잡석 포설</t>
    <phoneticPr fontId="13" type="noConversion"/>
  </si>
  <si>
    <t>유입부관 하부 잡석 포설단위수량</t>
    <phoneticPr fontId="13" type="noConversion"/>
  </si>
  <si>
    <t>유입개소</t>
    <phoneticPr fontId="13" type="noConversion"/>
  </si>
  <si>
    <t>:</t>
    <phoneticPr fontId="13" type="noConversion"/>
  </si>
  <si>
    <t>s</t>
    <phoneticPr fontId="13" type="noConversion"/>
  </si>
  <si>
    <t>유입평균관경</t>
    <phoneticPr fontId="13" type="noConversion"/>
  </si>
  <si>
    <t>A1</t>
    <phoneticPr fontId="13" type="noConversion"/>
  </si>
  <si>
    <t>포설평균높이</t>
    <phoneticPr fontId="13" type="noConversion"/>
  </si>
  <si>
    <t>A2</t>
    <phoneticPr fontId="13" type="noConversion"/>
  </si>
  <si>
    <t>산출근거</t>
    <phoneticPr fontId="13" type="noConversion"/>
  </si>
  <si>
    <t>(</t>
    <phoneticPr fontId="13" type="noConversion"/>
  </si>
  <si>
    <t>x</t>
    <phoneticPr fontId="13" type="noConversion"/>
  </si>
  <si>
    <t>)</t>
    <phoneticPr fontId="13" type="noConversion"/>
  </si>
  <si>
    <t>+</t>
    <phoneticPr fontId="13" type="noConversion"/>
  </si>
  <si>
    <t>((</t>
    <phoneticPr fontId="13" type="noConversion"/>
  </si>
  <si>
    <t>))</t>
    <phoneticPr fontId="13" type="noConversion"/>
  </si>
  <si>
    <t>SM2-42</t>
    <phoneticPr fontId="13" type="noConversion"/>
  </si>
  <si>
    <t>맨홀No</t>
  </si>
  <si>
    <t>유입관경</t>
  </si>
  <si>
    <t>유출관경</t>
  </si>
  <si>
    <t>관저고</t>
  </si>
  <si>
    <t>잡석포설H</t>
  </si>
  <si>
    <t>유입부 관저고</t>
  </si>
  <si>
    <t>유출부 관저고</t>
  </si>
  <si>
    <t>단차</t>
  </si>
  <si>
    <t>계</t>
  </si>
  <si>
    <t>대(주)3-75</t>
    <phoneticPr fontId="13" type="noConversion"/>
  </si>
  <si>
    <t>M2-101</t>
    <phoneticPr fontId="13" type="noConversion"/>
  </si>
  <si>
    <t>중(집)1-1</t>
    <phoneticPr fontId="13" type="noConversion"/>
  </si>
  <si>
    <t>M2-202</t>
    <phoneticPr fontId="13" type="noConversion"/>
  </si>
  <si>
    <t>M1-46</t>
    <phoneticPr fontId="13" type="noConversion"/>
  </si>
  <si>
    <t>중(집)1-201</t>
    <phoneticPr fontId="13" type="noConversion"/>
  </si>
  <si>
    <t>M2-187</t>
    <phoneticPr fontId="13" type="noConversion"/>
  </si>
  <si>
    <t>중(집)2-4</t>
    <phoneticPr fontId="13" type="noConversion"/>
  </si>
  <si>
    <t>M1-7</t>
    <phoneticPr fontId="13" type="noConversion"/>
  </si>
  <si>
    <t>중(집)3-14</t>
    <phoneticPr fontId="13" type="noConversion"/>
  </si>
  <si>
    <t>M1-33</t>
    <phoneticPr fontId="13" type="noConversion"/>
  </si>
  <si>
    <t>소(국)1-5</t>
    <phoneticPr fontId="13" type="noConversion"/>
  </si>
  <si>
    <t>M1-90</t>
    <phoneticPr fontId="13" type="noConversion"/>
  </si>
  <si>
    <t>소(국)2-3</t>
    <phoneticPr fontId="13" type="noConversion"/>
  </si>
  <si>
    <t>M1-136</t>
    <phoneticPr fontId="13" type="noConversion"/>
  </si>
  <si>
    <t>M1-137</t>
    <phoneticPr fontId="13" type="noConversion"/>
  </si>
  <si>
    <t>M1-138</t>
    <phoneticPr fontId="13" type="noConversion"/>
  </si>
  <si>
    <t>소(국)2-4</t>
    <phoneticPr fontId="13" type="noConversion"/>
  </si>
  <si>
    <t>M1-129</t>
    <phoneticPr fontId="13" type="noConversion"/>
  </si>
  <si>
    <t>소(국)2-14</t>
    <phoneticPr fontId="13" type="noConversion"/>
  </si>
  <si>
    <t>M1-107</t>
    <phoneticPr fontId="13" type="noConversion"/>
  </si>
  <si>
    <t>소(국)2-15</t>
    <phoneticPr fontId="13" type="noConversion"/>
  </si>
  <si>
    <t>소(국)2-18</t>
    <phoneticPr fontId="13" type="noConversion"/>
  </si>
  <si>
    <t>M1-73</t>
    <phoneticPr fontId="13" type="noConversion"/>
  </si>
  <si>
    <t>A112</t>
    <phoneticPr fontId="13" type="noConversion"/>
  </si>
  <si>
    <t>M2-97</t>
    <phoneticPr fontId="13" type="noConversion"/>
  </si>
  <si>
    <t>A220</t>
    <phoneticPr fontId="13" type="noConversion"/>
  </si>
  <si>
    <t>A407</t>
    <phoneticPr fontId="13" type="noConversion"/>
  </si>
  <si>
    <t>계(평균)</t>
    <phoneticPr fontId="13" type="noConversion"/>
  </si>
  <si>
    <t>M2-79</t>
    <phoneticPr fontId="13" type="noConversion"/>
  </si>
  <si>
    <t>M2-141</t>
    <phoneticPr fontId="13" type="noConversion"/>
  </si>
  <si>
    <t>M1-101</t>
  </si>
  <si>
    <t>M1-102</t>
  </si>
  <si>
    <t>M1-116</t>
  </si>
  <si>
    <t>M1-131</t>
  </si>
  <si>
    <t>M1-133</t>
  </si>
  <si>
    <t>M1-143</t>
  </si>
  <si>
    <t>M1-145</t>
  </si>
  <si>
    <t>M1-154</t>
  </si>
  <si>
    <t>공                종</t>
    <phoneticPr fontId="13" type="noConversion"/>
  </si>
  <si>
    <t>25-21-8</t>
    <phoneticPr fontId="13" type="noConversion"/>
  </si>
  <si>
    <t>버림</t>
    <phoneticPr fontId="13" type="noConversion"/>
  </si>
  <si>
    <t>콘크
리트</t>
    <phoneticPr fontId="13" type="noConversion"/>
  </si>
  <si>
    <t>받침대 고정 및
높이 조절용</t>
    <phoneticPr fontId="13" type="noConversion"/>
  </si>
  <si>
    <t>fck=210kg/cm2</t>
    <phoneticPr fontId="13" type="noConversion"/>
  </si>
  <si>
    <t>1 : 2</t>
    <phoneticPr fontId="13" type="noConversion"/>
  </si>
  <si>
    <t>버     림</t>
    <phoneticPr fontId="13" type="noConversion"/>
  </si>
  <si>
    <t>합판 6회</t>
    <phoneticPr fontId="13" type="noConversion"/>
  </si>
  <si>
    <t>강재</t>
    <phoneticPr fontId="13" type="noConversion"/>
  </si>
  <si>
    <t>강재 D=3㎜</t>
    <phoneticPr fontId="13" type="noConversion"/>
  </si>
  <si>
    <t>SPACER</t>
  </si>
  <si>
    <t>C H A I R   B L O C K</t>
    <phoneticPr fontId="13" type="noConversion"/>
  </si>
  <si>
    <t>철    근
(SD-40)</t>
    <phoneticPr fontId="13" type="noConversion"/>
  </si>
  <si>
    <t>H16</t>
    <phoneticPr fontId="13" type="noConversion"/>
  </si>
  <si>
    <t>H13</t>
    <phoneticPr fontId="13" type="noConversion"/>
  </si>
  <si>
    <t>H13 소계</t>
    <phoneticPr fontId="13" type="noConversion"/>
  </si>
  <si>
    <t>벽체및바닥</t>
    <phoneticPr fontId="13" type="noConversion"/>
  </si>
  <si>
    <t>맨홀높이조절장치</t>
    <phoneticPr fontId="13" type="noConversion"/>
  </si>
  <si>
    <t>제  품</t>
    <phoneticPr fontId="13" type="noConversion"/>
  </si>
  <si>
    <t>슬라브
(25-21-8)</t>
    <phoneticPr fontId="13" type="noConversion"/>
  </si>
  <si>
    <t>벽체
(25-21-8)</t>
    <phoneticPr fontId="13" type="noConversion"/>
  </si>
  <si>
    <t>{(1.7×1.7) - (1.2×1.2)}×1.0</t>
    <phoneticPr fontId="13" type="noConversion"/>
  </si>
  <si>
    <t>바닥
(25-21-8)</t>
    <phoneticPr fontId="13" type="noConversion"/>
  </si>
  <si>
    <t>2.0×2.0×0.30</t>
    <phoneticPr fontId="13" type="noConversion"/>
  </si>
  <si>
    <t>버림
(25-18-8)</t>
    <phoneticPr fontId="13" type="noConversion"/>
  </si>
  <si>
    <t>2.2×2.2×0.10</t>
    <phoneticPr fontId="13" type="noConversion"/>
  </si>
  <si>
    <t>받침대 고정 및
높이 조절용
(fck=210kg/cm2)</t>
    <phoneticPr fontId="13" type="noConversion"/>
  </si>
  <si>
    <t>몰     탈 (1:2)</t>
    <phoneticPr fontId="13" type="noConversion"/>
  </si>
  <si>
    <t>1.7×0.20×4개</t>
  </si>
  <si>
    <t>2.0×0.3×4개</t>
  </si>
  <si>
    <t>1.2×1.0×4개 + 1.7×1.0×4개</t>
  </si>
  <si>
    <t>버   림
(합판6회)</t>
    <phoneticPr fontId="13" type="noConversion"/>
  </si>
  <si>
    <t>2.2×0.1×4개</t>
  </si>
  <si>
    <t>슬 라 브
(강재 D=3㎜)</t>
    <phoneticPr fontId="13" type="noConversion"/>
  </si>
  <si>
    <t>π×0.6×0.20</t>
    <phoneticPr fontId="13" type="noConversion"/>
  </si>
  <si>
    <t>높이조절용
(강재 D=3㎜)</t>
    <phoneticPr fontId="13" type="noConversion"/>
  </si>
  <si>
    <t>{(π×1.00) + (π×0.60)} × 0.1</t>
  </si>
  <si>
    <t>SPACER</t>
    <phoneticPr fontId="13" type="noConversion"/>
  </si>
  <si>
    <t xml:space="preserve">1.2 × 1.0 × 4개 </t>
    <phoneticPr fontId="13" type="noConversion"/>
  </si>
  <si>
    <t>(1.70×1.70 - π×0.60×0.60/4)
+(2.0×2.0)</t>
    <phoneticPr fontId="13" type="noConversion"/>
  </si>
  <si>
    <t>H16 : 슬라브 배근도 참조</t>
    <phoneticPr fontId="13" type="noConversion"/>
  </si>
  <si>
    <t xml:space="preserve">  </t>
    <phoneticPr fontId="13" type="noConversion"/>
  </si>
  <si>
    <t>부호</t>
    <phoneticPr fontId="13" type="noConversion"/>
  </si>
  <si>
    <t>길이</t>
    <phoneticPr fontId="13" type="noConversion"/>
  </si>
  <si>
    <t>본수</t>
    <phoneticPr fontId="13" type="noConversion"/>
  </si>
  <si>
    <t>총길이</t>
    <phoneticPr fontId="13" type="noConversion"/>
  </si>
  <si>
    <t>단위중량</t>
    <phoneticPr fontId="13" type="noConversion"/>
  </si>
  <si>
    <t>총중량</t>
    <phoneticPr fontId="13" type="noConversion"/>
  </si>
  <si>
    <t>H13 : 슬라브 배근도 참조</t>
    <phoneticPr fontId="13" type="noConversion"/>
  </si>
  <si>
    <t>W1</t>
    <phoneticPr fontId="13" type="noConversion"/>
  </si>
  <si>
    <t>뚜껑(회주철 φ648)</t>
    <phoneticPr fontId="13" type="noConversion"/>
  </si>
  <si>
    <t>주철제 800*800</t>
    <phoneticPr fontId="13" type="noConversion"/>
  </si>
  <si>
    <t>{(π×0.80) + (π×0.60)} x 0.10</t>
  </si>
  <si>
    <t>뚜껑(주철제800*800)</t>
    <phoneticPr fontId="13" type="noConversion"/>
  </si>
  <si>
    <r>
      <t>{(1.7×1.7) - (π×0.60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)/4}×0.2</t>
    </r>
    <phoneticPr fontId="13" type="noConversion"/>
  </si>
  <si>
    <r>
      <t>{(0.80×0.80) - (π×0.60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)/4}×0.1</t>
    </r>
    <phoneticPr fontId="13" type="noConversion"/>
  </si>
  <si>
    <r>
      <t>{(0.80×0.80) - (π×0.60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)/4} × 0.01</t>
    </r>
    <phoneticPr fontId="13" type="noConversion"/>
  </si>
  <si>
    <r>
      <t>1.2×1.2-(π×0.60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)/4</t>
    </r>
    <phoneticPr fontId="13" type="noConversion"/>
  </si>
  <si>
    <r>
      <t>{(1.2×1.2) - (π×0.60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)/4} × 1.0</t>
    </r>
    <phoneticPr fontId="13" type="noConversion"/>
  </si>
  <si>
    <t>W2</t>
    <phoneticPr fontId="13" type="noConversion"/>
  </si>
  <si>
    <r>
      <t>[{(π×1.00²) - (π×0.698²)}/4×0.05]
+ [{(π×1.00²) - (π×0.78²)}/4×0.07]
+ [{(π×1.00</t>
    </r>
    <r>
      <rPr>
        <vertAlign val="superscript"/>
        <sz val="9"/>
        <rFont val="맑은 고딕"/>
        <family val="3"/>
        <charset val="129"/>
        <scheme val="major"/>
      </rPr>
      <t>²</t>
    </r>
    <r>
      <rPr>
        <sz val="9"/>
        <rFont val="맑은 고딕"/>
        <family val="3"/>
        <charset val="129"/>
        <scheme val="major"/>
      </rPr>
      <t>) - (π×0.60</t>
    </r>
    <r>
      <rPr>
        <vertAlign val="superscript"/>
        <sz val="9"/>
        <rFont val="맑은 고딕"/>
        <family val="3"/>
        <charset val="129"/>
        <scheme val="major"/>
      </rPr>
      <t>²</t>
    </r>
    <r>
      <rPr>
        <sz val="9"/>
        <rFont val="맑은 고딕"/>
        <family val="3"/>
        <charset val="129"/>
        <scheme val="major"/>
      </rPr>
      <t>)}/4×0.10]</t>
    </r>
    <phoneticPr fontId="13" type="noConversion"/>
  </si>
  <si>
    <r>
      <t>{(π×1.00</t>
    </r>
    <r>
      <rPr>
        <vertAlign val="superscript"/>
        <sz val="9"/>
        <rFont val="맑은 고딕"/>
        <family val="3"/>
        <charset val="129"/>
        <scheme val="major"/>
      </rPr>
      <t>2</t>
    </r>
    <r>
      <rPr>
        <sz val="9"/>
        <rFont val="맑은 고딕"/>
        <family val="3"/>
        <charset val="129"/>
        <scheme val="major"/>
      </rPr>
      <t>)/4 - (π×0.60</t>
    </r>
    <r>
      <rPr>
        <vertAlign val="superscript"/>
        <sz val="9"/>
        <rFont val="맑은 고딕"/>
        <family val="3"/>
        <charset val="129"/>
        <scheme val="major"/>
      </rPr>
      <t>2</t>
    </r>
    <r>
      <rPr>
        <sz val="9"/>
        <rFont val="맑은 고딕"/>
        <family val="3"/>
        <charset val="129"/>
        <scheme val="major"/>
      </rPr>
      <t>)/4} × 0.01</t>
    </r>
    <phoneticPr fontId="13" type="noConversion"/>
  </si>
  <si>
    <t>오수각형2호맨홀 수량산출근거-차도측</t>
    <phoneticPr fontId="13" type="noConversion"/>
  </si>
  <si>
    <t>실 맨홀 높이
(-맨홀뚜껑)</t>
    <phoneticPr fontId="13" type="noConversion"/>
  </si>
  <si>
    <t xml:space="preserve"> </t>
    <phoneticPr fontId="104" type="noConversion"/>
  </si>
  <si>
    <t>(개소당)</t>
    <phoneticPr fontId="13" type="noConversion"/>
  </si>
  <si>
    <t>평  면  도</t>
    <phoneticPr fontId="13" type="noConversion"/>
  </si>
  <si>
    <t>A</t>
    <phoneticPr fontId="13" type="noConversion"/>
  </si>
  <si>
    <t>B-B 단면</t>
    <phoneticPr fontId="13" type="noConversion"/>
  </si>
  <si>
    <t>B</t>
    <phoneticPr fontId="13" type="noConversion"/>
  </si>
  <si>
    <t>입력 DATE :</t>
    <phoneticPr fontId="13" type="noConversion"/>
  </si>
  <si>
    <t>A-A 단면</t>
    <phoneticPr fontId="13" type="noConversion"/>
  </si>
  <si>
    <t>공         종</t>
    <phoneticPr fontId="13" type="noConversion"/>
  </si>
  <si>
    <t>산            출            근            거</t>
    <phoneticPr fontId="13" type="noConversion"/>
  </si>
  <si>
    <t>콘 크 리 트</t>
    <phoneticPr fontId="13" type="noConversion"/>
  </si>
  <si>
    <t>몰         탈</t>
    <phoneticPr fontId="13" type="noConversion"/>
  </si>
  <si>
    <t>( 1 : 2 )</t>
    <phoneticPr fontId="13" type="noConversion"/>
  </si>
  <si>
    <t>비  고</t>
    <phoneticPr fontId="13" type="noConversion"/>
  </si>
  <si>
    <t>받침대 고정 및
높이 조절용
(fck=21MPa)</t>
    <phoneticPr fontId="13" type="noConversion"/>
  </si>
  <si>
    <t>￠900</t>
    <phoneticPr fontId="13" type="noConversion"/>
  </si>
  <si>
    <t>￠1200</t>
    <phoneticPr fontId="13" type="noConversion"/>
  </si>
  <si>
    <t>￠15*200</t>
    <phoneticPr fontId="13" type="noConversion"/>
  </si>
  <si>
    <r>
      <t>m</t>
    </r>
    <r>
      <rPr>
        <vertAlign val="superscript"/>
        <sz val="9"/>
        <rFont val="맑은 고딕"/>
        <family val="3"/>
        <charset val="129"/>
        <scheme val="major"/>
      </rPr>
      <t>3</t>
    </r>
    <phoneticPr fontId="13" type="noConversion"/>
  </si>
  <si>
    <t>맨홀접착제
(하부구체+연직구체)x0.5</t>
    <phoneticPr fontId="13" type="noConversion"/>
  </si>
  <si>
    <t>오수원형3호맨홀 수량산출근거-차도측</t>
    <phoneticPr fontId="13" type="noConversion"/>
  </si>
  <si>
    <t>오수 원형 3호맨홀 단위수량(차도측)</t>
    <phoneticPr fontId="13" type="noConversion"/>
  </si>
  <si>
    <t>오수 원형 3호맨홀 단위수량(보도측)</t>
    <phoneticPr fontId="13" type="noConversion"/>
  </si>
  <si>
    <t>상판연직
구체(900)</t>
    <phoneticPr fontId="13" type="noConversion"/>
  </si>
  <si>
    <t>하부구체
(1200)</t>
    <phoneticPr fontId="13" type="noConversion"/>
  </si>
  <si>
    <t>수 량(EA)</t>
    <phoneticPr fontId="13" type="noConversion"/>
  </si>
  <si>
    <t>800x800</t>
    <phoneticPr fontId="13" type="noConversion"/>
  </si>
  <si>
    <t>차도용
안전잠금</t>
    <phoneticPr fontId="13" type="noConversion"/>
  </si>
  <si>
    <t>보도용
주철재</t>
    <phoneticPr fontId="13" type="noConversion"/>
  </si>
  <si>
    <t xml:space="preserve">   기성제품(안전잠금)</t>
    <phoneticPr fontId="13" type="noConversion"/>
  </si>
  <si>
    <t>Ø648</t>
    <phoneticPr fontId="13" type="noConversion"/>
  </si>
  <si>
    <t xml:space="preserve">   기성제품(주철재)</t>
    <phoneticPr fontId="13" type="noConversion"/>
  </si>
  <si>
    <t>맨홀 이음부 몰탈 단위수량</t>
    <phoneticPr fontId="36" type="noConversion"/>
  </si>
  <si>
    <t>차   도</t>
    <phoneticPr fontId="13" type="noConversion"/>
  </si>
  <si>
    <t>보   도</t>
    <phoneticPr fontId="13" type="noConversion"/>
  </si>
  <si>
    <t>원형2호 맨홀</t>
    <phoneticPr fontId="13" type="noConversion"/>
  </si>
  <si>
    <t>원형1호 맨홀</t>
    <phoneticPr fontId="13" type="noConversion"/>
  </si>
  <si>
    <t>실평균 높이 (H)</t>
    <phoneticPr fontId="13" type="noConversion"/>
  </si>
  <si>
    <t>평균높이 (H)</t>
    <phoneticPr fontId="13" type="noConversion"/>
  </si>
  <si>
    <t>구           분</t>
    <phoneticPr fontId="13" type="noConversion"/>
  </si>
  <si>
    <t>1호</t>
    <phoneticPr fontId="13" type="noConversion"/>
  </si>
  <si>
    <t>차도측</t>
    <phoneticPr fontId="13" type="noConversion"/>
  </si>
  <si>
    <t>보도측</t>
    <phoneticPr fontId="13" type="noConversion"/>
  </si>
  <si>
    <t>총     높     이 (H)</t>
    <phoneticPr fontId="13" type="noConversion"/>
  </si>
  <si>
    <t>수           량 (개소)</t>
    <phoneticPr fontId="13" type="noConversion"/>
  </si>
  <si>
    <t>구        분</t>
    <phoneticPr fontId="13" type="noConversion"/>
  </si>
  <si>
    <t>평균높이(m)</t>
    <phoneticPr fontId="13" type="noConversion"/>
  </si>
  <si>
    <t>합계(개소)</t>
    <phoneticPr fontId="13" type="noConversion"/>
  </si>
  <si>
    <t>맨      홀     높     이</t>
  </si>
  <si>
    <t xml:space="preserve">비  고 </t>
  </si>
  <si>
    <t xml:space="preserve">1 호 </t>
  </si>
  <si>
    <t xml:space="preserve">2 호 </t>
  </si>
  <si>
    <t>오수각형3호맨홀 수량산출근거-차도측</t>
    <phoneticPr fontId="13" type="noConversion"/>
  </si>
  <si>
    <t>1호</t>
  </si>
  <si>
    <t>2호</t>
  </si>
  <si>
    <t>D300</t>
  </si>
  <si>
    <t>D400</t>
  </si>
  <si>
    <t>D500</t>
  </si>
  <si>
    <t>D600</t>
  </si>
  <si>
    <t>유출입개소수</t>
    <phoneticPr fontId="13" type="noConversion"/>
  </si>
  <si>
    <t>유출입관경</t>
    <phoneticPr fontId="21" type="noConversion"/>
  </si>
  <si>
    <t>유입</t>
    <phoneticPr fontId="13" type="noConversion"/>
  </si>
  <si>
    <t>유출</t>
    <phoneticPr fontId="13" type="noConversion"/>
  </si>
  <si>
    <t>맨홀구분</t>
    <phoneticPr fontId="13" type="noConversion"/>
  </si>
  <si>
    <t>유출부관경</t>
    <phoneticPr fontId="19" type="noConversion"/>
  </si>
  <si>
    <t>개소</t>
    <phoneticPr fontId="104" type="noConversion"/>
  </si>
  <si>
    <t>단 위</t>
    <phoneticPr fontId="13" type="noConversion"/>
  </si>
  <si>
    <t>1:2</t>
    <phoneticPr fontId="19" type="noConversion"/>
  </si>
  <si>
    <t>원    형
1호맨홀
(D900)</t>
    <phoneticPr fontId="13" type="noConversion"/>
  </si>
  <si>
    <t>D300</t>
    <phoneticPr fontId="19" type="noConversion"/>
  </si>
  <si>
    <t>소 계</t>
    <phoneticPr fontId="18" type="noConversion"/>
  </si>
  <si>
    <t>원    형
2호맨홀
(D1200)</t>
    <phoneticPr fontId="13" type="noConversion"/>
  </si>
  <si>
    <t>총 계</t>
    <phoneticPr fontId="18" type="noConversion"/>
  </si>
  <si>
    <t>B</t>
    <phoneticPr fontId="106" type="noConversion"/>
  </si>
  <si>
    <t>A</t>
    <phoneticPr fontId="106" type="noConversion"/>
  </si>
  <si>
    <t>인 버 트</t>
    <phoneticPr fontId="106" type="noConversion"/>
  </si>
  <si>
    <t>25-180-8</t>
    <phoneticPr fontId="106" type="noConversion"/>
  </si>
  <si>
    <t>T</t>
    <phoneticPr fontId="106" type="noConversion"/>
  </si>
  <si>
    <t>B+2T</t>
    <phoneticPr fontId="106" type="noConversion"/>
  </si>
  <si>
    <t>단 면 A-A</t>
    <phoneticPr fontId="106" type="noConversion"/>
  </si>
  <si>
    <t>단 면 B-B</t>
    <phoneticPr fontId="106" type="noConversion"/>
  </si>
  <si>
    <t>D1</t>
    <phoneticPr fontId="106" type="noConversion"/>
  </si>
  <si>
    <t>b</t>
    <phoneticPr fontId="106" type="noConversion"/>
  </si>
  <si>
    <t>D2</t>
    <phoneticPr fontId="106" type="noConversion"/>
  </si>
  <si>
    <t>a</t>
    <phoneticPr fontId="106" type="noConversion"/>
  </si>
  <si>
    <t>맨홀 및 유출입 관경별 콘크리트수량표</t>
    <phoneticPr fontId="106" type="noConversion"/>
  </si>
  <si>
    <t>* a = ( D + 2t ) / 2</t>
    <phoneticPr fontId="106" type="noConversion"/>
  </si>
  <si>
    <t>* b = a + B * 0.04</t>
    <phoneticPr fontId="106" type="noConversion"/>
  </si>
  <si>
    <t>* 콘크리트 :  ( π * B ² / 4 * ( a + b ) / 2 - π * D ² / 4 * ½ * B )</t>
    <phoneticPr fontId="106" type="noConversion"/>
  </si>
  <si>
    <t>:원형</t>
    <phoneticPr fontId="18" type="noConversion"/>
  </si>
  <si>
    <t xml:space="preserve">           :  ( B * B ) * ( a + b ) / 2 - π * D ² / 4 * ½ * B )</t>
    <phoneticPr fontId="106" type="noConversion"/>
  </si>
  <si>
    <t>:각형</t>
    <phoneticPr fontId="18" type="noConversion"/>
  </si>
  <si>
    <t>(단위 : 개소)</t>
    <phoneticPr fontId="106" type="noConversion"/>
  </si>
  <si>
    <t>유출관경</t>
    <phoneticPr fontId="106" type="noConversion"/>
  </si>
  <si>
    <t>D</t>
    <phoneticPr fontId="106" type="noConversion"/>
  </si>
  <si>
    <t>관두께(t)</t>
    <phoneticPr fontId="106" type="noConversion"/>
  </si>
  <si>
    <t>맨홀규격</t>
    <phoneticPr fontId="106" type="noConversion"/>
  </si>
  <si>
    <t>1 호</t>
    <phoneticPr fontId="106" type="noConversion"/>
  </si>
  <si>
    <t>m</t>
    <phoneticPr fontId="106" type="noConversion"/>
  </si>
  <si>
    <t>콘크리트</t>
    <phoneticPr fontId="106" type="noConversion"/>
  </si>
  <si>
    <t>2 호</t>
    <phoneticPr fontId="106" type="noConversion"/>
  </si>
  <si>
    <t>평 면 도</t>
    <phoneticPr fontId="106" type="noConversion"/>
  </si>
  <si>
    <t>인버트몰탈</t>
    <phoneticPr fontId="106" type="noConversion"/>
  </si>
  <si>
    <t>( 1 : 2 )</t>
    <phoneticPr fontId="106" type="noConversion"/>
  </si>
  <si>
    <t>단 면 도</t>
    <phoneticPr fontId="106" type="noConversion"/>
  </si>
  <si>
    <t>맨홀 및 유출입 관경별 몰탈수량표</t>
    <phoneticPr fontId="106" type="noConversion"/>
  </si>
  <si>
    <t>* 몰   탈 :  ( π * B ² / 4 - ( D + 2t ) * B + π * ( D + 2t ) * ½ * B ) * 0.02</t>
    <phoneticPr fontId="106" type="noConversion"/>
  </si>
  <si>
    <t xml:space="preserve">          :  ( B * B - ( D + 2t ) * B + π * ( D + 2t ) * ½ * B ) * 0.02</t>
    <phoneticPr fontId="106" type="noConversion"/>
  </si>
  <si>
    <t>원형</t>
    <phoneticPr fontId="18" type="noConversion"/>
  </si>
  <si>
    <t>몰탈(1:2)  ㎥</t>
    <phoneticPr fontId="106" type="noConversion"/>
  </si>
  <si>
    <t>(유 입 관)</t>
    <phoneticPr fontId="13" type="noConversion"/>
  </si>
  <si>
    <t>개소)</t>
    <phoneticPr fontId="13" type="noConversion"/>
  </si>
  <si>
    <t>관  경 (D)</t>
    <phoneticPr fontId="13" type="noConversion"/>
  </si>
  <si>
    <t>두  께 (T)</t>
    <phoneticPr fontId="13" type="noConversion"/>
  </si>
  <si>
    <t>D + 2T</t>
    <phoneticPr fontId="13" type="noConversion"/>
  </si>
  <si>
    <t>수      량</t>
    <phoneticPr fontId="13" type="noConversion"/>
  </si>
  <si>
    <t>T×수량</t>
    <phoneticPr fontId="13" type="noConversion"/>
  </si>
  <si>
    <t>비      고</t>
    <phoneticPr fontId="13" type="noConversion"/>
  </si>
  <si>
    <t>소      계</t>
    <phoneticPr fontId="13" type="noConversion"/>
  </si>
  <si>
    <t>관 평균T =</t>
    <phoneticPr fontId="13" type="noConversion"/>
  </si>
  <si>
    <t>유입관 평균</t>
    <phoneticPr fontId="13" type="noConversion"/>
  </si>
  <si>
    <t>(유출관)</t>
    <phoneticPr fontId="13" type="noConversion"/>
  </si>
  <si>
    <t>유출관 평균</t>
    <phoneticPr fontId="13" type="noConversion"/>
  </si>
  <si>
    <t>D×수량</t>
    <phoneticPr fontId="13" type="noConversion"/>
  </si>
  <si>
    <t>평균유입관경 :</t>
    <phoneticPr fontId="13" type="noConversion"/>
  </si>
  <si>
    <t>평균유출관경 :</t>
    <phoneticPr fontId="13" type="noConversion"/>
  </si>
  <si>
    <t>평균유입관T :</t>
    <phoneticPr fontId="13" type="noConversion"/>
  </si>
  <si>
    <t>평균유출관T :</t>
    <phoneticPr fontId="13" type="noConversion"/>
  </si>
  <si>
    <t>맨홀 유출입 개소 집계표</t>
    <phoneticPr fontId="21" type="noConversion"/>
  </si>
  <si>
    <t>오수맨홀 인버트 콘크리트 단위수량(각형2호맨홀)</t>
    <phoneticPr fontId="13" type="noConversion"/>
  </si>
  <si>
    <t>오수맨홀 수량 및 평균높이 산출표</t>
    <phoneticPr fontId="21" type="noConversion"/>
  </si>
  <si>
    <t>실 평 균  높 이  산 출</t>
    <phoneticPr fontId="21" type="noConversion"/>
  </si>
  <si>
    <t>맨홀 일반수량집계표</t>
    <phoneticPr fontId="13" type="noConversion"/>
  </si>
  <si>
    <t>맨홀 인버트 수량집계표</t>
    <phoneticPr fontId="19" type="noConversion"/>
  </si>
  <si>
    <t>오수맨홀 인버트수량</t>
    <phoneticPr fontId="19" type="noConversion"/>
  </si>
  <si>
    <t>오수맨홀 인버트 몰탈수량</t>
    <phoneticPr fontId="19" type="noConversion"/>
  </si>
  <si>
    <t>원형맨홀 오수인버트  ( 단차가 없는 경우 )</t>
    <phoneticPr fontId="19" type="noConversion"/>
  </si>
  <si>
    <t>원형맨홀 오수인버트  ( 단차가 있는 경우 )</t>
    <phoneticPr fontId="19" type="noConversion"/>
  </si>
  <si>
    <t>콘
크
리
트</t>
    <phoneticPr fontId="13" type="noConversion"/>
  </si>
  <si>
    <t>fck = 21 N/㎟</t>
    <phoneticPr fontId="13" type="noConversion"/>
  </si>
  <si>
    <t>수직</t>
    <phoneticPr fontId="13" type="noConversion"/>
  </si>
  <si>
    <t>합판 4회</t>
  </si>
  <si>
    <t>강재 35회</t>
    <phoneticPr fontId="13" type="noConversion"/>
  </si>
  <si>
    <t>TON</t>
    <phoneticPr fontId="13" type="noConversion"/>
  </si>
  <si>
    <t>D13</t>
  </si>
  <si>
    <t>TON</t>
  </si>
  <si>
    <t>D13 소계 :</t>
    <phoneticPr fontId="13" type="noConversion"/>
  </si>
  <si>
    <t>(단위 : 1nr)</t>
    <phoneticPr fontId="13" type="noConversion"/>
  </si>
  <si>
    <r>
      <t>{(1.7×1.7) - 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)/4}×0.25</t>
    </r>
    <phoneticPr fontId="13" type="noConversion"/>
  </si>
  <si>
    <t>받침대 고정 및
높이 조절용
(fck = 21 N/㎟)</t>
    <phoneticPr fontId="13" type="noConversion"/>
  </si>
  <si>
    <r>
      <t>[{(π×0.82²) - (π×0.698²)}/4×0.072]/2
+ [{(π×1.08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 - (π×0.82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)}/4×0.07]
+ [{(π×1.08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 - 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)}/4×0.1]</t>
    </r>
    <phoneticPr fontId="13" type="noConversion"/>
  </si>
  <si>
    <r>
      <t>{(π×0.82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)/4 - 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)/4} × 0.01</t>
    </r>
    <phoneticPr fontId="13" type="noConversion"/>
  </si>
  <si>
    <t>슬라브
(합판 4회)</t>
    <phoneticPr fontId="13" type="noConversion"/>
  </si>
  <si>
    <r>
      <t>1.2×1.2-(π×0.60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 + 1.7×0.25×4EA</t>
    </r>
    <phoneticPr fontId="13" type="noConversion"/>
  </si>
  <si>
    <t>2.0×0.3×4EA</t>
    <phoneticPr fontId="13" type="noConversion"/>
  </si>
  <si>
    <t>1.2×1.0×4EA + 1.7×1.0×4EA</t>
    <phoneticPr fontId="13" type="noConversion"/>
  </si>
  <si>
    <t>버   림
(합판 6회)</t>
    <phoneticPr fontId="13" type="noConversion"/>
  </si>
  <si>
    <t>2.2×0.1×4EA</t>
    <phoneticPr fontId="13" type="noConversion"/>
  </si>
  <si>
    <t>슬라브
(강재 35회)</t>
    <phoneticPr fontId="13" type="noConversion"/>
  </si>
  <si>
    <t>π×0.6×0.25</t>
    <phoneticPr fontId="13" type="noConversion"/>
  </si>
  <si>
    <t>높이조절용
(강재 35회)</t>
    <phoneticPr fontId="13" type="noConversion"/>
  </si>
  <si>
    <t>{(π×1.08) + (π×0.60)} × 0.1</t>
    <phoneticPr fontId="13" type="noConversion"/>
  </si>
  <si>
    <r>
      <t>{(1.2×1.2) - 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)/4} × 1.0 × 90%</t>
    </r>
    <phoneticPr fontId="13" type="noConversion"/>
  </si>
  <si>
    <t>1.2 × 1.0</t>
    <phoneticPr fontId="13" type="noConversion"/>
  </si>
  <si>
    <r>
      <t>(1.70×1.70 - 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/4)+(2.0×2.0)</t>
    </r>
    <phoneticPr fontId="13" type="noConversion"/>
  </si>
  <si>
    <t>D16 : 슬라브 배근도 참조</t>
    <phoneticPr fontId="13" type="noConversion"/>
  </si>
  <si>
    <t>D13 : 슬라브 배근도 참조</t>
    <phoneticPr fontId="13" type="noConversion"/>
  </si>
  <si>
    <t>※ 연약지반적용시 잡석치환 30㎝적용.</t>
    <phoneticPr fontId="13" type="noConversion"/>
  </si>
  <si>
    <t>각형맨홀 3호 (1400x1200) - 차도측</t>
    <phoneticPr fontId="13" type="noConversion"/>
  </si>
  <si>
    <t>각형맨홀 3호 (1400x1200) 단위수량 - 차도측</t>
    <phoneticPr fontId="13" type="noConversion"/>
  </si>
  <si>
    <r>
      <t>{(1.9×1.7) - 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)/4}×0.25</t>
    </r>
    <phoneticPr fontId="13" type="noConversion"/>
  </si>
  <si>
    <t>벽   체
(25-21-8)</t>
    <phoneticPr fontId="13" type="noConversion"/>
  </si>
  <si>
    <t>{(1.9×1.7) - (1.4×1.2)}×1.0</t>
    <phoneticPr fontId="13" type="noConversion"/>
  </si>
  <si>
    <t>바   닥
(25-21-8)</t>
    <phoneticPr fontId="13" type="noConversion"/>
  </si>
  <si>
    <t>2.2×2.0×0.30</t>
    <phoneticPr fontId="13" type="noConversion"/>
  </si>
  <si>
    <t>2.4×2.2×0.10</t>
    <phoneticPr fontId="13" type="noConversion"/>
  </si>
  <si>
    <r>
      <t>{(1.4×1.2)-(π×0.60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)/4} +  (1.9+1.7)×2EA×0.25</t>
    </r>
    <phoneticPr fontId="13" type="noConversion"/>
  </si>
  <si>
    <t>(2.2+2.0)×0.30×2EA</t>
    <phoneticPr fontId="13" type="noConversion"/>
  </si>
  <si>
    <t>(1.9+1.7+1.4+1.2)×1.0×2EA</t>
    <phoneticPr fontId="13" type="noConversion"/>
  </si>
  <si>
    <t>(2.4+2.2)×0.10×2EA</t>
    <phoneticPr fontId="13" type="noConversion"/>
  </si>
  <si>
    <t>사  다  리
( 제    품 )</t>
    <phoneticPr fontId="13" type="noConversion"/>
  </si>
  <si>
    <r>
      <t>{(1.4×1.2) - (π×0.60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)/4} × 1.0 × 90%</t>
    </r>
    <phoneticPr fontId="13" type="noConversion"/>
  </si>
  <si>
    <t>1.4×1.0 + 1.2×1.0</t>
    <phoneticPr fontId="13" type="noConversion"/>
  </si>
  <si>
    <r>
      <t>(1.9×1.7 - π×0.60</t>
    </r>
    <r>
      <rPr>
        <vertAlign val="superscript"/>
        <sz val="9"/>
        <rFont val="굴림체"/>
        <family val="3"/>
        <charset val="129"/>
      </rPr>
      <t>2</t>
    </r>
    <r>
      <rPr>
        <sz val="9"/>
        <rFont val="굴림체"/>
        <family val="3"/>
        <charset val="129"/>
      </rPr>
      <t>/4)×8EA + (2.2×2.0×8EA)</t>
    </r>
    <phoneticPr fontId="13" type="noConversion"/>
  </si>
  <si>
    <t>바   닥</t>
    <phoneticPr fontId="13" type="noConversion"/>
  </si>
  <si>
    <t>벽   체</t>
    <phoneticPr fontId="13" type="noConversion"/>
  </si>
  <si>
    <t>각형맨홀 3호 (1400x1200)</t>
    <phoneticPr fontId="13" type="noConversion"/>
  </si>
  <si>
    <t>뚜껑(φ648)</t>
    <phoneticPr fontId="13" type="noConversion"/>
  </si>
  <si>
    <t>강재35회</t>
    <phoneticPr fontId="13" type="noConversion"/>
  </si>
  <si>
    <t>D200</t>
  </si>
  <si>
    <t>유입유출개소수</t>
  </si>
  <si>
    <t>맨홀</t>
  </si>
  <si>
    <t>오수맨홀 인버트 콘크리트 단위수량(각형3호맨홀)</t>
    <phoneticPr fontId="13" type="noConversion"/>
  </si>
  <si>
    <t>△ 유입 유출 개소수 산정</t>
  </si>
  <si>
    <t>노선명</t>
    <phoneticPr fontId="13" type="noConversion"/>
  </si>
  <si>
    <t>차도</t>
    <phoneticPr fontId="13" type="noConversion"/>
  </si>
  <si>
    <t>보도</t>
    <phoneticPr fontId="13" type="noConversion"/>
  </si>
  <si>
    <t>보차도구분</t>
    <phoneticPr fontId="13" type="noConversion"/>
  </si>
  <si>
    <t>보도</t>
    <phoneticPr fontId="13" type="noConversion"/>
  </si>
  <si>
    <t>맨홀 유입ㆍ유출관 평균관경 산출</t>
    <phoneticPr fontId="13" type="noConversion"/>
  </si>
  <si>
    <t>D150</t>
    <phoneticPr fontId="13" type="noConversion"/>
  </si>
  <si>
    <t>D200</t>
    <phoneticPr fontId="19" type="noConversion"/>
  </si>
  <si>
    <t>D400</t>
    <phoneticPr fontId="19" type="noConversion"/>
  </si>
  <si>
    <t>D500</t>
    <phoneticPr fontId="18" type="noConversion"/>
  </si>
  <si>
    <t>D600</t>
    <phoneticPr fontId="13" type="noConversion"/>
  </si>
  <si>
    <t>(-) 맨홀뚜껑</t>
    <phoneticPr fontId="13" type="noConversion"/>
  </si>
  <si>
    <t>거푸집</t>
    <phoneticPr fontId="13" type="noConversion"/>
  </si>
  <si>
    <t>오수 원형 1호맨홀 단위수량(차도)</t>
    <phoneticPr fontId="13" type="noConversion"/>
  </si>
  <si>
    <t>오수 원형 1호맨홀 단위수량(보도)</t>
    <phoneticPr fontId="13" type="noConversion"/>
  </si>
  <si>
    <t>B800</t>
    <phoneticPr fontId="13" type="noConversion"/>
  </si>
  <si>
    <t>중량은 업체 카달로그 적용</t>
    <phoneticPr fontId="13" type="noConversion"/>
  </si>
  <si>
    <t>S200</t>
    <phoneticPr fontId="13" type="noConversion"/>
  </si>
  <si>
    <t>S300</t>
    <phoneticPr fontId="13" type="noConversion"/>
  </si>
  <si>
    <t>S400</t>
    <phoneticPr fontId="13" type="noConversion"/>
  </si>
  <si>
    <t>사다리
(EA)</t>
    <phoneticPr fontId="13" type="noConversion"/>
  </si>
  <si>
    <t>PE</t>
    <phoneticPr fontId="13" type="noConversion"/>
  </si>
  <si>
    <t>오수원형1호맨홀 수량산출근거-차도측</t>
    <phoneticPr fontId="13" type="noConversion"/>
  </si>
  <si>
    <t>S500</t>
    <phoneticPr fontId="13" type="noConversion"/>
  </si>
  <si>
    <t>S600</t>
    <phoneticPr fontId="13" type="noConversion"/>
  </si>
  <si>
    <t>S700</t>
    <phoneticPr fontId="13" type="noConversion"/>
  </si>
  <si>
    <t>S800</t>
    <phoneticPr fontId="13" type="noConversion"/>
  </si>
  <si>
    <t>S900</t>
    <phoneticPr fontId="13" type="noConversion"/>
  </si>
  <si>
    <t>계</t>
    <phoneticPr fontId="13" type="noConversion"/>
  </si>
  <si>
    <t>D500</t>
    <phoneticPr fontId="13" type="noConversion"/>
  </si>
  <si>
    <t>D400</t>
    <phoneticPr fontId="13" type="noConversion"/>
  </si>
  <si>
    <t>D300</t>
    <phoneticPr fontId="13" type="noConversion"/>
  </si>
  <si>
    <t>EA</t>
    <phoneticPr fontId="13" type="noConversion"/>
  </si>
  <si>
    <t>EA</t>
    <phoneticPr fontId="13" type="noConversion"/>
  </si>
  <si>
    <t>m</t>
    <phoneticPr fontId="13" type="noConversion"/>
  </si>
  <si>
    <t>m</t>
    <phoneticPr fontId="13" type="noConversion"/>
  </si>
  <si>
    <t>STSΦ16,
L=150</t>
    <phoneticPr fontId="13" type="noConversion"/>
  </si>
  <si>
    <t>100x4T
L=1224mm</t>
    <phoneticPr fontId="13" type="noConversion"/>
  </si>
  <si>
    <t>100x4T
L=918mm</t>
    <phoneticPr fontId="13" type="noConversion"/>
  </si>
  <si>
    <t>D300x90°</t>
    <phoneticPr fontId="13" type="noConversion"/>
  </si>
  <si>
    <t>D200x90°</t>
    <phoneticPr fontId="13" type="noConversion"/>
  </si>
  <si>
    <t>D300x200</t>
    <phoneticPr fontId="13" type="noConversion"/>
  </si>
  <si>
    <t>D200</t>
    <phoneticPr fontId="13" type="noConversion"/>
  </si>
  <si>
    <t>비고</t>
    <phoneticPr fontId="13" type="noConversion"/>
  </si>
  <si>
    <t>셋트앙카</t>
    <phoneticPr fontId="13" type="noConversion"/>
  </si>
  <si>
    <t>관지지대
(STS PLATE)</t>
    <phoneticPr fontId="13" type="noConversion"/>
  </si>
  <si>
    <t>곡관(90˚ )</t>
    <phoneticPr fontId="13" type="noConversion"/>
  </si>
  <si>
    <t>이경티</t>
    <phoneticPr fontId="13" type="noConversion"/>
  </si>
  <si>
    <t>단관</t>
    <phoneticPr fontId="13" type="noConversion"/>
  </si>
  <si>
    <t>수 량
(EA)</t>
    <phoneticPr fontId="13" type="noConversion"/>
  </si>
  <si>
    <t>낙 차
(m)</t>
    <phoneticPr fontId="13" type="noConversion"/>
  </si>
  <si>
    <t>본관관경</t>
    <phoneticPr fontId="13" type="noConversion"/>
  </si>
  <si>
    <t>부 관 맨 홀 재 료 집 계 표</t>
    <phoneticPr fontId="13" type="noConversion"/>
  </si>
  <si>
    <t>STSΦ16,L=150</t>
    <phoneticPr fontId="13" type="noConversion"/>
  </si>
  <si>
    <t>셋트앙카</t>
    <phoneticPr fontId="13" type="noConversion"/>
  </si>
  <si>
    <t>STSΦ16,L=150</t>
    <phoneticPr fontId="13" type="noConversion"/>
  </si>
  <si>
    <t>셋트앙카</t>
    <phoneticPr fontId="13" type="noConversion"/>
  </si>
  <si>
    <t>관지지대
(STS PLATE)</t>
    <phoneticPr fontId="13" type="noConversion"/>
  </si>
  <si>
    <t>100x4T
L=918mm</t>
    <phoneticPr fontId="13" type="noConversion"/>
  </si>
  <si>
    <t>관지지대
(STS PLATE)</t>
    <phoneticPr fontId="13" type="noConversion"/>
  </si>
  <si>
    <t>곡관(90˚ )</t>
    <phoneticPr fontId="13" type="noConversion"/>
  </si>
  <si>
    <t>곡관(90˚ )</t>
    <phoneticPr fontId="13" type="noConversion"/>
  </si>
  <si>
    <t>D300x200</t>
    <phoneticPr fontId="13" type="noConversion"/>
  </si>
  <si>
    <t>부관맨홀산출근거참조</t>
    <phoneticPr fontId="13" type="noConversion"/>
  </si>
  <si>
    <t>VAR</t>
    <phoneticPr fontId="13" type="noConversion"/>
  </si>
  <si>
    <t>M</t>
    <phoneticPr fontId="13" type="noConversion"/>
  </si>
  <si>
    <t>단  관</t>
    <phoneticPr fontId="13" type="noConversion"/>
  </si>
  <si>
    <t>부관맨홀산출근거참조</t>
    <phoneticPr fontId="13" type="noConversion"/>
  </si>
  <si>
    <t>VAR</t>
    <phoneticPr fontId="13" type="noConversion"/>
  </si>
  <si>
    <t>비 고</t>
    <phoneticPr fontId="13" type="noConversion"/>
  </si>
  <si>
    <t>수 량</t>
    <phoneticPr fontId="13" type="noConversion"/>
  </si>
  <si>
    <t>단 위</t>
    <phoneticPr fontId="13" type="noConversion"/>
  </si>
  <si>
    <t>규 격</t>
    <phoneticPr fontId="13" type="noConversion"/>
  </si>
  <si>
    <t>구 분</t>
    <phoneticPr fontId="13" type="noConversion"/>
  </si>
  <si>
    <t>단 위</t>
    <phoneticPr fontId="13" type="noConversion"/>
  </si>
  <si>
    <t>규 격</t>
    <phoneticPr fontId="13" type="noConversion"/>
  </si>
  <si>
    <t>(개소당)</t>
    <phoneticPr fontId="13" type="noConversion"/>
  </si>
  <si>
    <t>부관맨홀 단위수량 (D300)</t>
    <phoneticPr fontId="13" type="noConversion"/>
  </si>
  <si>
    <t>부관맨홀 단위수량 (D200)</t>
    <phoneticPr fontId="13" type="noConversion"/>
  </si>
  <si>
    <t>원형2호
맨   홀</t>
    <phoneticPr fontId="13" type="noConversion"/>
  </si>
  <si>
    <t>원형2호
맨   홀</t>
    <phoneticPr fontId="13" type="noConversion"/>
  </si>
  <si>
    <t>원형1호
소 계</t>
    <phoneticPr fontId="13" type="noConversion"/>
  </si>
  <si>
    <t>원형2호
소 계</t>
    <phoneticPr fontId="13" type="noConversion"/>
  </si>
  <si>
    <t>원형1호맨홀
합  계</t>
    <phoneticPr fontId="13" type="noConversion"/>
  </si>
  <si>
    <t>원형2호맨홀
합  계</t>
    <phoneticPr fontId="13" type="noConversion"/>
  </si>
  <si>
    <t>B800</t>
  </si>
  <si>
    <t>B1200</t>
  </si>
  <si>
    <t>H500</t>
  </si>
  <si>
    <t>[{(π×0.82²) - (π×0.698²)}/4×0.072]/2+[{(π×1.00²) - (π×0.82²)}/4×0.07]+ [{(π×1.00²) - (π×0.60²)}/4×0.1]</t>
    <phoneticPr fontId="13" type="noConversion"/>
  </si>
  <si>
    <t>{(πx1.00) + (πx0.6)} x 0.1</t>
    <phoneticPr fontId="13" type="noConversion"/>
  </si>
  <si>
    <t>(π×0.82²-π×0.6²)/4×0.10</t>
    <phoneticPr fontId="13" type="noConversion"/>
  </si>
  <si>
    <t>(π×0.82×0.10)+(π×0.60×0.10)</t>
    <phoneticPr fontId="13" type="noConversion"/>
  </si>
  <si>
    <t>[{(π×0.82²) - (π×0.698²)}/4×0.072]/2+[{(π×1.08²) - (π×0.82²)}/4×0.07]+ [{(π×1.08²) - (π×0.60²)}/4×0.1]</t>
    <phoneticPr fontId="13" type="noConversion"/>
  </si>
  <si>
    <t>{(πx1.08) + (πx0.6)} x 0.1</t>
    <phoneticPr fontId="13" type="noConversion"/>
  </si>
  <si>
    <t>S300</t>
  </si>
  <si>
    <t>S400</t>
  </si>
  <si>
    <t>S500</t>
  </si>
  <si>
    <t>S600</t>
  </si>
  <si>
    <t>S700</t>
  </si>
  <si>
    <t>S800</t>
  </si>
  <si>
    <t>S900</t>
  </si>
  <si>
    <t>부관맨홀</t>
    <phoneticPr fontId="13" type="noConversion"/>
  </si>
  <si>
    <t>맨홀
이음부</t>
    <phoneticPr fontId="13" type="noConversion"/>
  </si>
  <si>
    <t>조립식맨홀</t>
    <phoneticPr fontId="13" type="noConversion"/>
  </si>
  <si>
    <t>B800</t>
    <phoneticPr fontId="13" type="noConversion"/>
  </si>
  <si>
    <t>B1200</t>
    <phoneticPr fontId="13" type="noConversion"/>
  </si>
  <si>
    <t>S400</t>
    <phoneticPr fontId="13" type="noConversion"/>
  </si>
  <si>
    <t>S500</t>
    <phoneticPr fontId="13" type="noConversion"/>
  </si>
  <si>
    <t>S600</t>
    <phoneticPr fontId="13" type="noConversion"/>
  </si>
  <si>
    <t>S700</t>
    <phoneticPr fontId="13" type="noConversion"/>
  </si>
  <si>
    <t>S900</t>
    <phoneticPr fontId="13" type="noConversion"/>
  </si>
  <si>
    <t>B800</t>
    <phoneticPr fontId="13" type="noConversion"/>
  </si>
  <si>
    <t>EA</t>
    <phoneticPr fontId="13" type="noConversion"/>
  </si>
  <si>
    <t>D300</t>
    <phoneticPr fontId="13" type="noConversion"/>
  </si>
  <si>
    <t>D400x
D300</t>
    <phoneticPr fontId="13" type="noConversion"/>
  </si>
  <si>
    <t>D300</t>
    <phoneticPr fontId="13" type="noConversion"/>
  </si>
  <si>
    <t>D300</t>
    <phoneticPr fontId="13" type="noConversion"/>
  </si>
  <si>
    <t>D300</t>
    <phoneticPr fontId="13" type="noConversion"/>
  </si>
  <si>
    <t>STSΦ16</t>
    <phoneticPr fontId="13" type="noConversion"/>
  </si>
  <si>
    <t>관지지대
(STS PLATE)</t>
    <phoneticPr fontId="13" type="noConversion"/>
  </si>
  <si>
    <t>관절단</t>
    <phoneticPr fontId="13" type="noConversion"/>
  </si>
  <si>
    <t>관접합</t>
    <phoneticPr fontId="13" type="noConversion"/>
  </si>
  <si>
    <t>D200</t>
    <phoneticPr fontId="13" type="noConversion"/>
  </si>
  <si>
    <t>D200</t>
    <phoneticPr fontId="13" type="noConversion"/>
  </si>
  <si>
    <t>* 조립식 PC 맨홀 적용으로 본체 높이에 슬라브 두께 포함됨</t>
    <phoneticPr fontId="13" type="noConversion"/>
  </si>
  <si>
    <t>보도</t>
    <phoneticPr fontId="13" type="noConversion"/>
  </si>
  <si>
    <t>상,하판계</t>
    <phoneticPr fontId="13" type="noConversion"/>
  </si>
  <si>
    <t>연직</t>
    <phoneticPr fontId="13" type="noConversion"/>
  </si>
  <si>
    <t>차도</t>
    <phoneticPr fontId="13" type="noConversion"/>
  </si>
  <si>
    <t>1호</t>
    <phoneticPr fontId="13" type="noConversion"/>
  </si>
  <si>
    <t>2호</t>
    <phoneticPr fontId="13" type="noConversion"/>
  </si>
  <si>
    <t xml:space="preserve"> </t>
    <phoneticPr fontId="13" type="noConversion"/>
  </si>
  <si>
    <t>실
맨홀
높이
(-맨홀뚜껑)</t>
    <phoneticPr fontId="13" type="noConversion"/>
  </si>
  <si>
    <t>cds출력 붙여넣기</t>
    <phoneticPr fontId="13" type="noConversion"/>
  </si>
  <si>
    <t>계  획  관  거</t>
  </si>
  <si>
    <t>㎥/sec</t>
  </si>
  <si>
    <t>mm</t>
  </si>
  <si>
    <t xml:space="preserve">‰ </t>
  </si>
  <si>
    <t>Out</t>
  </si>
  <si>
    <t>D300</t>
    <phoneticPr fontId="13" type="noConversion"/>
  </si>
  <si>
    <t>보  도</t>
  </si>
  <si>
    <t>M1-115</t>
  </si>
  <si>
    <t>M1-118</t>
  </si>
  <si>
    <t>M1-121</t>
  </si>
  <si>
    <t>M1-130</t>
  </si>
  <si>
    <t>M1-134</t>
  </si>
  <si>
    <t>M1-148</t>
  </si>
  <si>
    <t>보차도구분</t>
    <phoneticPr fontId="13" type="noConversion"/>
  </si>
  <si>
    <t>D500mm</t>
    <phoneticPr fontId="13" type="noConversion"/>
  </si>
  <si>
    <t>D500mm</t>
    <phoneticPr fontId="13" type="noConversion"/>
  </si>
  <si>
    <t>도로명</t>
    <phoneticPr fontId="13" type="noConversion"/>
  </si>
  <si>
    <t>맨홀번호</t>
    <phoneticPr fontId="13" type="noConversion"/>
  </si>
  <si>
    <t xml:space="preserve"> CDS 맨홀평균높이에서 구분하여 붙여넣기</t>
    <phoneticPr fontId="13" type="noConversion"/>
  </si>
  <si>
    <t>잡석</t>
    <phoneticPr fontId="13" type="noConversion"/>
  </si>
  <si>
    <t>Φ100이하</t>
    <phoneticPr fontId="13" type="noConversion"/>
  </si>
  <si>
    <t>㎥</t>
    <phoneticPr fontId="13" type="noConversion"/>
  </si>
  <si>
    <t>π x 1.6^2 / 4 x 0.2</t>
    <phoneticPr fontId="13" type="noConversion"/>
  </si>
  <si>
    <t>π x 1.3^2 / 4 x 0.2</t>
    <phoneticPr fontId="13" type="noConversion"/>
  </si>
  <si>
    <t>잡석</t>
    <phoneticPr fontId="13" type="noConversion"/>
  </si>
  <si>
    <t>Φ100이하</t>
    <phoneticPr fontId="13" type="noConversion"/>
  </si>
  <si>
    <t>㎥</t>
    <phoneticPr fontId="13" type="noConversion"/>
  </si>
  <si>
    <t>수리계산에서 단차 0.59 이상 관로명 붙여넣기</t>
    <phoneticPr fontId="13" type="noConversion"/>
  </si>
  <si>
    <t>맨홀뚜껑 
고정볼트</t>
    <phoneticPr fontId="13" type="noConversion"/>
  </si>
  <si>
    <t>φ16㎜</t>
    <phoneticPr fontId="13" type="noConversion"/>
  </si>
  <si>
    <t>EA</t>
    <phoneticPr fontId="13" type="noConversion"/>
  </si>
  <si>
    <t>케미컬앵커 (M20x190)</t>
    <phoneticPr fontId="13" type="noConversion"/>
  </si>
  <si>
    <t>맨홀뚜껑 
고정볼트</t>
    <phoneticPr fontId="13" type="noConversion"/>
  </si>
  <si>
    <t>케미컬앵커
(M20x190)</t>
    <phoneticPr fontId="13" type="noConversion"/>
  </si>
  <si>
    <t>잡석</t>
    <phoneticPr fontId="13" type="noConversion"/>
  </si>
  <si>
    <t>Φ100이하</t>
    <phoneticPr fontId="13" type="noConversion"/>
  </si>
  <si>
    <t>㎥</t>
    <phoneticPr fontId="13" type="noConversion"/>
  </si>
  <si>
    <t>조립식맨홀</t>
    <phoneticPr fontId="13" type="noConversion"/>
  </si>
  <si>
    <t>조립식맨홀</t>
    <phoneticPr fontId="13" type="noConversion"/>
  </si>
  <si>
    <t>m</t>
    <phoneticPr fontId="118" type="noConversion"/>
  </si>
  <si>
    <t>m/sec</t>
    <phoneticPr fontId="21" type="noConversion"/>
  </si>
  <si>
    <t>(-)</t>
    <phoneticPr fontId="13" type="noConversion"/>
  </si>
  <si>
    <t>관로
번호</t>
    <phoneticPr fontId="36" type="noConversion"/>
  </si>
  <si>
    <t>비고</t>
    <phoneticPr fontId="118" type="noConversion"/>
  </si>
  <si>
    <t>구간
(시간최대)</t>
    <phoneticPr fontId="118" type="noConversion"/>
  </si>
  <si>
    <t>누가</t>
    <phoneticPr fontId="118" type="noConversion"/>
  </si>
  <si>
    <t>관연장</t>
    <phoneticPr fontId="118" type="noConversion"/>
  </si>
  <si>
    <t>토피고</t>
    <phoneticPr fontId="118" type="noConversion"/>
  </si>
  <si>
    <t>관저고</t>
    <phoneticPr fontId="118" type="noConversion"/>
  </si>
  <si>
    <t>기울기</t>
    <phoneticPr fontId="118" type="noConversion"/>
  </si>
  <si>
    <t>낙차</t>
    <phoneticPr fontId="118" type="noConversion"/>
  </si>
  <si>
    <t>높이차</t>
    <phoneticPr fontId="118" type="noConversion"/>
  </si>
  <si>
    <t>계획유속</t>
    <phoneticPr fontId="118" type="noConversion"/>
  </si>
  <si>
    <t>계획유량</t>
    <phoneticPr fontId="118" type="noConversion"/>
  </si>
  <si>
    <t>유 량 비Qact
/Qall</t>
    <phoneticPr fontId="13" type="noConversion"/>
  </si>
  <si>
    <t>유 속 비 Vact
/Vall</t>
    <phoneticPr fontId="13" type="noConversion"/>
  </si>
  <si>
    <t>실유속</t>
    <phoneticPr fontId="13" type="noConversion"/>
  </si>
  <si>
    <t>종점</t>
    <phoneticPr fontId="118" type="noConversion"/>
  </si>
  <si>
    <t>관로</t>
    <phoneticPr fontId="118" type="noConversion"/>
  </si>
  <si>
    <t>관로명</t>
    <phoneticPr fontId="13" type="noConversion"/>
  </si>
  <si>
    <t>유출관</t>
    <phoneticPr fontId="13" type="noConversion"/>
  </si>
  <si>
    <t>㎥/day</t>
    <phoneticPr fontId="13" type="noConversion"/>
  </si>
  <si>
    <t xml:space="preserve">‰ </t>
    <phoneticPr fontId="21" type="noConversion"/>
  </si>
  <si>
    <t>D400~600x300</t>
    <phoneticPr fontId="13" type="noConversion"/>
  </si>
  <si>
    <t>D600mm</t>
    <phoneticPr fontId="13" type="noConversion"/>
  </si>
  <si>
    <t>D600mm</t>
    <phoneticPr fontId="13" type="noConversion"/>
  </si>
  <si>
    <t>고무링
(EA)</t>
    <phoneticPr fontId="13" type="noConversion"/>
  </si>
  <si>
    <t>연결볼트
(EA)</t>
    <phoneticPr fontId="13" type="noConversion"/>
  </si>
  <si>
    <t>계획오수량</t>
    <phoneticPr fontId="13" type="noConversion"/>
  </si>
  <si>
    <t>관경</t>
    <phoneticPr fontId="118" type="noConversion"/>
  </si>
  <si>
    <t>계획지반고</t>
    <phoneticPr fontId="118" type="noConversion"/>
  </si>
  <si>
    <t>수 심 비hact
/Hfull</t>
    <phoneticPr fontId="13" type="noConversion"/>
  </si>
  <si>
    <t>여유율</t>
    <phoneticPr fontId="118" type="noConversion"/>
  </si>
  <si>
    <t>시점</t>
    <phoneticPr fontId="118" type="noConversion"/>
  </si>
  <si>
    <t>도로</t>
    <phoneticPr fontId="118" type="noConversion"/>
  </si>
  <si>
    <t>㎥/sec</t>
    <phoneticPr fontId="21" type="noConversion"/>
  </si>
  <si>
    <t>m</t>
    <phoneticPr fontId="118" type="noConversion"/>
  </si>
  <si>
    <t>㎥/sec</t>
    <phoneticPr fontId="13" type="noConversion"/>
  </si>
  <si>
    <t>(-)</t>
    <phoneticPr fontId="13" type="noConversion"/>
  </si>
  <si>
    <t>m/sec</t>
    <phoneticPr fontId="118" type="noConversion"/>
  </si>
  <si>
    <t>%</t>
    <phoneticPr fontId="118" type="noConversion"/>
  </si>
  <si>
    <t>중간
슬라브</t>
    <phoneticPr fontId="13" type="noConversion"/>
  </si>
  <si>
    <t>EA</t>
    <phoneticPr fontId="13" type="noConversion"/>
  </si>
  <si>
    <t>중간슬래브</t>
    <phoneticPr fontId="13" type="noConversion"/>
  </si>
  <si>
    <t>EA</t>
    <phoneticPr fontId="13" type="noConversion"/>
  </si>
  <si>
    <t>맨홀
발디딤
(EA)</t>
    <phoneticPr fontId="13" type="noConversion"/>
  </si>
  <si>
    <t>이경티(이경 YT)</t>
    <phoneticPr fontId="13" type="noConversion"/>
  </si>
  <si>
    <t>1194*500</t>
    <phoneticPr fontId="13" type="noConversion"/>
  </si>
  <si>
    <t>895*500</t>
    <phoneticPr fontId="13" type="noConversion"/>
  </si>
  <si>
    <t>895*500</t>
    <phoneticPr fontId="13" type="noConversion"/>
  </si>
  <si>
    <t>1194*500</t>
    <phoneticPr fontId="13" type="noConversion"/>
  </si>
  <si>
    <t>D150</t>
    <phoneticPr fontId="13" type="noConversion"/>
  </si>
  <si>
    <t>D200</t>
    <phoneticPr fontId="13" type="noConversion"/>
  </si>
  <si>
    <t>D300</t>
    <phoneticPr fontId="13" type="noConversion"/>
  </si>
  <si>
    <t>D400</t>
    <phoneticPr fontId="13" type="noConversion"/>
  </si>
  <si>
    <t>D500</t>
    <phoneticPr fontId="13" type="noConversion"/>
  </si>
  <si>
    <t>D600</t>
    <phoneticPr fontId="13" type="noConversion"/>
  </si>
  <si>
    <t>구    분</t>
    <phoneticPr fontId="13" type="noConversion"/>
  </si>
  <si>
    <t>맨홀
수량
(개)</t>
    <phoneticPr fontId="13" type="noConversion"/>
  </si>
  <si>
    <t>총연장</t>
    <phoneticPr fontId="13" type="noConversion"/>
  </si>
  <si>
    <t>D150mm</t>
    <phoneticPr fontId="13" type="noConversion"/>
  </si>
  <si>
    <t>D200mm</t>
    <phoneticPr fontId="13" type="noConversion"/>
  </si>
  <si>
    <t>D300mm</t>
    <phoneticPr fontId="13" type="noConversion"/>
  </si>
  <si>
    <t>D400mm</t>
    <phoneticPr fontId="13" type="noConversion"/>
  </si>
  <si>
    <t>D500mm</t>
    <phoneticPr fontId="13" type="noConversion"/>
  </si>
  <si>
    <t>D600mm</t>
    <phoneticPr fontId="13" type="noConversion"/>
  </si>
  <si>
    <t>연결
수량
(개)</t>
    <phoneticPr fontId="13" type="noConversion"/>
  </si>
  <si>
    <t>단위
수량</t>
    <phoneticPr fontId="13" type="noConversion"/>
  </si>
  <si>
    <t>연장
(m)</t>
    <phoneticPr fontId="13" type="noConversion"/>
  </si>
  <si>
    <t>연결
수량
(개)</t>
    <phoneticPr fontId="13" type="noConversion"/>
  </si>
  <si>
    <t>연장
(m)</t>
    <phoneticPr fontId="13" type="noConversion"/>
  </si>
  <si>
    <t>단위
수량</t>
    <phoneticPr fontId="13" type="noConversion"/>
  </si>
  <si>
    <t>연장
(m)</t>
    <phoneticPr fontId="13" type="noConversion"/>
  </si>
  <si>
    <t>연결
수량
(개)</t>
    <phoneticPr fontId="13" type="noConversion"/>
  </si>
  <si>
    <t>m</t>
    <phoneticPr fontId="13" type="noConversion"/>
  </si>
  <si>
    <t>원형1호
맨   홀</t>
    <phoneticPr fontId="13" type="noConversion"/>
  </si>
  <si>
    <t>-</t>
    <phoneticPr fontId="13" type="noConversion"/>
  </si>
  <si>
    <t>계</t>
    <phoneticPr fontId="13" type="noConversion"/>
  </si>
  <si>
    <t>소계</t>
    <phoneticPr fontId="21" type="noConversion"/>
  </si>
  <si>
    <t>합계</t>
    <phoneticPr fontId="21" type="noConversion"/>
  </si>
  <si>
    <t>부관맨홀</t>
    <phoneticPr fontId="13" type="noConversion"/>
  </si>
  <si>
    <t>보도</t>
    <phoneticPr fontId="13" type="noConversion"/>
  </si>
  <si>
    <t>차도</t>
    <phoneticPr fontId="13" type="noConversion"/>
  </si>
  <si>
    <t>계</t>
    <phoneticPr fontId="13" type="noConversion"/>
  </si>
  <si>
    <t>원형2호
맨   홀</t>
    <phoneticPr fontId="13" type="noConversion"/>
  </si>
  <si>
    <t>단위수량</t>
    <phoneticPr fontId="13" type="noConversion"/>
  </si>
  <si>
    <t>단위수량</t>
    <phoneticPr fontId="13" type="noConversion"/>
  </si>
  <si>
    <t>* D150mm 연결수량은 연결관 수량의 맨홀접합 수량 참조</t>
    <phoneticPr fontId="13" type="noConversion"/>
  </si>
  <si>
    <t>관연결부 수량산출</t>
    <phoneticPr fontId="13" type="noConversion"/>
  </si>
  <si>
    <t>관연결부 고무커넥터</t>
    <phoneticPr fontId="13" type="noConversion"/>
  </si>
  <si>
    <t>20*10</t>
    <phoneticPr fontId="13" type="noConversion"/>
  </si>
  <si>
    <t>=</t>
    <phoneticPr fontId="13" type="noConversion"/>
  </si>
  <si>
    <t>m</t>
    <phoneticPr fontId="13" type="noConversion"/>
  </si>
  <si>
    <t>Ø648</t>
    <phoneticPr fontId="13" type="noConversion"/>
  </si>
  <si>
    <t>π x 1.3^2 / 4 x 0.2</t>
    <phoneticPr fontId="13" type="noConversion"/>
  </si>
  <si>
    <t>(Ø648 + 20mm + 20mm) * π</t>
    <phoneticPr fontId="13" type="noConversion"/>
  </si>
  <si>
    <t>20*10</t>
    <phoneticPr fontId="13" type="noConversion"/>
  </si>
  <si>
    <t>맨홀뚜껑 
고정볼트</t>
    <phoneticPr fontId="13" type="noConversion"/>
  </si>
  <si>
    <t>뚜껑 연결부
수팽창고무</t>
    <phoneticPr fontId="13" type="noConversion"/>
  </si>
  <si>
    <t>맨홀뚜껑연결부
수팽창 고무</t>
    <phoneticPr fontId="13" type="noConversion"/>
  </si>
  <si>
    <t>뚜껑연결부
수팽창 고무</t>
    <phoneticPr fontId="13" type="noConversion"/>
  </si>
  <si>
    <t>20*10</t>
    <phoneticPr fontId="13" type="noConversion"/>
  </si>
  <si>
    <t>m</t>
    <phoneticPr fontId="13" type="noConversion"/>
  </si>
  <si>
    <t>A001</t>
  </si>
  <si>
    <t>A002</t>
  </si>
  <si>
    <t>A003</t>
  </si>
  <si>
    <t>A004</t>
  </si>
  <si>
    <t>A005</t>
  </si>
  <si>
    <t>A006</t>
  </si>
  <si>
    <t>A007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</si>
  <si>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</si>
  <si>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</si>
  <si>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</si>
  <si>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</si>
  <si>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</si>
  <si>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</si>
  <si>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</si>
  <si>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</si>
  <si>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</si>
  <si>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</si>
  <si>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</si>
  <si>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</si>
  <si>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</si>
  <si>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</si>
  <si>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</si>
  <si>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</si>
  <si>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</si>
  <si>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</si>
  <si>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</si>
  <si>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</si>
  <si>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</si>
  <si>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</si>
  <si>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</si>
  <si>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</si>
  <si>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</si>
  <si>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</si>
  <si>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</si>
  <si>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</si>
  <si>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</si>
  <si>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</si>
  <si>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</si>
  <si>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</si>
  <si>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</si>
  <si>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</si>
  <si>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</si>
  <si>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</si>
  <si>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</si>
  <si>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</si>
  <si>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</si>
  <si>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</si>
  <si>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</si>
  <si>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</si>
  <si>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</si>
  <si>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</si>
  <si>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A063</t>
  </si>
  <si>
    <t>A064</t>
  </si>
  <si>
    <t>A066</t>
  </si>
  <si>
    <t>A067</t>
  </si>
  <si>
    <t>A068</t>
  </si>
  <si>
    <t>A069</t>
  </si>
  <si>
    <t>A070</t>
  </si>
  <si>
    <t>A071</t>
  </si>
  <si>
    <t>A072</t>
  </si>
  <si>
    <t>A073</t>
  </si>
  <si>
    <t>A074</t>
  </si>
  <si>
    <t>A077</t>
  </si>
  <si>
    <t>A078</t>
  </si>
  <si>
    <t>A079</t>
  </si>
  <si>
    <t>A080</t>
  </si>
  <si>
    <t>A081</t>
  </si>
  <si>
    <t>A082</t>
  </si>
  <si>
    <t>A083</t>
  </si>
  <si>
    <t>A084</t>
  </si>
  <si>
    <t>A085</t>
  </si>
  <si>
    <t>A086</t>
  </si>
  <si>
    <t>A087</t>
  </si>
  <si>
    <t>A088</t>
  </si>
  <si>
    <t>A089</t>
  </si>
  <si>
    <t>A090</t>
  </si>
  <si>
    <t>A092</t>
  </si>
  <si>
    <t>A093</t>
  </si>
  <si>
    <t>A094</t>
  </si>
  <si>
    <t>A095</t>
  </si>
  <si>
    <t>A096</t>
  </si>
  <si>
    <t>A097</t>
  </si>
  <si>
    <t>A098</t>
  </si>
  <si>
    <t>A099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</si>
  <si>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</si>
  <si>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</si>
  <si>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</si>
  <si>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</si>
  <si>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</si>
  <si>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</si>
  <si>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</si>
  <si>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</si>
  <si>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</si>
  <si>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</si>
  <si>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</si>
  <si>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</si>
  <si>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</si>
  <si>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</si>
  <si>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</si>
  <si>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</si>
  <si>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</si>
  <si>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</si>
  <si>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</si>
  <si>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</si>
  <si>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</si>
  <si>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</si>
  <si>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B001</t>
  </si>
  <si>
    <t>B002</t>
  </si>
  <si>
    <t>B003</t>
  </si>
  <si>
    <t>B004</t>
  </si>
  <si>
    <t>B005</t>
  </si>
  <si>
    <t>B006</t>
  </si>
  <si>
    <t>B007</t>
  </si>
  <si>
    <t>B009</t>
  </si>
  <si>
    <t>B010</t>
  </si>
  <si>
    <t>B011</t>
  </si>
  <si>
    <t>P001</t>
  </si>
  <si>
    <t>B012</t>
  </si>
  <si>
    <t>B013</t>
  </si>
  <si>
    <t>B014</t>
  </si>
  <si>
    <t>B015</t>
  </si>
  <si>
    <t>B016(1)</t>
  </si>
  <si>
    <t>B016(2)</t>
  </si>
  <si>
    <t>B017</t>
  </si>
  <si>
    <t>B018</t>
  </si>
  <si>
    <t>B019</t>
  </si>
  <si>
    <t>B020</t>
  </si>
  <si>
    <t>B021</t>
  </si>
  <si>
    <t>B022</t>
  </si>
  <si>
    <t>B023</t>
  </si>
  <si>
    <t>B024</t>
  </si>
  <si>
    <t>B025</t>
  </si>
  <si>
    <t>B026</t>
  </si>
  <si>
    <t>B027</t>
  </si>
  <si>
    <t>B028</t>
  </si>
  <si>
    <t>B029</t>
  </si>
  <si>
    <t>B030</t>
  </si>
  <si>
    <t>B034</t>
  </si>
  <si>
    <t>B035</t>
  </si>
  <si>
    <t>B036</t>
  </si>
  <si>
    <t>B037</t>
  </si>
  <si>
    <t>B038</t>
  </si>
  <si>
    <t>B039</t>
  </si>
  <si>
    <t>B041</t>
  </si>
  <si>
    <t>B042</t>
  </si>
  <si>
    <t>B043</t>
  </si>
  <si>
    <t>B044</t>
  </si>
  <si>
    <t>M2-025</t>
  </si>
  <si>
    <t>M2-086</t>
  </si>
  <si>
    <t>M2-087</t>
  </si>
  <si>
    <t>M2-088</t>
  </si>
  <si>
    <t>소(국)2-어천4</t>
  </si>
  <si>
    <t>M1-001</t>
  </si>
  <si>
    <t>M1-002</t>
  </si>
  <si>
    <t>M1-006</t>
  </si>
  <si>
    <t>중(집)2-어천1</t>
  </si>
  <si>
    <t>M1-010</t>
  </si>
  <si>
    <t>M1-011</t>
  </si>
  <si>
    <t>M1-012</t>
  </si>
  <si>
    <t>M1-013</t>
  </si>
  <si>
    <t>M1-014</t>
  </si>
  <si>
    <t>M1-015</t>
  </si>
  <si>
    <t>M1-017</t>
  </si>
  <si>
    <t>M1-018</t>
  </si>
  <si>
    <t>M1-019</t>
  </si>
  <si>
    <t>M1-020</t>
  </si>
  <si>
    <t>M1-021</t>
  </si>
  <si>
    <t>M1-022</t>
  </si>
  <si>
    <t>M1-024</t>
  </si>
  <si>
    <t>M1-027</t>
  </si>
  <si>
    <t>M1-028</t>
  </si>
  <si>
    <t>M1-029</t>
  </si>
  <si>
    <t>M1-032</t>
  </si>
  <si>
    <t>M1-033</t>
  </si>
  <si>
    <t>M1-035</t>
  </si>
  <si>
    <t>M1-036</t>
  </si>
  <si>
    <t>M1-037</t>
  </si>
  <si>
    <t>M1-092</t>
  </si>
  <si>
    <t>가도_A038~A042</t>
  </si>
  <si>
    <t>M1-039</t>
  </si>
  <si>
    <t>M1-040</t>
  </si>
  <si>
    <t>M1-043</t>
  </si>
  <si>
    <t>소(국)2-어천1</t>
  </si>
  <si>
    <t>소(국)1-어천4</t>
  </si>
  <si>
    <t>소(국)1-어천1</t>
  </si>
  <si>
    <t>중(국)3-어천1</t>
  </si>
  <si>
    <t>소(국)2-어천2</t>
  </si>
  <si>
    <t>소(국)2-어천3</t>
  </si>
  <si>
    <t>소(국)3-어천1</t>
  </si>
  <si>
    <t>소(국)2-어천5</t>
  </si>
  <si>
    <t>M1-075</t>
  </si>
  <si>
    <t>소(국)1-어천5</t>
  </si>
  <si>
    <t>M1-071</t>
  </si>
  <si>
    <t>소(국)2-어천6</t>
  </si>
  <si>
    <t>M1-077</t>
  </si>
  <si>
    <t>소(국)3-어천2</t>
  </si>
  <si>
    <t>M1-082</t>
  </si>
  <si>
    <t>가도_A093</t>
  </si>
  <si>
    <t>M1-083</t>
  </si>
  <si>
    <t>가도_A094</t>
  </si>
  <si>
    <t>M1-084</t>
  </si>
  <si>
    <t>가도_A095~A100</t>
  </si>
  <si>
    <t>M1-085</t>
  </si>
  <si>
    <t>M1-089</t>
  </si>
  <si>
    <t>M1-090</t>
  </si>
  <si>
    <t>가도_A101</t>
  </si>
  <si>
    <t>M1-091</t>
  </si>
  <si>
    <t>소(국)2-어천8</t>
  </si>
  <si>
    <t>소(국)2-어천10</t>
  </si>
  <si>
    <t>M1-095</t>
  </si>
  <si>
    <t>소(국)1-어천7</t>
  </si>
  <si>
    <t>도시농업</t>
  </si>
  <si>
    <t>소(국)2-어천7</t>
  </si>
  <si>
    <t>소(국)1-어천8</t>
  </si>
  <si>
    <t>소(국)2-어천9</t>
  </si>
  <si>
    <t>중(보)매송2-4</t>
  </si>
  <si>
    <t>중(국)3-어천4</t>
  </si>
  <si>
    <t>중(국)2-어천5</t>
  </si>
  <si>
    <t>중(국)2-어천3</t>
  </si>
  <si>
    <t>중(국)3-어천5</t>
  </si>
  <si>
    <t>중(국)3-어천6</t>
  </si>
  <si>
    <t>M1-136</t>
  </si>
  <si>
    <t>M1-138</t>
  </si>
  <si>
    <t>중(집)2-어천4</t>
  </si>
  <si>
    <t>M1-140</t>
  </si>
  <si>
    <t>대(집)3-어천1</t>
  </si>
  <si>
    <t>M1-141</t>
  </si>
  <si>
    <t>가도_B043</t>
  </si>
  <si>
    <t>가도_B044</t>
  </si>
  <si>
    <t>차  도</t>
  </si>
  <si>
    <t>M1-064</t>
  </si>
  <si>
    <t>B008</t>
  </si>
  <si>
    <t>B031(1)</t>
  </si>
  <si>
    <t>B031(2)</t>
  </si>
  <si>
    <t>B032(1)</t>
  </si>
  <si>
    <t>B032(2)</t>
  </si>
  <si>
    <t>B033(1)</t>
  </si>
  <si>
    <t>B033(2)</t>
  </si>
  <si>
    <t>M1-155</t>
  </si>
  <si>
    <t>M1-156</t>
  </si>
  <si>
    <t>M1-157</t>
  </si>
  <si>
    <t>M1-158</t>
  </si>
  <si>
    <t>A008(1)</t>
  </si>
  <si>
    <t>A008(2)</t>
  </si>
  <si>
    <t>A065(1)</t>
  </si>
  <si>
    <t>A065(2)</t>
  </si>
  <si>
    <t>A075(1)</t>
  </si>
  <si>
    <t>A075(2)</t>
  </si>
  <si>
    <t>A076(1)</t>
  </si>
  <si>
    <t>A076(2)</t>
  </si>
  <si>
    <t>A122</t>
  </si>
  <si>
    <t>A123</t>
  </si>
  <si>
    <t>M2-004</t>
  </si>
  <si>
    <t>M2-057(2)</t>
  </si>
  <si>
    <t>M2-067(1)</t>
  </si>
  <si>
    <t>A004~A008(2)</t>
  </si>
  <si>
    <t>M1-005</t>
  </si>
  <si>
    <t>A065(1)~A066</t>
  </si>
  <si>
    <t>A122~123</t>
  </si>
  <si>
    <t>A074~A076(2)</t>
  </si>
  <si>
    <t>M1-066(1)</t>
  </si>
  <si>
    <t>M1-067(2)</t>
  </si>
  <si>
    <t>M1-111(2)</t>
  </si>
  <si>
    <t>M1-111(3)</t>
  </si>
  <si>
    <t>B1000</t>
    <phoneticPr fontId="13" type="noConversion"/>
  </si>
  <si>
    <t>B1000</t>
    <phoneticPr fontId="13" type="noConversion"/>
  </si>
  <si>
    <t>B1200</t>
    <phoneticPr fontId="13" type="noConversion"/>
  </si>
  <si>
    <t>H250</t>
  </si>
  <si>
    <t>H250</t>
    <phoneticPr fontId="13" type="noConversion"/>
  </si>
  <si>
    <t>H500</t>
    <phoneticPr fontId="13" type="noConversion"/>
  </si>
  <si>
    <t>H750</t>
  </si>
  <si>
    <t>H750</t>
    <phoneticPr fontId="13" type="noConversion"/>
  </si>
  <si>
    <t>H1000</t>
  </si>
  <si>
    <t>H1000</t>
    <phoneticPr fontId="13" type="noConversion"/>
  </si>
  <si>
    <t>S300</t>
    <phoneticPr fontId="13" type="noConversion"/>
  </si>
  <si>
    <t>S400</t>
    <phoneticPr fontId="13" type="noConversion"/>
  </si>
  <si>
    <t>S500</t>
    <phoneticPr fontId="13" type="noConversion"/>
  </si>
  <si>
    <t>S600</t>
    <phoneticPr fontId="13" type="noConversion"/>
  </si>
  <si>
    <t>S700</t>
    <phoneticPr fontId="13" type="noConversion"/>
  </si>
  <si>
    <t>B1200</t>
    <phoneticPr fontId="13" type="noConversion"/>
  </si>
  <si>
    <t>H500</t>
    <phoneticPr fontId="13" type="noConversion"/>
  </si>
  <si>
    <t>S250</t>
    <phoneticPr fontId="13" type="noConversion"/>
  </si>
  <si>
    <t>S1000</t>
    <phoneticPr fontId="13" type="noConversion"/>
  </si>
  <si>
    <t>B1000</t>
    <phoneticPr fontId="13" type="noConversion"/>
  </si>
  <si>
    <t>H500</t>
    <phoneticPr fontId="13" type="noConversion"/>
  </si>
  <si>
    <t>H1000</t>
    <phoneticPr fontId="13" type="noConversion"/>
  </si>
  <si>
    <t>S1000</t>
    <phoneticPr fontId="13" type="noConversion"/>
  </si>
  <si>
    <t>B1000</t>
    <phoneticPr fontId="13" type="noConversion"/>
  </si>
  <si>
    <t>H500</t>
    <phoneticPr fontId="13" type="noConversion"/>
  </si>
  <si>
    <t>H1000</t>
    <phoneticPr fontId="13" type="noConversion"/>
  </si>
  <si>
    <t>S200</t>
    <phoneticPr fontId="13" type="noConversion"/>
  </si>
  <si>
    <t>S250</t>
    <phoneticPr fontId="13" type="noConversion"/>
  </si>
  <si>
    <t>S1000</t>
    <phoneticPr fontId="13" type="noConversion"/>
  </si>
  <si>
    <t>H250</t>
    <phoneticPr fontId="13" type="noConversion"/>
  </si>
  <si>
    <t>H500</t>
    <phoneticPr fontId="13" type="noConversion"/>
  </si>
  <si>
    <t>H750</t>
    <phoneticPr fontId="13" type="noConversion"/>
  </si>
  <si>
    <t>S600</t>
    <phoneticPr fontId="13" type="noConversion"/>
  </si>
  <si>
    <t>S700</t>
    <phoneticPr fontId="13" type="noConversion"/>
  </si>
  <si>
    <t>B1000</t>
    <phoneticPr fontId="13" type="noConversion"/>
  </si>
  <si>
    <t>D150mm</t>
    <phoneticPr fontId="13" type="noConversion"/>
  </si>
  <si>
    <t>D150mm</t>
    <phoneticPr fontId="13" type="noConversion"/>
  </si>
  <si>
    <t>8) 오 수 맨 홀</t>
    <phoneticPr fontId="13" type="noConversion"/>
  </si>
  <si>
    <t>M2-007</t>
  </si>
  <si>
    <t>M2-008(1)</t>
  </si>
  <si>
    <t>M2-008(2)</t>
  </si>
  <si>
    <t>M2-009</t>
  </si>
  <si>
    <t>M2-042</t>
  </si>
  <si>
    <t>M2-049</t>
  </si>
  <si>
    <t>M2-068</t>
  </si>
  <si>
    <t>M2-065</t>
  </si>
  <si>
    <t>M2-094</t>
  </si>
  <si>
    <t>M2-099</t>
  </si>
  <si>
    <t>M2-106</t>
  </si>
  <si>
    <t>M2-107</t>
  </si>
  <si>
    <t>M2-080</t>
  </si>
  <si>
    <t>M2-111(1)</t>
  </si>
  <si>
    <t>M2-126</t>
  </si>
  <si>
    <t>M2-137</t>
  </si>
  <si>
    <t>M2-139</t>
  </si>
  <si>
    <t>M2-147</t>
  </si>
  <si>
    <t>M2-055</t>
  </si>
  <si>
    <t>M2-003</t>
  </si>
  <si>
    <t>M2-047</t>
  </si>
  <si>
    <t>M2-053</t>
  </si>
  <si>
    <t>M2-054</t>
  </si>
  <si>
    <t>M2-056</t>
  </si>
  <si>
    <t>M2-057(1)</t>
  </si>
  <si>
    <t>M2-061(1)</t>
  </si>
  <si>
    <t>M2-066(2)</t>
  </si>
  <si>
    <t>M2-100</t>
  </si>
  <si>
    <t>D200x200</t>
    <phoneticPr fontId="13" type="noConversion"/>
  </si>
  <si>
    <t>M1-041(1)</t>
  </si>
  <si>
    <t>M1-041(2)</t>
  </si>
  <si>
    <t>M1-041(3)</t>
  </si>
  <si>
    <t>M1-058(1)</t>
  </si>
  <si>
    <t>M1-059(1)</t>
  </si>
  <si>
    <t>M1-072(2)</t>
  </si>
  <si>
    <t>M1-072(3)</t>
  </si>
  <si>
    <t>M1-072(4)</t>
  </si>
  <si>
    <t>M1-073(1)</t>
  </si>
  <si>
    <t>M1-073(2)</t>
  </si>
  <si>
    <t>M1-073(3)</t>
  </si>
  <si>
    <t>M1-073(4)</t>
  </si>
  <si>
    <t>M1-074(1)</t>
  </si>
  <si>
    <t>M1-074(2)</t>
  </si>
  <si>
    <t>M1-074(3)</t>
  </si>
  <si>
    <t>M1-074(4)</t>
  </si>
  <si>
    <t>M1-074(5)</t>
  </si>
  <si>
    <t>M1-081(1)</t>
  </si>
  <si>
    <t>가도_A092</t>
  </si>
  <si>
    <t>M1-093(1)</t>
  </si>
  <si>
    <t>M1-108(1)</t>
  </si>
  <si>
    <t>M1-110(1)</t>
  </si>
  <si>
    <t>M1-122</t>
  </si>
  <si>
    <t>M1-124(1)</t>
  </si>
  <si>
    <t>M1-124(2)</t>
  </si>
  <si>
    <t>M1-124(3)</t>
  </si>
  <si>
    <t>M1-125(2)</t>
  </si>
  <si>
    <t>M1-125(3)</t>
  </si>
  <si>
    <t>M1-146(1)</t>
  </si>
  <si>
    <t>M1-146(2)</t>
  </si>
  <si>
    <t>M2-046(1)</t>
  </si>
  <si>
    <t>M2-046(3)</t>
  </si>
  <si>
    <t>M2-050(1)</t>
  </si>
  <si>
    <t>M2-050(2)</t>
  </si>
  <si>
    <t>M2-050(3)</t>
  </si>
  <si>
    <t>M2-051(1)</t>
  </si>
  <si>
    <t>M2-052</t>
  </si>
  <si>
    <t>M2-059(2)</t>
  </si>
  <si>
    <t>M2-059(3)</t>
  </si>
  <si>
    <t>M2-060(1)</t>
  </si>
  <si>
    <t>M2-063(2)</t>
  </si>
  <si>
    <t>M2-069(1)</t>
  </si>
  <si>
    <t>M2-070(1)</t>
  </si>
  <si>
    <t>M2-070(2)</t>
  </si>
  <si>
    <t>M2-070(3)</t>
  </si>
  <si>
    <t>M2-070(4)</t>
  </si>
  <si>
    <t>M2-072(1)</t>
  </si>
  <si>
    <t>M2-076</t>
  </si>
  <si>
    <t>M2-078(1)</t>
  </si>
  <si>
    <t>M2-078(2)</t>
  </si>
  <si>
    <t>M2-079(1)</t>
  </si>
  <si>
    <t>M2-079(2)</t>
  </si>
  <si>
    <t>M2-079(3)</t>
  </si>
  <si>
    <t>M2-096(1)</t>
  </si>
  <si>
    <t>M2-097(1)</t>
  </si>
  <si>
    <t>M2-098(1)</t>
  </si>
  <si>
    <t>M2-104</t>
  </si>
  <si>
    <t>M2-105(1)</t>
  </si>
  <si>
    <t>소(특)1 어천12</t>
  </si>
  <si>
    <t>M2-125(1)</t>
  </si>
  <si>
    <t>TM1-011</t>
  </si>
  <si>
    <t>TM1-012</t>
  </si>
  <si>
    <t>TM1-013</t>
  </si>
  <si>
    <t>TM1-014</t>
  </si>
  <si>
    <t>TM1-015</t>
  </si>
  <si>
    <t>TM1-016</t>
  </si>
  <si>
    <t>TM1-003</t>
  </si>
  <si>
    <t>TM1-004</t>
  </si>
  <si>
    <t>TM1-001(기존맨홀)</t>
  </si>
  <si>
    <t>TM1-006</t>
  </si>
  <si>
    <t>TM1-007</t>
  </si>
  <si>
    <t>TM1-008</t>
  </si>
  <si>
    <t>TM1-009</t>
  </si>
  <si>
    <t>TM1-010</t>
  </si>
  <si>
    <t>TM1-002</t>
  </si>
  <si>
    <t>TM1-005</t>
  </si>
  <si>
    <t>TM1-017</t>
  </si>
  <si>
    <t>TM1-018</t>
  </si>
  <si>
    <t>TM1-019</t>
  </si>
  <si>
    <t>TM1-020(기존맨홀)</t>
  </si>
  <si>
    <t>경질염화비닐관(PVC이중벽관)</t>
  </si>
  <si>
    <t>M2-062(1)</t>
  </si>
  <si>
    <t>M1-044(1)</t>
  </si>
  <si>
    <t>M1-063(1)</t>
  </si>
  <si>
    <t>M2-016</t>
  </si>
  <si>
    <t>M2-016</t>
    <phoneticPr fontId="13" type="noConversion"/>
  </si>
  <si>
    <t>M2-016</t>
    <phoneticPr fontId="13" type="noConversion"/>
  </si>
  <si>
    <t>M1-006</t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</si>
  <si>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-045</t>
    </r>
    <phoneticPr fontId="13" type="noConversion"/>
  </si>
  <si>
    <r>
      <t>M2-04</t>
    </r>
    <r>
      <rPr>
        <sz val="11"/>
        <color theme="1"/>
        <rFont val="맑은 고딕"/>
        <family val="2"/>
        <charset val="129"/>
        <scheme val="minor"/>
      </rPr>
      <t>5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</si>
  <si>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-045</t>
    </r>
    <phoneticPr fontId="13" type="noConversion"/>
  </si>
  <si>
    <t>M2-045</t>
    <phoneticPr fontId="13" type="noConversion"/>
  </si>
  <si>
    <r>
      <t>M2-04</t>
    </r>
    <r>
      <rPr>
        <sz val="11"/>
        <color theme="1"/>
        <rFont val="맑은 고딕"/>
        <family val="2"/>
        <charset val="129"/>
        <scheme val="minor"/>
      </rPr>
      <t>8(1)</t>
    </r>
    <phoneticPr fontId="13" type="noConversion"/>
  </si>
  <si>
    <r>
      <t>M2-04</t>
    </r>
    <r>
      <rPr>
        <sz val="11"/>
        <color theme="1"/>
        <rFont val="맑은 고딕"/>
        <family val="2"/>
        <charset val="129"/>
        <scheme val="minor"/>
      </rPr>
      <t>8(1)</t>
    </r>
    <phoneticPr fontId="13" type="noConversion"/>
  </si>
  <si>
    <r>
      <t>M2-04</t>
    </r>
    <r>
      <rPr>
        <sz val="11"/>
        <color theme="1"/>
        <rFont val="맑은 고딕"/>
        <family val="2"/>
        <charset val="129"/>
        <scheme val="minor"/>
      </rPr>
      <t>8</t>
    </r>
    <r>
      <rPr>
        <sz val="11"/>
        <color theme="1"/>
        <rFont val="맑은 고딕"/>
        <family val="2"/>
        <charset val="129"/>
        <scheme val="minor"/>
      </rPr>
      <t>(1)</t>
    </r>
    <phoneticPr fontId="13" type="noConversion"/>
  </si>
  <si>
    <t>M2-048(1)</t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</si>
  <si>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-135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</si>
  <si>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-135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</si>
  <si>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-135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</si>
  <si>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-142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</si>
  <si>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-142</t>
    </r>
    <phoneticPr fontId="13" type="noConversion"/>
  </si>
  <si>
    <t>중(집)2-어천4</t>
    <phoneticPr fontId="13" type="noConversion"/>
  </si>
  <si>
    <t>M2-142</t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</si>
  <si>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-144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</si>
  <si>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-149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</si>
  <si>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-150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</si>
  <si>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-152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</si>
  <si>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-144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</si>
  <si>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-150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</si>
  <si>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-152</t>
    </r>
    <phoneticPr fontId="13" type="noConversion"/>
  </si>
  <si>
    <t>M2-144</t>
  </si>
  <si>
    <t>M2-144</t>
    <phoneticPr fontId="13" type="noConversion"/>
  </si>
  <si>
    <t>M2-150</t>
  </si>
  <si>
    <t>M2-150</t>
    <phoneticPr fontId="13" type="noConversion"/>
  </si>
  <si>
    <t>M2-152</t>
  </si>
  <si>
    <t>M2-152</t>
    <phoneticPr fontId="13" type="noConversion"/>
  </si>
  <si>
    <t>M2-149</t>
  </si>
  <si>
    <t>M2-149</t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</si>
  <si>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-149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</si>
  <si>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-038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</si>
  <si>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-034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</si>
  <si>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-030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</si>
  <si>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-026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</si>
  <si>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-023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</si>
  <si>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-031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</si>
  <si>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-113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</si>
  <si>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-117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</si>
  <si>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-127</t>
    </r>
    <phoneticPr fontId="13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</si>
  <si>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-132</t>
    </r>
    <phoneticPr fontId="13" type="noConversion"/>
  </si>
  <si>
    <t>M2-023</t>
  </si>
  <si>
    <t>M2-034</t>
  </si>
  <si>
    <t>M2-127</t>
  </si>
  <si>
    <r>
      <t>M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-023</t>
    </r>
    <phoneticPr fontId="13" type="noConversion"/>
  </si>
  <si>
    <t>M2-026</t>
  </si>
  <si>
    <t>M2-030</t>
  </si>
  <si>
    <t>M2-031</t>
  </si>
  <si>
    <t>M2-038</t>
  </si>
  <si>
    <t>M2-113</t>
  </si>
  <si>
    <t>M2-117</t>
  </si>
  <si>
    <t>M2-132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</si>
</sst>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2">
    <numFmt numFmtId="5" formatCode="&quot;₩&quot;#,##0;\-&quot;₩&quot;#,##0"/>
    <numFmt numFmtId="7" formatCode="&quot;₩&quot;#,##0.00;\-&quot;₩&quot;#,##0.00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_ "/>
    <numFmt numFmtId="178" formatCode="0_ "/>
    <numFmt numFmtId="179" formatCode="0.000_ "/>
    <numFmt numFmtId="180" formatCode="0.000_);[Red]\(0.000\)"/>
    <numFmt numFmtId="181" formatCode="0.00_ "/>
    <numFmt numFmtId="182" formatCode="0_);[Red]\(0\)"/>
    <numFmt numFmtId="183" formatCode="0.00_);[Red]\(0.00\)"/>
    <numFmt numFmtId="184" formatCode="0.0_ "/>
    <numFmt numFmtId="185" formatCode="#,##0_);[Red]\(#,##0\)"/>
    <numFmt numFmtId="186" formatCode="_-* #,##0.000_-;\-* #,##0.000_-;_-* &quot;-&quot;_-;_-@_-"/>
    <numFmt numFmtId="187" formatCode="0.000_);\(0.000\)"/>
    <numFmt numFmtId="188" formatCode="&quot;D&quot;000"/>
    <numFmt numFmtId="189" formatCode="_-* #,##0.00_-;\-* #,##0.00_-;_-* &quot;-&quot;_-;_-@_-"/>
    <numFmt numFmtId="190" formatCode="0.0000_ "/>
    <numFmt numFmtId="191" formatCode="&quot;MH1-&quot;0"/>
    <numFmt numFmtId="192" formatCode="&quot;SM2-&quot;0"/>
    <numFmt numFmtId="193" formatCode="#,##0.00_ "/>
    <numFmt numFmtId="194" formatCode="&quot;M1-&quot;0"/>
    <numFmt numFmtId="195" formatCode="&quot;H=&quot;0.0&quot;m&quot;"/>
    <numFmt numFmtId="196" formatCode="###&quot;개소&quot;"/>
    <numFmt numFmtId="197" formatCode="_ * #,##0.00_ ;_ * \-#,##0.00_ ;_ * &quot;-&quot;??_ ;_ @_ "/>
    <numFmt numFmtId="198" formatCode="_ &quot;₩&quot;* #,##0_ ;_ &quot;₩&quot;* &quot;₩&quot;\!\-#,##0_ ;_ &quot;₩&quot;* &quot;-&quot;_ ;_ @_ "/>
    <numFmt numFmtId="199" formatCode="_ &quot;₩&quot;* #,##0.00_ ;_ &quot;₩&quot;* &quot;₩&quot;\!\-#,##0.00_ ;_ &quot;₩&quot;* &quot;-&quot;??_ ;_ @_ "/>
    <numFmt numFmtId="200" formatCode="_ * #,##0.00_ ;_ * &quot;₩&quot;\!\-#,##0.00_ ;_ * &quot;-&quot;??_ ;_ @_ "/>
    <numFmt numFmtId="201" formatCode="#,##0.0"/>
    <numFmt numFmtId="202" formatCode="yyyy\.mm\.dd"/>
    <numFmt numFmtId="203" formatCode="_ &quot;₩&quot;\ * #,##0.00_ ;_ &quot;₩&quot;\ * \-#,##0.00_ ;_ &quot;₩&quot;\ * &quot;-&quot;??_ ;_ @_ "/>
    <numFmt numFmtId="204" formatCode="0E+00"/>
    <numFmt numFmtId="205" formatCode="mmmm\ d\,\ yyyy"/>
    <numFmt numFmtId="206" formatCode="#,##0.00;[Red]#,##0.00"/>
    <numFmt numFmtId="207" formatCode="0\ &quot;EA&quot;"/>
    <numFmt numFmtId="208" formatCode="_-[$€-2]* #,##0.00_-;\-[$€-2]* #,##0.00_-;_-[$€-2]* &quot;-&quot;??_-"/>
    <numFmt numFmtId="209" formatCode="&quot;년&quot;\ "/>
    <numFmt numFmtId="210" formatCode="General_)"/>
    <numFmt numFmtId="211" formatCode="&quot;Fr.&quot;\ #,##0;[Red]&quot;Fr.&quot;\ \-#,##0"/>
    <numFmt numFmtId="212" formatCode="&quot;Fr.&quot;\ #,##0.00;[Red]&quot;Fr.&quot;\ \-#,##0.00"/>
    <numFmt numFmtId="213" formatCode="_(&quot;RM&quot;* #,##0.00_);_(&quot;RM&quot;* \(#,##0.00\);_(&quot;RM&quot;* &quot;-&quot;??_);_(@_)"/>
    <numFmt numFmtId="214" formatCode="#."/>
    <numFmt numFmtId="215" formatCode="&quot;₩&quot;#,##0;&quot;₩&quot;&quot;₩&quot;\-#,##0"/>
    <numFmt numFmtId="216" formatCode="0.0_)"/>
    <numFmt numFmtId="217" formatCode="0\ &quot;t&quot;"/>
    <numFmt numFmtId="218" formatCode="0.0000_);[Red]\(0.0000\)"/>
    <numFmt numFmtId="219" formatCode="0.00\ &quot;)&quot;"/>
    <numFmt numFmtId="220" formatCode="0.00\ &quot;)]&quot;"/>
    <numFmt numFmtId="221" formatCode="0.000\ &quot;²&quot;"/>
    <numFmt numFmtId="222" formatCode="&quot;(&quot;\ 0.00"/>
    <numFmt numFmtId="223" formatCode="&quot;[(&quot;\ 0.00"/>
    <numFmt numFmtId="224" formatCode="_ * #,##0_ ;_ * \-#,##0_ ;_ * &quot;-&quot;_ ;_ @_ "/>
    <numFmt numFmtId="225" formatCode="_ * #,##0_ ;_ * &quot;₩&quot;&quot;₩&quot;&quot;₩&quot;&quot;₩&quot;\-#,##0_ ;_ * &quot;-&quot;_ ;_ @_ "/>
    <numFmt numFmtId="226" formatCode="#,##0\ ;[Red]&quot;-&quot;#,##0\ "/>
    <numFmt numFmtId="227" formatCode="* #,##0\ ;[Red]* &quot;-&quot;#,##0\ "/>
    <numFmt numFmtId="228" formatCode="#,##0.####;[Red]&quot;-&quot;#,##0.####"/>
    <numFmt numFmtId="229" formatCode="#,##0.0###\ ;[Red]&quot;-&quot;#,##0.0###\ "/>
    <numFmt numFmtId="230" formatCode="_-* #,##0.0_-;\-* #,##0.0_-;_-* &quot;-&quot;??_-;_-@_-"/>
    <numFmt numFmtId="231" formatCode="0.000000_);[Red]\(0.000000\)"/>
    <numFmt numFmtId="232" formatCode="0.0"/>
    <numFmt numFmtId="233" formatCode="_-* #,##0.0000_-;\-* #,##0.0000_-;_-* &quot;-&quot;_-;_-@_-"/>
    <numFmt numFmtId="234" formatCode="0.00\ &quot;EA&quot;"/>
    <numFmt numFmtId="235" formatCode="&quot;H=&quot;0.00&quot;m&quot;"/>
    <numFmt numFmtId="236" formatCode="0.00;_ۿ"/>
    <numFmt numFmtId="237" formatCode="&quot;=&quot;\ 0.000&quot;㎥&quot;"/>
    <numFmt numFmtId="238" formatCode="#,##0.0_ "/>
    <numFmt numFmtId="239" formatCode="&quot;평균높이H=&quot;0.00"/>
    <numFmt numFmtId="240" formatCode="_-* #,##0.000_-;\-* #,##0.000_-;_-* &quot;-&quot;??_-;_-@_-"/>
    <numFmt numFmtId="241" formatCode="#,##0.00_);[Red]\(#,##0.00\)"/>
    <numFmt numFmtId="242" formatCode="0;\-0;;@"/>
    <numFmt numFmtId="243" formatCode="#,##0.000_);[Red]\(#,##0.000\)"/>
    <numFmt numFmtId="244" formatCode="#,##0.00;#,##0.00"/>
    <numFmt numFmtId="245" formatCode="#,##0.000;#,##0.000"/>
    <numFmt numFmtId="246" formatCode="_-* #,##0.00_-;\-* #,##0.00_-;_-* &quot;-&quot;??????_-;_-@_-"/>
    <numFmt numFmtId="247" formatCode="#,##0.000000_);[Red]\(#,##0.000000\)"/>
    <numFmt numFmtId="248" formatCode="_-* #,##0.000000_-;\-* #,##0.000000_-;_-* &quot;-&quot;??????_-;_-@_-"/>
    <numFmt numFmtId="249" formatCode="&quot;D&quot;0"/>
    <numFmt numFmtId="250" formatCode="_ * #,##0.000_ ;_ * \-#,##0.000_ ;_ * &quot;-&quot;_ ;_ @_ "/>
    <numFmt numFmtId="251" formatCode="0.0000"/>
    <numFmt numFmtId="252" formatCode="_-* #,##0_-;\-* #,##0_-;_-* &quot;-&quot;??_-;_-@_-"/>
    <numFmt numFmtId="253" formatCode="_-* #,##0.0000_-;\-* #,##0.0000_-;_-* &quot;-&quot;??_-;_-@_-"/>
  </numFmts>
  <fonts count="14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  <font>
      <b/>
      <sz val="14"/>
      <name val="돋움"/>
      <family val="3"/>
      <charset val="129"/>
    </font>
    <font>
      <b/>
      <sz val="9"/>
      <name val="돋움"/>
      <family val="3"/>
      <charset val="129"/>
    </font>
    <font>
      <sz val="8"/>
      <name val="굴림체"/>
      <family val="3"/>
      <charset val="129"/>
    </font>
    <font>
      <sz val="8"/>
      <name val="바탕체"/>
      <family val="1"/>
      <charset val="129"/>
    </font>
    <font>
      <sz val="8"/>
      <name val="돋움체"/>
      <family val="3"/>
      <charset val="129"/>
    </font>
    <font>
      <b/>
      <sz val="16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color rgb="FFFF0000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name val="돋움체"/>
      <family val="3"/>
      <charset val="129"/>
    </font>
    <font>
      <b/>
      <sz val="14"/>
      <name val="돋움체"/>
      <family val="3"/>
      <charset val="129"/>
    </font>
    <font>
      <sz val="10"/>
      <name val="돋움체"/>
      <family val="3"/>
      <charset val="129"/>
    </font>
    <font>
      <b/>
      <sz val="10"/>
      <name val="돋움체"/>
      <family val="3"/>
      <charset val="129"/>
    </font>
    <font>
      <sz val="9"/>
      <name val="돋움체"/>
      <family val="3"/>
      <charset val="129"/>
    </font>
    <font>
      <vertAlign val="superscript"/>
      <sz val="10"/>
      <name val="돋움체"/>
      <family val="3"/>
      <charset val="129"/>
    </font>
    <font>
      <sz val="12"/>
      <name val="돋움체"/>
      <family val="3"/>
      <charset val="129"/>
    </font>
    <font>
      <vertAlign val="superscript"/>
      <sz val="9"/>
      <name val="돋움체"/>
      <family val="3"/>
      <charset val="129"/>
    </font>
    <font>
      <sz val="10"/>
      <color rgb="FFFF0000"/>
      <name val="돋움체"/>
      <family val="3"/>
      <charset val="129"/>
    </font>
    <font>
      <b/>
      <sz val="9"/>
      <name val="돋움체"/>
      <family val="3"/>
      <charset val="129"/>
    </font>
    <font>
      <sz val="15"/>
      <name val="돋움체"/>
      <family val="3"/>
      <charset val="129"/>
    </font>
    <font>
      <sz val="9"/>
      <color rgb="FFFF0000"/>
      <name val="돋움체"/>
      <family val="3"/>
      <charset val="129"/>
    </font>
    <font>
      <sz val="12"/>
      <name val="바탕체"/>
      <family val="1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10"/>
      <name val="돋움"/>
      <family val="3"/>
      <charset val="129"/>
    </font>
    <font>
      <sz val="10"/>
      <name val="Times New Roman"/>
      <family val="1"/>
    </font>
    <font>
      <sz val="10"/>
      <name val="MS Sans Serif"/>
      <family val="2"/>
    </font>
    <font>
      <sz val="10"/>
      <name val="Arial"/>
      <family val="2"/>
    </font>
    <font>
      <sz val="12"/>
      <name val="¹????¼"/>
      <family val="1"/>
      <charset val="129"/>
    </font>
    <font>
      <sz val="10"/>
      <name val="Courier New"/>
      <family val="3"/>
    </font>
    <font>
      <sz val="9"/>
      <name val="Arial"/>
      <family val="2"/>
    </font>
    <font>
      <sz val="12"/>
      <name val="¹UAAA¼"/>
      <family val="3"/>
      <charset val="129"/>
    </font>
    <font>
      <sz val="12"/>
      <name val="¹ÙÅÁÃ¼"/>
      <family val="1"/>
      <charset val="129"/>
    </font>
    <font>
      <sz val="10"/>
      <name val="μ¸¿o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b/>
      <sz val="10"/>
      <name val="Helv"/>
      <family val="2"/>
    </font>
    <font>
      <sz val="12"/>
      <name val="Arial"/>
      <family val="2"/>
    </font>
    <font>
      <sz val="10"/>
      <name val="굴림체"/>
      <family val="3"/>
      <charset val="129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8"/>
      <name val="Arial"/>
      <family val="2"/>
    </font>
    <font>
      <sz val="10"/>
      <name val="바탕체"/>
      <family val="1"/>
      <charset val="129"/>
    </font>
    <font>
      <b/>
      <sz val="12"/>
      <name val="Helv"/>
      <family val="2"/>
    </font>
    <font>
      <b/>
      <sz val="12"/>
      <name val="Arial"/>
      <family val="2"/>
    </font>
    <font>
      <b/>
      <sz val="18"/>
      <name val="Arial"/>
      <family val="2"/>
    </font>
    <font>
      <u/>
      <sz val="10"/>
      <color indexed="12"/>
      <name val="MS Sans Serif"/>
      <family val="2"/>
    </font>
    <font>
      <b/>
      <i/>
      <sz val="12"/>
      <name val="Times New Roman"/>
      <family val="1"/>
    </font>
    <font>
      <b/>
      <sz val="11"/>
      <name val="Helv"/>
      <family val="2"/>
    </font>
    <font>
      <sz val="7"/>
      <name val="Small Fonts"/>
      <family val="2"/>
    </font>
    <font>
      <sz val="12"/>
      <name val="Helv"/>
      <family val="2"/>
    </font>
    <font>
      <sz val="1"/>
      <color indexed="16"/>
      <name val="Courier"/>
      <family val="3"/>
    </font>
    <font>
      <b/>
      <i/>
      <sz val="9"/>
      <name val="Times New Roman"/>
      <family val="1"/>
    </font>
    <font>
      <b/>
      <u/>
      <sz val="13"/>
      <name val="굴림체"/>
      <family val="3"/>
      <charset val="129"/>
    </font>
    <font>
      <sz val="12"/>
      <name val="굴림체"/>
      <family val="3"/>
      <charset val="129"/>
    </font>
    <font>
      <b/>
      <sz val="1"/>
      <color indexed="8"/>
      <name val="Courier"/>
      <family val="3"/>
    </font>
    <font>
      <u/>
      <sz val="10"/>
      <color indexed="36"/>
      <name val="굴림체"/>
      <family val="3"/>
      <charset val="129"/>
    </font>
    <font>
      <sz val="14"/>
      <name val="뼥?ⓒ"/>
      <family val="3"/>
      <charset val="129"/>
    </font>
    <font>
      <sz val="14"/>
      <name val="뼻뮝"/>
      <family val="3"/>
      <charset val="129"/>
    </font>
    <font>
      <sz val="1"/>
      <color indexed="0"/>
      <name val="Courier"/>
      <family val="3"/>
    </font>
    <font>
      <sz val="11"/>
      <name val="굴림체"/>
      <family val="3"/>
      <charset val="129"/>
    </font>
    <font>
      <sz val="12"/>
      <name val="뼻뮝"/>
      <family val="3"/>
      <charset val="129"/>
    </font>
    <font>
      <sz val="9"/>
      <name val="굴림체"/>
      <family val="3"/>
      <charset val="129"/>
    </font>
    <font>
      <sz val="10"/>
      <name val="명조"/>
      <family val="3"/>
      <charset val="129"/>
    </font>
    <font>
      <u/>
      <sz val="7.5"/>
      <color indexed="36"/>
      <name val="Arial"/>
      <family val="2"/>
    </font>
    <font>
      <sz val="10"/>
      <color indexed="12"/>
      <name val="굴림체"/>
      <family val="3"/>
      <charset val="129"/>
    </font>
    <font>
      <sz val="12"/>
      <color indexed="24"/>
      <name val="바탕체"/>
      <family val="1"/>
      <charset val="129"/>
    </font>
    <font>
      <b/>
      <u/>
      <sz val="14"/>
      <name val="굴림체"/>
      <family val="3"/>
      <charset val="129"/>
    </font>
    <font>
      <sz val="9.5"/>
      <name val="굴림"/>
      <family val="3"/>
      <charset val="129"/>
    </font>
    <font>
      <sz val="15"/>
      <name val="돋움"/>
      <family val="3"/>
      <charset val="129"/>
    </font>
    <font>
      <sz val="16"/>
      <name val="HY각헤드라인M"/>
      <family val="1"/>
      <charset val="129"/>
    </font>
    <font>
      <sz val="8"/>
      <name val="HY각헤드라인M"/>
      <family val="1"/>
      <charset val="129"/>
    </font>
    <font>
      <b/>
      <sz val="14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rgb="FF00B050"/>
      <name val="맑은 고딕"/>
      <family val="3"/>
      <charset val="129"/>
      <scheme val="major"/>
    </font>
    <font>
      <sz val="16"/>
      <name val="맑은 고딕"/>
      <family val="3"/>
      <charset val="129"/>
      <scheme val="major"/>
    </font>
    <font>
      <sz val="15"/>
      <name val="맑은 고딕"/>
      <family val="3"/>
      <charset val="129"/>
      <scheme val="major"/>
    </font>
    <font>
      <vertAlign val="superscript"/>
      <sz val="10"/>
      <name val="맑은 고딕"/>
      <family val="3"/>
      <charset val="129"/>
      <scheme val="major"/>
    </font>
    <font>
      <vertAlign val="superscript"/>
      <sz val="9"/>
      <name val="맑은 고딕"/>
      <family val="3"/>
      <charset val="129"/>
      <scheme val="major"/>
    </font>
    <font>
      <sz val="9"/>
      <name val="굴림"/>
      <family val="3"/>
      <charset val="129"/>
    </font>
    <font>
      <sz val="8"/>
      <name val="맑은 고딕"/>
      <family val="3"/>
      <charset val="129"/>
    </font>
    <font>
      <sz val="16"/>
      <name val="돋움"/>
      <family val="3"/>
      <charset val="129"/>
    </font>
    <font>
      <sz val="8"/>
      <name val="바탕"/>
      <family val="1"/>
      <charset val="129"/>
    </font>
    <font>
      <sz val="14"/>
      <name val="돋움"/>
      <family val="3"/>
      <charset val="129"/>
    </font>
    <font>
      <b/>
      <u/>
      <sz val="9"/>
      <name val="돋움"/>
      <family val="3"/>
      <charset val="129"/>
    </font>
    <font>
      <sz val="12"/>
      <name val="돋움"/>
      <family val="3"/>
      <charset val="129"/>
    </font>
    <font>
      <b/>
      <u/>
      <sz val="12"/>
      <name val="돋움체"/>
      <family val="3"/>
      <charset val="129"/>
    </font>
    <font>
      <sz val="14"/>
      <name val="돋움체"/>
      <family val="3"/>
      <charset val="129"/>
    </font>
    <font>
      <sz val="9"/>
      <color rgb="FFFF0000"/>
      <name val="돋움"/>
      <family val="3"/>
      <charset val="129"/>
    </font>
    <font>
      <b/>
      <sz val="14"/>
      <name val="굴림체"/>
      <family val="3"/>
      <charset val="129"/>
    </font>
    <font>
      <b/>
      <sz val="10"/>
      <name val="굴림체"/>
      <family val="3"/>
      <charset val="129"/>
    </font>
    <font>
      <vertAlign val="superscript"/>
      <sz val="9"/>
      <name val="굴림체"/>
      <family val="3"/>
      <charset val="129"/>
    </font>
    <font>
      <b/>
      <sz val="18"/>
      <name val="굴림체"/>
      <family val="3"/>
      <charset val="129"/>
    </font>
    <font>
      <sz val="11"/>
      <color theme="1"/>
      <name val="돋움"/>
      <family val="3"/>
      <charset val="129"/>
    </font>
    <font>
      <sz val="13"/>
      <name val="바탕체"/>
      <family val="1"/>
      <charset val="129"/>
    </font>
    <font>
      <b/>
      <sz val="16"/>
      <name val="나눔고딕"/>
      <family val="3"/>
      <charset val="129"/>
    </font>
    <font>
      <sz val="9"/>
      <name val="나눔고딕"/>
      <family val="3"/>
      <charset val="129"/>
    </font>
    <font>
      <b/>
      <sz val="9"/>
      <name val="나눔고딕"/>
      <family val="3"/>
      <charset val="129"/>
    </font>
    <font>
      <b/>
      <sz val="14"/>
      <name val="나눔고딕"/>
      <family val="3"/>
      <charset val="129"/>
    </font>
    <font>
      <sz val="11"/>
      <name val="나눔고딕"/>
      <family val="3"/>
      <charset val="129"/>
    </font>
    <font>
      <sz val="11"/>
      <color theme="1"/>
      <name val="나눔고딕"/>
      <family val="3"/>
      <charset val="129"/>
    </font>
    <font>
      <sz val="11"/>
      <color rgb="FFFF0000"/>
      <name val="나눔고딕"/>
      <family val="3"/>
      <charset val="129"/>
    </font>
    <font>
      <sz val="8"/>
      <name val="나눔고딕"/>
      <family val="3"/>
      <charset val="129"/>
    </font>
    <font>
      <sz val="10"/>
      <name val="나눔고딕"/>
      <family val="3"/>
      <charset val="129"/>
    </font>
    <font>
      <sz val="12"/>
      <name val="나눔고딕"/>
      <family val="3"/>
      <charset val="129"/>
    </font>
    <font>
      <sz val="9"/>
      <color theme="1"/>
      <name val="나눔고딕"/>
      <family val="3"/>
      <charset val="129"/>
    </font>
    <font>
      <b/>
      <sz val="11"/>
      <name val="나눔고딕"/>
      <family val="3"/>
      <charset val="129"/>
    </font>
    <font>
      <b/>
      <sz val="12"/>
      <name val="나눔고딕"/>
      <family val="3"/>
      <charset val="129"/>
    </font>
    <font>
      <sz val="16"/>
      <name val="나눔고딕"/>
      <family val="3"/>
      <charset val="129"/>
    </font>
    <font>
      <sz val="10"/>
      <color rgb="FFFF0000"/>
      <name val="나눔고딕"/>
      <family val="3"/>
      <charset val="129"/>
    </font>
    <font>
      <sz val="14"/>
      <name val="나눔고딕"/>
      <family val="3"/>
      <charset val="129"/>
    </font>
    <font>
      <sz val="14"/>
      <color rgb="FFFF0000"/>
      <name val="나눔고딕"/>
      <family val="3"/>
      <charset val="129"/>
    </font>
    <font>
      <sz val="9"/>
      <color rgb="FFFF0000"/>
      <name val="나눔고딕"/>
      <family val="3"/>
      <charset val="129"/>
    </font>
    <font>
      <b/>
      <sz val="9"/>
      <color rgb="FFFF0000"/>
      <name val="나눔고딕"/>
      <family val="3"/>
      <charset val="129"/>
    </font>
    <font>
      <b/>
      <sz val="9"/>
      <color rgb="FF0000CC"/>
      <name val="나눔고딕"/>
      <family val="3"/>
      <charset val="129"/>
    </font>
    <font>
      <b/>
      <sz val="14"/>
      <color rgb="FFFF0000"/>
      <name val="나눔고딕"/>
      <family val="3"/>
      <charset val="129"/>
    </font>
    <font>
      <sz val="16"/>
      <color rgb="FFFF0000"/>
      <name val="나눔고딕"/>
      <family val="3"/>
      <charset val="129"/>
    </font>
    <font>
      <sz val="10"/>
      <name val="가을체"/>
      <family val="1"/>
      <charset val="129"/>
    </font>
    <font>
      <b/>
      <sz val="18"/>
      <name val="나눔고딕"/>
      <family val="3"/>
      <charset val="129"/>
    </font>
    <font>
      <sz val="9"/>
      <color rgb="FFCC00FF"/>
      <name val="나눔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theme="4" tint="0.79998168889431442"/>
        <bgColor indexed="64"/>
      </patternFill>
    </fill>
  </fills>
  <borders count="12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8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 diagonalUp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indexed="64"/>
      </diagonal>
    </border>
    <border>
      <left style="hair">
        <color indexed="64"/>
      </left>
      <right style="hair">
        <color indexed="64"/>
      </right>
      <top style="thin">
        <color indexed="64"/>
      </top>
      <bottom style="dashed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</borders>
  <cellStyleXfs count="838">
    <xf numFmtId="0" fontId="0" fillId="0" borderId="0"/>
    <xf numFmtId="0" fontId="11" fillId="0" borderId="0">
      <alignment vertical="center"/>
    </xf>
    <xf numFmtId="0" fontId="12" fillId="0" borderId="0"/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41" fontId="37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/>
    <xf numFmtId="0" fontId="3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37" fillId="0" borderId="0">
      <alignment vertical="center"/>
    </xf>
    <xf numFmtId="0" fontId="12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41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" fillId="0" borderId="0">
      <alignment vertical="center"/>
    </xf>
    <xf numFmtId="0" fontId="12" fillId="0" borderId="0">
      <alignment vertical="center"/>
    </xf>
    <xf numFmtId="197" fontId="40" fillId="0" borderId="0" applyFont="0" applyFill="0" applyBorder="0" applyAlignment="0" applyProtection="0"/>
    <xf numFmtId="197" fontId="40" fillId="0" borderId="0" applyFont="0" applyFill="0" applyBorder="0" applyAlignment="0" applyProtection="0"/>
    <xf numFmtId="40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0" fontId="36" fillId="0" borderId="0"/>
    <xf numFmtId="0" fontId="36" fillId="0" borderId="0"/>
    <xf numFmtId="0" fontId="42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43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0" fontId="4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2" fillId="0" borderId="0"/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3" fontId="44" fillId="0" borderId="1">
      <alignment horizontal="right" vertical="center"/>
    </xf>
    <xf numFmtId="197" fontId="45" fillId="0" borderId="0" applyFont="0" applyFill="0" applyBorder="0" applyAlignment="0" applyProtection="0"/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3" fontId="44" fillId="0" borderId="1">
      <alignment horizontal="right" vertical="center"/>
    </xf>
    <xf numFmtId="197" fontId="45" fillId="0" borderId="0" applyFont="0" applyFill="0" applyBorder="0" applyAlignment="0" applyProtection="0"/>
    <xf numFmtId="2" fontId="44" fillId="0" borderId="1">
      <alignment horizontal="right" vertical="center"/>
    </xf>
    <xf numFmtId="0" fontId="36" fillId="0" borderId="2">
      <alignment horizontal="center"/>
    </xf>
    <xf numFmtId="197" fontId="45" fillId="0" borderId="0" applyFont="0" applyFill="0" applyBorder="0" applyAlignment="0" applyProtection="0"/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2" fontId="44" fillId="0" borderId="1">
      <alignment horizontal="right" vertical="center"/>
    </xf>
    <xf numFmtId="197" fontId="45" fillId="0" borderId="0" applyFont="0" applyFill="0" applyBorder="0" applyAlignment="0" applyProtection="0"/>
    <xf numFmtId="197" fontId="45" fillId="0" borderId="0" applyFont="0" applyFill="0" applyBorder="0" applyAlignment="0" applyProtection="0"/>
    <xf numFmtId="40" fontId="41" fillId="0" borderId="0" applyFont="0" applyFill="0" applyBorder="0" applyAlignment="0" applyProtection="0"/>
    <xf numFmtId="197" fontId="40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198" fontId="46" fillId="0" borderId="0" applyFont="0" applyFill="0" applyBorder="0" applyAlignment="0" applyProtection="0"/>
    <xf numFmtId="0" fontId="47" fillId="0" borderId="0"/>
    <xf numFmtId="0" fontId="46" fillId="0" borderId="0" applyFont="0" applyFill="0" applyBorder="0" applyAlignment="0" applyProtection="0"/>
    <xf numFmtId="199" fontId="46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1" fillId="0" borderId="0"/>
    <xf numFmtId="199" fontId="48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6" fillId="0" borderId="0" applyFont="0" applyFill="0" applyBorder="0" applyAlignment="0" applyProtection="0"/>
    <xf numFmtId="200" fontId="46" fillId="0" borderId="0" applyFont="0" applyFill="0" applyBorder="0" applyAlignment="0" applyProtection="0"/>
    <xf numFmtId="0" fontId="47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42" fillId="0" borderId="0" applyFont="0" applyFill="0" applyBorder="0" applyAlignment="0" applyProtection="0"/>
    <xf numFmtId="0" fontId="46" fillId="0" borderId="0"/>
    <xf numFmtId="0" fontId="47" fillId="0" borderId="0"/>
    <xf numFmtId="0" fontId="49" fillId="0" borderId="0"/>
    <xf numFmtId="0" fontId="50" fillId="0" borderId="0"/>
    <xf numFmtId="0" fontId="12" fillId="0" borderId="0" applyFill="0" applyBorder="0" applyAlignment="0"/>
    <xf numFmtId="0" fontId="51" fillId="0" borderId="0"/>
    <xf numFmtId="201" fontId="42" fillId="0" borderId="0" applyFill="0" applyBorder="0" applyAlignment="0" applyProtection="0"/>
    <xf numFmtId="41" fontId="52" fillId="0" borderId="0" applyFont="0" applyFill="0" applyBorder="0" applyAlignment="0" applyProtection="0"/>
    <xf numFmtId="202" fontId="12" fillId="0" borderId="0"/>
    <xf numFmtId="197" fontId="42" fillId="0" borderId="0" applyFont="0" applyFill="0" applyBorder="0" applyAlignment="0" applyProtection="0"/>
    <xf numFmtId="3" fontId="42" fillId="0" borderId="0" applyFill="0" applyBorder="0" applyAlignment="0" applyProtection="0"/>
    <xf numFmtId="0" fontId="36" fillId="0" borderId="0" applyFont="0" applyFill="0" applyBorder="0" applyAlignment="0" applyProtection="0"/>
    <xf numFmtId="0" fontId="42" fillId="0" borderId="0" applyFont="0" applyFill="0" applyBorder="0" applyAlignment="0" applyProtection="0"/>
    <xf numFmtId="7" fontId="42" fillId="0" borderId="0" applyFill="0" applyBorder="0" applyAlignment="0" applyProtection="0"/>
    <xf numFmtId="0" fontId="52" fillId="0" borderId="0" applyFont="0" applyFill="0" applyBorder="0" applyAlignment="0" applyProtection="0"/>
    <xf numFmtId="0" fontId="12" fillId="0" borderId="0" applyFont="0" applyFill="0" applyBorder="0" applyAlignment="0" applyProtection="0"/>
    <xf numFmtId="203" fontId="53" fillId="0" borderId="0" applyFont="0" applyFill="0" applyBorder="0" applyAlignment="0" applyProtection="0"/>
    <xf numFmtId="5" fontId="42" fillId="0" borderId="0" applyFill="0" applyBorder="0" applyAlignment="0" applyProtection="0"/>
    <xf numFmtId="204" fontId="12" fillId="0" borderId="0"/>
    <xf numFmtId="205" fontId="42" fillId="0" borderId="0" applyFill="0" applyBorder="0" applyAlignment="0" applyProtection="0"/>
    <xf numFmtId="0" fontId="41" fillId="0" borderId="0" applyFont="0" applyFill="0" applyBorder="0" applyAlignment="0" applyProtection="0"/>
    <xf numFmtId="41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206" fontId="12" fillId="0" borderId="0"/>
    <xf numFmtId="207" fontId="45" fillId="0" borderId="0" applyFill="0" applyBorder="0">
      <alignment horizontal="centerContinuous"/>
    </xf>
    <xf numFmtId="208" fontId="36" fillId="0" borderId="0" applyFont="0" applyFill="0" applyBorder="0" applyAlignment="0" applyProtection="0"/>
    <xf numFmtId="0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4" fillId="0" borderId="0">
      <protection locked="0"/>
    </xf>
    <xf numFmtId="0" fontId="55" fillId="0" borderId="0">
      <protection locked="0"/>
    </xf>
    <xf numFmtId="2" fontId="42" fillId="0" borderId="0" applyFill="0" applyBorder="0" applyAlignment="0" applyProtection="0"/>
    <xf numFmtId="0" fontId="41" fillId="0" borderId="0" applyFont="0" applyFill="0" applyBorder="0" applyAlignment="0" applyProtection="0"/>
    <xf numFmtId="38" fontId="56" fillId="2" borderId="0" applyNumberFormat="0" applyBorder="0" applyAlignment="0" applyProtection="0"/>
    <xf numFmtId="3" fontId="57" fillId="0" borderId="6">
      <alignment horizontal="right" vertical="center"/>
    </xf>
    <xf numFmtId="4" fontId="57" fillId="0" borderId="6">
      <alignment horizontal="right" vertical="center"/>
    </xf>
    <xf numFmtId="0" fontId="58" fillId="0" borderId="0">
      <alignment horizontal="left"/>
    </xf>
    <xf numFmtId="0" fontId="59" fillId="0" borderId="109" applyNumberFormat="0" applyAlignment="0" applyProtection="0">
      <alignment horizontal="left" vertical="center"/>
    </xf>
    <xf numFmtId="0" fontId="59" fillId="0" borderId="71">
      <alignment horizontal="left" vertical="center"/>
    </xf>
    <xf numFmtId="0" fontId="60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09" fontId="36" fillId="0" borderId="0">
      <protection locked="0"/>
    </xf>
    <xf numFmtId="209" fontId="36" fillId="0" borderId="0">
      <protection locked="0"/>
    </xf>
    <xf numFmtId="0" fontId="61" fillId="0" borderId="0" applyNumberFormat="0" applyFill="0" applyBorder="0" applyAlignment="0" applyProtection="0"/>
    <xf numFmtId="10" fontId="56" fillId="2" borderId="82" applyNumberFormat="0" applyBorder="0" applyAlignment="0" applyProtection="0"/>
    <xf numFmtId="210" fontId="62" fillId="0" borderId="0">
      <alignment horizontal="left"/>
    </xf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0" fontId="63" fillId="0" borderId="104"/>
    <xf numFmtId="211" fontId="41" fillId="0" borderId="0" applyFont="0" applyFill="0" applyBorder="0" applyAlignment="0" applyProtection="0"/>
    <xf numFmtId="212" fontId="41" fillId="0" borderId="0" applyFont="0" applyFill="0" applyBorder="0" applyAlignment="0" applyProtection="0"/>
    <xf numFmtId="197" fontId="42" fillId="0" borderId="0" applyFont="0" applyFill="0" applyBorder="0" applyAlignment="0" applyProtection="0"/>
    <xf numFmtId="37" fontId="64" fillId="0" borderId="0"/>
    <xf numFmtId="0" fontId="42" fillId="0" borderId="0" applyNumberFormat="0" applyFill="0" applyBorder="0" applyAlignment="0" applyProtection="0"/>
    <xf numFmtId="213" fontId="36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36" fillId="0" borderId="0"/>
    <xf numFmtId="0" fontId="42" fillId="0" borderId="0"/>
    <xf numFmtId="0" fontId="42" fillId="0" borderId="0" applyFont="0" applyFill="0" applyBorder="0" applyAlignment="0" applyProtection="0"/>
    <xf numFmtId="40" fontId="41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10" fontId="42" fillId="0" borderId="0" applyFill="0" applyBorder="0" applyAlignment="0" applyProtection="0"/>
    <xf numFmtId="10" fontId="42" fillId="0" borderId="0" applyFont="0" applyFill="0" applyBorder="0" applyAlignment="0" applyProtection="0"/>
    <xf numFmtId="214" fontId="66" fillId="0" borderId="0">
      <protection locked="0"/>
    </xf>
    <xf numFmtId="197" fontId="45" fillId="0" borderId="0" applyFont="0" applyFill="0" applyBorder="0" applyAlignment="0" applyProtection="0"/>
    <xf numFmtId="197" fontId="45" fillId="0" borderId="0" applyFont="0" applyFill="0" applyBorder="0" applyAlignment="0" applyProtection="0"/>
    <xf numFmtId="215" fontId="12" fillId="0" borderId="0" applyFont="0" applyFill="0" applyBorder="0" applyAlignment="0" applyProtection="0"/>
    <xf numFmtId="197" fontId="42" fillId="0" borderId="0" applyFont="0" applyFill="0" applyBorder="0" applyAlignment="0" applyProtection="0"/>
    <xf numFmtId="0" fontId="42" fillId="3" borderId="0"/>
    <xf numFmtId="0" fontId="63" fillId="0" borderId="0"/>
    <xf numFmtId="40" fontId="41" fillId="0" borderId="0" applyFont="0" applyFill="0" applyBorder="0" applyAlignment="0" applyProtection="0"/>
    <xf numFmtId="216" fontId="67" fillId="0" borderId="0">
      <alignment horizontal="center"/>
    </xf>
    <xf numFmtId="0" fontId="68" fillId="0" borderId="0" applyFill="0" applyBorder="0" applyProtection="0">
      <alignment horizontal="centerContinuous" vertical="center"/>
    </xf>
    <xf numFmtId="0" fontId="69" fillId="2" borderId="0" applyFill="0" applyBorder="0" applyProtection="0">
      <alignment horizontal="center" vertical="center"/>
    </xf>
    <xf numFmtId="217" fontId="45" fillId="0" borderId="0" applyFill="0" applyBorder="0">
      <alignment horizontal="centerContinuous"/>
    </xf>
    <xf numFmtId="0" fontId="42" fillId="0" borderId="110" applyNumberFormat="0" applyFill="0" applyAlignment="0" applyProtection="0"/>
    <xf numFmtId="0" fontId="18" fillId="0" borderId="2">
      <alignment horizontal="left"/>
    </xf>
    <xf numFmtId="0" fontId="42" fillId="0" borderId="0" applyFont="0" applyFill="0" applyBorder="0" applyAlignment="0" applyProtection="0"/>
    <xf numFmtId="0" fontId="42" fillId="0" borderId="0" applyFont="0" applyFill="0" applyBorder="0" applyAlignment="0" applyProtection="0"/>
    <xf numFmtId="218" fontId="69" fillId="0" borderId="0">
      <protection locked="0"/>
    </xf>
    <xf numFmtId="0" fontId="70" fillId="0" borderId="0">
      <protection locked="0"/>
    </xf>
    <xf numFmtId="0" fontId="70" fillId="0" borderId="0">
      <protection locked="0"/>
    </xf>
    <xf numFmtId="0" fontId="54" fillId="0" borderId="0">
      <protection locked="0"/>
    </xf>
    <xf numFmtId="3" fontId="41" fillId="0" borderId="3">
      <alignment horizontal="center"/>
    </xf>
    <xf numFmtId="0" fontId="54" fillId="0" borderId="0">
      <protection locked="0"/>
    </xf>
    <xf numFmtId="0" fontId="71" fillId="0" borderId="0" applyNumberFormat="0" applyFill="0" applyBorder="0" applyAlignment="0" applyProtection="0">
      <alignment vertical="top"/>
      <protection locked="0"/>
    </xf>
    <xf numFmtId="40" fontId="72" fillId="0" borderId="0" applyFont="0" applyFill="0" applyBorder="0" applyAlignment="0" applyProtection="0"/>
    <xf numFmtId="38" fontId="72" fillId="0" borderId="0" applyFont="0" applyFill="0" applyBorder="0" applyAlignment="0" applyProtection="0"/>
    <xf numFmtId="40" fontId="73" fillId="0" borderId="0" applyFont="0" applyFill="0" applyBorder="0" applyAlignment="0" applyProtection="0"/>
    <xf numFmtId="38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3" fillId="0" borderId="0" applyFont="0" applyFill="0" applyBorder="0" applyAlignment="0" applyProtection="0"/>
    <xf numFmtId="214" fontId="74" fillId="0" borderId="0">
      <protection locked="0"/>
    </xf>
    <xf numFmtId="214" fontId="74" fillId="0" borderId="0">
      <protection locked="0"/>
    </xf>
    <xf numFmtId="214" fontId="74" fillId="0" borderId="0">
      <protection locked="0"/>
    </xf>
    <xf numFmtId="9" fontId="75" fillId="2" borderId="0" applyFill="0" applyBorder="0" applyProtection="0">
      <alignment horizontal="right"/>
    </xf>
    <xf numFmtId="10" fontId="75" fillId="0" borderId="0" applyFill="0" applyBorder="0" applyProtection="0">
      <alignment horizontal="right"/>
    </xf>
    <xf numFmtId="0" fontId="76" fillId="0" borderId="0"/>
    <xf numFmtId="0" fontId="77" fillId="0" borderId="0" applyNumberFormat="0" applyFont="0" applyFill="0" applyBorder="0" applyProtection="0">
      <alignment horizontal="centerContinuous" vertical="center"/>
    </xf>
    <xf numFmtId="178" fontId="77" fillId="0" borderId="95" applyFont="0" applyFill="0" applyBorder="0" applyAlignment="0" applyProtection="0">
      <alignment vertical="center"/>
    </xf>
    <xf numFmtId="179" fontId="77" fillId="0" borderId="95" applyFont="0" applyFill="0" applyBorder="0" applyAlignment="0" applyProtection="0">
      <alignment vertical="center"/>
    </xf>
    <xf numFmtId="0" fontId="39" fillId="0" borderId="0"/>
    <xf numFmtId="0" fontId="69" fillId="0" borderId="0">
      <alignment vertical="center"/>
    </xf>
    <xf numFmtId="0" fontId="42" fillId="0" borderId="0"/>
    <xf numFmtId="0" fontId="78" fillId="0" borderId="11"/>
    <xf numFmtId="0" fontId="79" fillId="0" borderId="0" applyNumberFormat="0" applyFill="0" applyBorder="0" applyAlignment="0" applyProtection="0">
      <alignment vertical="top"/>
      <protection locked="0"/>
    </xf>
    <xf numFmtId="219" fontId="14" fillId="0" borderId="0" applyFill="0" applyBorder="0">
      <alignment horizontal="centerContinuous"/>
    </xf>
    <xf numFmtId="220" fontId="14" fillId="0" borderId="0" applyFill="0" applyBorder="0">
      <alignment horizontal="centerContinuous"/>
    </xf>
    <xf numFmtId="0" fontId="80" fillId="0" borderId="0">
      <alignment vertical="center"/>
    </xf>
    <xf numFmtId="0" fontId="77" fillId="0" borderId="0" applyNumberFormat="0" applyFont="0" applyFill="0" applyBorder="0" applyProtection="0">
      <alignment vertical="center"/>
    </xf>
    <xf numFmtId="4" fontId="54" fillId="0" borderId="0">
      <protection locked="0"/>
    </xf>
    <xf numFmtId="3" fontId="81" fillId="0" borderId="0" applyFont="0" applyFill="0" applyBorder="0" applyAlignment="0" applyProtection="0"/>
    <xf numFmtId="221" fontId="45" fillId="0" borderId="0" applyFill="0" applyBorder="0">
      <alignment horizontal="centerContinuous"/>
    </xf>
    <xf numFmtId="222" fontId="14" fillId="0" borderId="0" applyFill="0" applyBorder="0">
      <alignment horizontal="centerContinuous"/>
    </xf>
    <xf numFmtId="223" fontId="14" fillId="0" borderId="0" applyFill="0" applyBorder="0">
      <alignment horizontal="centerContinuous"/>
    </xf>
    <xf numFmtId="0" fontId="36" fillId="0" borderId="0"/>
    <xf numFmtId="214" fontId="74" fillId="0" borderId="0">
      <protection locked="0"/>
    </xf>
    <xf numFmtId="214" fontId="74" fillId="0" borderId="0">
      <protection locked="0"/>
    </xf>
    <xf numFmtId="214" fontId="74" fillId="0" borderId="0">
      <protection locked="0"/>
    </xf>
    <xf numFmtId="214" fontId="74" fillId="0" borderId="0">
      <protection locked="0"/>
    </xf>
    <xf numFmtId="224" fontId="36" fillId="0" borderId="111">
      <alignment horizontal="center" vertical="center"/>
    </xf>
    <xf numFmtId="0" fontId="12" fillId="0" borderId="0" applyFont="0" applyFill="0" applyBorder="0" applyAlignment="0" applyProtection="0"/>
    <xf numFmtId="224" fontId="53" fillId="0" borderId="90">
      <alignment vertical="center"/>
    </xf>
    <xf numFmtId="225" fontId="42" fillId="0" borderId="82"/>
    <xf numFmtId="201" fontId="36" fillId="2" borderId="0" applyFill="0" applyBorder="0" applyProtection="0">
      <alignment horizontal="right"/>
    </xf>
    <xf numFmtId="226" fontId="53" fillId="0" borderId="0" applyFont="0" applyFill="0" applyBorder="0" applyAlignment="0" applyProtection="0"/>
    <xf numFmtId="227" fontId="53" fillId="0" borderId="0" applyFont="0" applyFill="0" applyBorder="0" applyAlignment="0" applyProtection="0"/>
    <xf numFmtId="186" fontId="24" fillId="0" borderId="82">
      <alignment vertical="center"/>
    </xf>
    <xf numFmtId="228" fontId="53" fillId="0" borderId="0" applyFont="0" applyFill="0" applyBorder="0" applyAlignment="0" applyProtection="0"/>
    <xf numFmtId="229" fontId="53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82" fillId="0" borderId="0">
      <alignment horizontal="centerContinuous" vertical="center"/>
    </xf>
    <xf numFmtId="2" fontId="83" fillId="0" borderId="91" applyNumberFormat="0" applyFont="0" applyFill="0" applyAlignment="0" applyProtection="0">
      <alignment vertical="center"/>
    </xf>
    <xf numFmtId="214" fontId="74" fillId="0" borderId="0">
      <protection locked="0"/>
    </xf>
    <xf numFmtId="214" fontId="74" fillId="0" borderId="0">
      <protection locked="0"/>
    </xf>
    <xf numFmtId="214" fontId="74" fillId="0" borderId="0">
      <protection locked="0"/>
    </xf>
    <xf numFmtId="214" fontId="74" fillId="0" borderId="0">
      <protection locked="0"/>
    </xf>
    <xf numFmtId="0" fontId="36" fillId="0" borderId="0" applyFont="0" applyFill="0" applyBorder="0" applyAlignment="0" applyProtection="0"/>
    <xf numFmtId="183" fontId="69" fillId="0" borderId="0">
      <protection locked="0"/>
    </xf>
    <xf numFmtId="0" fontId="12" fillId="0" borderId="0"/>
    <xf numFmtId="214" fontId="74" fillId="0" borderId="0">
      <protection locked="0"/>
    </xf>
    <xf numFmtId="214" fontId="74" fillId="0" borderId="0">
      <protection locked="0"/>
    </xf>
    <xf numFmtId="0" fontId="12" fillId="0" borderId="0"/>
    <xf numFmtId="0" fontId="53" fillId="0" borderId="0"/>
    <xf numFmtId="0" fontId="53" fillId="0" borderId="0" applyProtection="0"/>
    <xf numFmtId="0" fontId="54" fillId="0" borderId="110">
      <protection locked="0"/>
    </xf>
    <xf numFmtId="230" fontId="69" fillId="0" borderId="0">
      <protection locked="0"/>
    </xf>
    <xf numFmtId="231" fontId="69" fillId="0" borderId="0">
      <protection locked="0"/>
    </xf>
    <xf numFmtId="41" fontId="75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41" fontId="75" fillId="0" borderId="0" applyFont="0" applyFill="0" applyBorder="0" applyAlignment="0" applyProtection="0">
      <alignment vertical="center"/>
    </xf>
    <xf numFmtId="0" fontId="103" fillId="0" borderId="0"/>
    <xf numFmtId="41" fontId="103" fillId="0" borderId="0" applyFont="0" applyFill="0" applyBorder="0" applyAlignment="0" applyProtection="0"/>
    <xf numFmtId="0" fontId="10" fillId="0" borderId="0">
      <alignment vertical="center"/>
    </xf>
    <xf numFmtId="0" fontId="12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17" fillId="0" borderId="0">
      <alignment vertical="center"/>
    </xf>
    <xf numFmtId="0" fontId="12" fillId="0" borderId="0"/>
    <xf numFmtId="232" fontId="36" fillId="0" borderId="0"/>
    <xf numFmtId="0" fontId="57" fillId="0" borderId="0"/>
    <xf numFmtId="0" fontId="12" fillId="0" borderId="0"/>
    <xf numFmtId="0" fontId="37" fillId="0" borderId="0">
      <alignment vertical="center"/>
    </xf>
    <xf numFmtId="41" fontId="12" fillId="0" borderId="0" applyFont="0" applyFill="0" applyBorder="0" applyAlignment="0" applyProtection="0"/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41" fillId="0" borderId="0">
      <alignment vertical="center"/>
    </xf>
    <xf numFmtId="0" fontId="3" fillId="0" borderId="0">
      <alignment vertical="center"/>
    </xf>
  </cellStyleXfs>
  <cellXfs count="2127">
    <xf numFmtId="0" fontId="0" fillId="0" borderId="0" xfId="0"/>
    <xf numFmtId="0" fontId="14" fillId="0" borderId="19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/>
    </xf>
    <xf numFmtId="0" fontId="0" fillId="0" borderId="67" xfId="0" applyBorder="1"/>
    <xf numFmtId="0" fontId="0" fillId="0" borderId="9" xfId="0" applyBorder="1"/>
    <xf numFmtId="0" fontId="0" fillId="0" borderId="0" xfId="0" applyBorder="1"/>
    <xf numFmtId="0" fontId="0" fillId="0" borderId="5" xfId="0" applyBorder="1"/>
    <xf numFmtId="0" fontId="0" fillId="0" borderId="26" xfId="0" applyBorder="1"/>
    <xf numFmtId="0" fontId="0" fillId="0" borderId="22" xfId="0" applyBorder="1"/>
    <xf numFmtId="0" fontId="0" fillId="0" borderId="27" xfId="0" applyBorder="1"/>
    <xf numFmtId="0" fontId="17" fillId="0" borderId="19" xfId="0" applyNumberFormat="1" applyFont="1" applyFill="1" applyBorder="1" applyAlignment="1">
      <alignment horizontal="center" vertical="center"/>
    </xf>
    <xf numFmtId="0" fontId="17" fillId="0" borderId="38" xfId="0" applyNumberFormat="1" applyFont="1" applyFill="1" applyBorder="1" applyAlignment="1">
      <alignment horizontal="center" vertical="center"/>
    </xf>
    <xf numFmtId="0" fontId="13" fillId="0" borderId="38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 wrapText="1"/>
    </xf>
    <xf numFmtId="181" fontId="16" fillId="0" borderId="55" xfId="0" applyNumberFormat="1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181" fontId="14" fillId="0" borderId="3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9" fontId="14" fillId="0" borderId="8" xfId="0" applyNumberFormat="1" applyFont="1" applyBorder="1" applyAlignment="1">
      <alignment horizontal="center" vertical="center"/>
    </xf>
    <xf numFmtId="181" fontId="14" fillId="0" borderId="29" xfId="0" applyNumberFormat="1" applyFont="1" applyBorder="1" applyAlignment="1">
      <alignment horizontal="center" vertical="center"/>
    </xf>
    <xf numFmtId="179" fontId="14" fillId="0" borderId="29" xfId="0" applyNumberFormat="1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0" xfId="0" applyFont="1" applyBorder="1"/>
    <xf numFmtId="0" fontId="13" fillId="0" borderId="0" xfId="0" applyFont="1" applyFill="1" applyAlignment="1"/>
    <xf numFmtId="0" fontId="17" fillId="0" borderId="39" xfId="0" applyNumberFormat="1" applyFont="1" applyFill="1" applyBorder="1" applyAlignment="1">
      <alignment horizontal="center" vertical="center"/>
    </xf>
    <xf numFmtId="0" fontId="17" fillId="0" borderId="24" xfId="0" applyNumberFormat="1" applyFont="1" applyFill="1" applyBorder="1" applyAlignment="1">
      <alignment horizontal="center" vertical="center"/>
    </xf>
    <xf numFmtId="0" fontId="17" fillId="0" borderId="57" xfId="0" applyNumberFormat="1" applyFont="1" applyFill="1" applyBorder="1" applyAlignment="1">
      <alignment horizontal="center" vertical="center"/>
    </xf>
    <xf numFmtId="0" fontId="13" fillId="0" borderId="0" xfId="0" applyFont="1" applyFill="1"/>
    <xf numFmtId="0" fontId="13" fillId="0" borderId="0" xfId="0" applyFont="1" applyFill="1" applyAlignment="1">
      <alignment horizontal="center"/>
    </xf>
    <xf numFmtId="0" fontId="13" fillId="0" borderId="24" xfId="0" applyFont="1" applyFill="1" applyBorder="1" applyAlignment="1">
      <alignment horizontal="center" vertical="center"/>
    </xf>
    <xf numFmtId="0" fontId="13" fillId="0" borderId="39" xfId="0" applyFont="1" applyFill="1" applyBorder="1" applyAlignment="1">
      <alignment horizontal="center" vertical="center"/>
    </xf>
    <xf numFmtId="0" fontId="13" fillId="0" borderId="57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63" xfId="0" applyFont="1" applyFill="1" applyBorder="1" applyAlignment="1">
      <alignment horizontal="center" vertical="center"/>
    </xf>
    <xf numFmtId="0" fontId="13" fillId="0" borderId="53" xfId="0" applyFont="1" applyFill="1" applyBorder="1" applyAlignment="1">
      <alignment horizontal="center" vertical="center"/>
    </xf>
    <xf numFmtId="0" fontId="13" fillId="0" borderId="59" xfId="0" applyFont="1" applyFill="1" applyBorder="1" applyAlignment="1">
      <alignment horizontal="center" vertical="center"/>
    </xf>
    <xf numFmtId="0" fontId="13" fillId="0" borderId="34" xfId="0" applyFont="1" applyFill="1" applyBorder="1" applyAlignment="1">
      <alignment horizontal="center" vertical="center"/>
    </xf>
    <xf numFmtId="0" fontId="13" fillId="0" borderId="33" xfId="0" applyFont="1" applyFill="1" applyBorder="1" applyAlignment="1">
      <alignment horizontal="center" vertical="center"/>
    </xf>
    <xf numFmtId="0" fontId="13" fillId="0" borderId="11" xfId="0" applyFont="1" applyFill="1" applyBorder="1" applyAlignment="1">
      <alignment horizontal="center" vertical="center"/>
    </xf>
    <xf numFmtId="0" fontId="13" fillId="0" borderId="46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58" xfId="0" applyFont="1" applyFill="1" applyBorder="1" applyAlignment="1">
      <alignment horizontal="center" vertical="center"/>
    </xf>
    <xf numFmtId="0" fontId="13" fillId="0" borderId="61" xfId="0" applyFont="1" applyFill="1" applyBorder="1" applyAlignment="1">
      <alignment horizontal="center" vertical="center"/>
    </xf>
    <xf numFmtId="0" fontId="13" fillId="0" borderId="43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40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center" vertical="center"/>
    </xf>
    <xf numFmtId="0" fontId="13" fillId="0" borderId="50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54" xfId="0" applyFont="1" applyFill="1" applyBorder="1" applyAlignment="1">
      <alignment horizontal="center" vertical="center"/>
    </xf>
    <xf numFmtId="0" fontId="13" fillId="0" borderId="32" xfId="0" applyFont="1" applyFill="1" applyBorder="1" applyAlignment="1">
      <alignment horizontal="center" vertical="center"/>
    </xf>
    <xf numFmtId="0" fontId="13" fillId="0" borderId="31" xfId="0" applyFont="1" applyFill="1" applyBorder="1" applyAlignment="1">
      <alignment horizontal="center" vertical="center"/>
    </xf>
    <xf numFmtId="0" fontId="13" fillId="0" borderId="51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13" fillId="0" borderId="52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center" vertical="center"/>
    </xf>
    <xf numFmtId="0" fontId="14" fillId="0" borderId="60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56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4" fillId="0" borderId="3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6" fillId="0" borderId="21" xfId="0" applyFont="1" applyBorder="1" applyAlignment="1">
      <alignment horizontal="left" vertical="center"/>
    </xf>
    <xf numFmtId="186" fontId="26" fillId="0" borderId="37" xfId="0" applyNumberFormat="1" applyFont="1" applyBorder="1" applyAlignment="1">
      <alignment horizontal="right" vertical="center"/>
    </xf>
    <xf numFmtId="0" fontId="30" fillId="0" borderId="39" xfId="0" applyFont="1" applyBorder="1" applyAlignment="1">
      <alignment horizontal="left" vertical="center"/>
    </xf>
    <xf numFmtId="0" fontId="28" fillId="0" borderId="21" xfId="0" applyFont="1" applyFill="1" applyBorder="1" applyAlignment="1">
      <alignment horizontal="left" vertical="center" wrapText="1"/>
    </xf>
    <xf numFmtId="186" fontId="26" fillId="0" borderId="37" xfId="0" applyNumberFormat="1" applyFont="1" applyFill="1" applyBorder="1" applyAlignment="1">
      <alignment horizontal="right" vertical="center"/>
    </xf>
    <xf numFmtId="186" fontId="24" fillId="0" borderId="0" xfId="0" applyNumberFormat="1" applyFont="1" applyAlignment="1">
      <alignment horizontal="center" vertical="center"/>
    </xf>
    <xf numFmtId="179" fontId="24" fillId="0" borderId="0" xfId="0" applyNumberFormat="1" applyFont="1" applyAlignment="1">
      <alignment horizontal="center" vertical="center"/>
    </xf>
    <xf numFmtId="0" fontId="26" fillId="0" borderId="39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 wrapText="1"/>
    </xf>
    <xf numFmtId="41" fontId="26" fillId="0" borderId="37" xfId="0" applyNumberFormat="1" applyFont="1" applyBorder="1" applyAlignment="1">
      <alignment horizontal="right" vertical="center"/>
    </xf>
    <xf numFmtId="0" fontId="28" fillId="0" borderId="21" xfId="0" applyFont="1" applyBorder="1" applyAlignment="1">
      <alignment horizontal="center" vertical="center"/>
    </xf>
    <xf numFmtId="186" fontId="28" fillId="0" borderId="37" xfId="0" applyNumberFormat="1" applyFont="1" applyBorder="1" applyAlignment="1">
      <alignment horizontal="right" vertical="center"/>
    </xf>
    <xf numFmtId="0" fontId="28" fillId="0" borderId="39" xfId="0" applyFont="1" applyBorder="1" applyAlignment="1">
      <alignment horizontal="left" vertical="center"/>
    </xf>
    <xf numFmtId="0" fontId="28" fillId="0" borderId="0" xfId="0" applyFont="1" applyFill="1" applyAlignment="1">
      <alignment horizontal="center" vertical="center"/>
    </xf>
    <xf numFmtId="0" fontId="33" fillId="0" borderId="19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184" fontId="33" fillId="0" borderId="19" xfId="0" applyNumberFormat="1" applyFont="1" applyFill="1" applyBorder="1" applyAlignment="1">
      <alignment horizontal="center" vertical="center"/>
    </xf>
    <xf numFmtId="0" fontId="33" fillId="0" borderId="19" xfId="0" quotePrefix="1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Border="1"/>
    <xf numFmtId="0" fontId="34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right" vertical="center"/>
    </xf>
    <xf numFmtId="0" fontId="26" fillId="0" borderId="39" xfId="0" applyFont="1" applyBorder="1" applyAlignment="1">
      <alignment horizontal="left" vertical="center" wrapText="1"/>
    </xf>
    <xf numFmtId="0" fontId="28" fillId="0" borderId="24" xfId="0" applyFont="1" applyFill="1" applyBorder="1" applyAlignment="1">
      <alignment horizontal="center" vertical="center"/>
    </xf>
    <xf numFmtId="0" fontId="28" fillId="0" borderId="25" xfId="0" applyFont="1" applyFill="1" applyBorder="1" applyAlignment="1">
      <alignment horizontal="center" vertical="center"/>
    </xf>
    <xf numFmtId="191" fontId="28" fillId="0" borderId="18" xfId="0" applyNumberFormat="1" applyFont="1" applyFill="1" applyBorder="1" applyAlignment="1">
      <alignment horizontal="center" vertical="center"/>
    </xf>
    <xf numFmtId="0" fontId="28" fillId="0" borderId="28" xfId="0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0" fontId="28" fillId="0" borderId="60" xfId="0" applyFont="1" applyFill="1" applyBorder="1" applyAlignment="1">
      <alignment horizontal="center" vertical="center"/>
    </xf>
    <xf numFmtId="191" fontId="28" fillId="0" borderId="60" xfId="0" applyNumberFormat="1" applyFont="1" applyFill="1" applyBorder="1" applyAlignment="1">
      <alignment horizontal="center" vertical="center"/>
    </xf>
    <xf numFmtId="2" fontId="28" fillId="0" borderId="12" xfId="0" applyNumberFormat="1" applyFont="1" applyFill="1" applyBorder="1" applyAlignment="1">
      <alignment horizontal="center" vertical="center"/>
    </xf>
    <xf numFmtId="191" fontId="28" fillId="0" borderId="17" xfId="0" applyNumberFormat="1" applyFont="1" applyFill="1" applyBorder="1" applyAlignment="1">
      <alignment horizontal="center" vertical="center"/>
    </xf>
    <xf numFmtId="0" fontId="28" fillId="0" borderId="77" xfId="2" applyFont="1" applyFill="1" applyBorder="1" applyAlignment="1">
      <alignment horizontal="center" vertical="center"/>
    </xf>
    <xf numFmtId="0" fontId="28" fillId="0" borderId="8" xfId="2" applyFont="1" applyFill="1" applyBorder="1" applyAlignment="1">
      <alignment horizontal="center" vertical="center"/>
    </xf>
    <xf numFmtId="0" fontId="28" fillId="0" borderId="76" xfId="2" applyFont="1" applyFill="1" applyBorder="1" applyAlignment="1">
      <alignment horizontal="center" vertical="center"/>
    </xf>
    <xf numFmtId="0" fontId="28" fillId="0" borderId="44" xfId="2" applyFont="1" applyFill="1" applyBorder="1" applyAlignment="1">
      <alignment horizontal="center" vertical="center"/>
    </xf>
    <xf numFmtId="0" fontId="28" fillId="0" borderId="52" xfId="2" applyFont="1" applyFill="1" applyBorder="1" applyAlignment="1">
      <alignment horizontal="center" vertical="center"/>
    </xf>
    <xf numFmtId="0" fontId="28" fillId="0" borderId="3" xfId="2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  <xf numFmtId="0" fontId="28" fillId="0" borderId="0" xfId="0" applyFont="1" applyBorder="1"/>
    <xf numFmtId="0" fontId="33" fillId="0" borderId="82" xfId="0" applyFont="1" applyFill="1" applyBorder="1" applyAlignment="1">
      <alignment horizontal="center" vertical="center"/>
    </xf>
    <xf numFmtId="192" fontId="28" fillId="0" borderId="60" xfId="0" applyNumberFormat="1" applyFont="1" applyFill="1" applyBorder="1" applyAlignment="1">
      <alignment horizontal="center" vertical="center"/>
    </xf>
    <xf numFmtId="192" fontId="28" fillId="0" borderId="17" xfId="0" applyNumberFormat="1" applyFont="1" applyFill="1" applyBorder="1" applyAlignment="1">
      <alignment horizontal="center" vertical="center"/>
    </xf>
    <xf numFmtId="0" fontId="28" fillId="0" borderId="47" xfId="0" applyFont="1" applyFill="1" applyBorder="1" applyAlignment="1">
      <alignment horizontal="center" vertical="center"/>
    </xf>
    <xf numFmtId="0" fontId="28" fillId="0" borderId="48" xfId="0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28" fillId="0" borderId="44" xfId="0" applyFont="1" applyFill="1" applyBorder="1" applyAlignment="1">
      <alignment horizontal="center" vertical="center"/>
    </xf>
    <xf numFmtId="0" fontId="33" fillId="0" borderId="19" xfId="0" applyFont="1" applyFill="1" applyBorder="1" applyAlignment="1">
      <alignment horizontal="center" vertical="center" shrinkToFit="1"/>
    </xf>
    <xf numFmtId="0" fontId="33" fillId="0" borderId="24" xfId="0" applyFont="1" applyFill="1" applyBorder="1" applyAlignment="1">
      <alignment horizontal="center" vertical="center"/>
    </xf>
    <xf numFmtId="0" fontId="33" fillId="0" borderId="25" xfId="0" applyFont="1" applyFill="1" applyBorder="1" applyAlignment="1">
      <alignment horizontal="center" vertical="center"/>
    </xf>
    <xf numFmtId="0" fontId="33" fillId="0" borderId="20" xfId="0" applyFont="1" applyFill="1" applyBorder="1" applyAlignment="1">
      <alignment horizontal="center" vertical="center"/>
    </xf>
    <xf numFmtId="181" fontId="33" fillId="0" borderId="24" xfId="0" applyNumberFormat="1" applyFont="1" applyFill="1" applyBorder="1" applyAlignment="1">
      <alignment horizontal="center" vertical="center"/>
    </xf>
    <xf numFmtId="181" fontId="33" fillId="0" borderId="25" xfId="0" applyNumberFormat="1" applyFont="1" applyFill="1" applyBorder="1" applyAlignment="1">
      <alignment horizontal="center" vertical="center"/>
    </xf>
    <xf numFmtId="181" fontId="33" fillId="0" borderId="20" xfId="0" applyNumberFormat="1" applyFont="1" applyFill="1" applyBorder="1" applyAlignment="1">
      <alignment horizontal="center" vertical="center"/>
    </xf>
    <xf numFmtId="0" fontId="33" fillId="0" borderId="19" xfId="0" applyFont="1" applyFill="1" applyBorder="1" applyAlignment="1">
      <alignment horizontal="center" vertical="center" wrapText="1" shrinkToFit="1"/>
    </xf>
    <xf numFmtId="0" fontId="28" fillId="0" borderId="55" xfId="0" applyFont="1" applyFill="1" applyBorder="1" applyAlignment="1">
      <alignment horizontal="center" vertical="center"/>
    </xf>
    <xf numFmtId="0" fontId="28" fillId="0" borderId="58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horizontal="center" vertical="center"/>
    </xf>
    <xf numFmtId="181" fontId="33" fillId="0" borderId="45" xfId="0" applyNumberFormat="1" applyFont="1" applyFill="1" applyBorder="1" applyAlignment="1">
      <alignment horizontal="center" vertical="center"/>
    </xf>
    <xf numFmtId="181" fontId="33" fillId="0" borderId="72" xfId="0" applyNumberFormat="1" applyFont="1" applyFill="1" applyBorder="1" applyAlignment="1">
      <alignment horizontal="center" vertical="center"/>
    </xf>
    <xf numFmtId="0" fontId="33" fillId="0" borderId="74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179" fontId="28" fillId="0" borderId="29" xfId="0" applyNumberFormat="1" applyFont="1" applyFill="1" applyBorder="1" applyAlignment="1">
      <alignment horizontal="center" vertical="center"/>
    </xf>
    <xf numFmtId="181" fontId="28" fillId="0" borderId="29" xfId="0" applyNumberFormat="1" applyFont="1" applyFill="1" applyBorder="1" applyAlignment="1">
      <alignment horizontal="center" vertical="center"/>
    </xf>
    <xf numFmtId="179" fontId="28" fillId="0" borderId="48" xfId="0" applyNumberFormat="1" applyFont="1" applyFill="1" applyBorder="1" applyAlignment="1">
      <alignment horizontal="center" vertical="center"/>
    </xf>
    <xf numFmtId="181" fontId="28" fillId="0" borderId="48" xfId="0" applyNumberFormat="1" applyFont="1" applyFill="1" applyBorder="1" applyAlignment="1">
      <alignment horizontal="center" vertical="center"/>
    </xf>
    <xf numFmtId="0" fontId="28" fillId="0" borderId="49" xfId="0" applyFont="1" applyFill="1" applyBorder="1" applyAlignment="1">
      <alignment horizontal="center" vertical="center"/>
    </xf>
    <xf numFmtId="0" fontId="33" fillId="0" borderId="57" xfId="0" applyFont="1" applyFill="1" applyBorder="1" applyAlignment="1">
      <alignment horizontal="center" vertical="center"/>
    </xf>
    <xf numFmtId="0" fontId="33" fillId="0" borderId="73" xfId="0" applyFont="1" applyFill="1" applyBorder="1" applyAlignment="1">
      <alignment horizontal="center" vertical="center"/>
    </xf>
    <xf numFmtId="181" fontId="33" fillId="0" borderId="73" xfId="0" applyNumberFormat="1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Alignment="1">
      <alignment horizontal="right" vertical="center" shrinkToFit="1"/>
    </xf>
    <xf numFmtId="0" fontId="27" fillId="0" borderId="21" xfId="0" applyFont="1" applyFill="1" applyBorder="1" applyAlignment="1">
      <alignment horizontal="center" vertical="center"/>
    </xf>
    <xf numFmtId="0" fontId="26" fillId="0" borderId="21" xfId="0" applyFont="1" applyFill="1" applyBorder="1" applyAlignment="1">
      <alignment horizontal="center" vertical="center"/>
    </xf>
    <xf numFmtId="186" fontId="26" fillId="0" borderId="21" xfId="0" applyNumberFormat="1" applyFont="1" applyFill="1" applyBorder="1" applyAlignment="1">
      <alignment horizontal="right" vertical="center"/>
    </xf>
    <xf numFmtId="187" fontId="26" fillId="0" borderId="21" xfId="0" applyNumberFormat="1" applyFont="1" applyFill="1" applyBorder="1" applyAlignment="1">
      <alignment horizontal="center" vertical="center"/>
    </xf>
    <xf numFmtId="176" fontId="26" fillId="0" borderId="21" xfId="0" applyNumberFormat="1" applyFont="1" applyFill="1" applyBorder="1" applyAlignment="1">
      <alignment horizontal="left" vertical="center"/>
    </xf>
    <xf numFmtId="0" fontId="26" fillId="0" borderId="21" xfId="0" applyFont="1" applyFill="1" applyBorder="1" applyAlignment="1">
      <alignment horizontal="center" vertical="center" wrapText="1"/>
    </xf>
    <xf numFmtId="179" fontId="26" fillId="0" borderId="21" xfId="0" applyNumberFormat="1" applyFont="1" applyFill="1" applyBorder="1" applyAlignment="1">
      <alignment horizontal="left" vertical="center"/>
    </xf>
    <xf numFmtId="0" fontId="28" fillId="0" borderId="21" xfId="0" applyFont="1" applyFill="1" applyBorder="1" applyAlignment="1">
      <alignment horizontal="center" vertical="center"/>
    </xf>
    <xf numFmtId="2" fontId="28" fillId="0" borderId="21" xfId="0" applyNumberFormat="1" applyFont="1" applyFill="1" applyBorder="1" applyAlignment="1">
      <alignment horizontal="center" vertical="center"/>
    </xf>
    <xf numFmtId="189" fontId="28" fillId="0" borderId="21" xfId="0" applyNumberFormat="1" applyFont="1" applyFill="1" applyBorder="1" applyAlignment="1">
      <alignment horizontal="right" vertical="center"/>
    </xf>
    <xf numFmtId="2" fontId="26" fillId="0" borderId="21" xfId="0" applyNumberFormat="1" applyFont="1" applyFill="1" applyBorder="1" applyAlignment="1">
      <alignment horizontal="center" vertical="center"/>
    </xf>
    <xf numFmtId="176" fontId="26" fillId="0" borderId="21" xfId="0" applyNumberFormat="1" applyFont="1" applyFill="1" applyBorder="1" applyAlignment="1">
      <alignment horizontal="center" vertical="center"/>
    </xf>
    <xf numFmtId="41" fontId="26" fillId="0" borderId="21" xfId="0" applyNumberFormat="1" applyFont="1" applyFill="1" applyBorder="1" applyAlignment="1">
      <alignment horizontal="right" vertical="center"/>
    </xf>
    <xf numFmtId="186" fontId="28" fillId="0" borderId="21" xfId="0" applyNumberFormat="1" applyFont="1" applyFill="1" applyBorder="1" applyAlignment="1">
      <alignment horizontal="right" vertical="center"/>
    </xf>
    <xf numFmtId="0" fontId="33" fillId="0" borderId="21" xfId="0" applyFont="1" applyFill="1" applyBorder="1" applyAlignment="1">
      <alignment horizontal="center" vertical="center"/>
    </xf>
    <xf numFmtId="187" fontId="28" fillId="0" borderId="21" xfId="0" applyNumberFormat="1" applyFont="1" applyFill="1" applyBorder="1" applyAlignment="1">
      <alignment horizontal="center" vertical="center"/>
    </xf>
    <xf numFmtId="176" fontId="28" fillId="0" borderId="21" xfId="0" applyNumberFormat="1" applyFont="1" applyFill="1" applyBorder="1" applyAlignment="1">
      <alignment horizontal="left" vertical="center"/>
    </xf>
    <xf numFmtId="0" fontId="24" fillId="0" borderId="21" xfId="0" applyFont="1" applyFill="1" applyBorder="1" applyAlignment="1">
      <alignment horizontal="center" vertical="center"/>
    </xf>
    <xf numFmtId="179" fontId="28" fillId="0" borderId="21" xfId="0" applyNumberFormat="1" applyFont="1" applyFill="1" applyBorder="1" applyAlignment="1">
      <alignment horizontal="left" vertical="center"/>
    </xf>
    <xf numFmtId="0" fontId="28" fillId="0" borderId="21" xfId="0" applyFont="1" applyFill="1" applyBorder="1" applyAlignment="1">
      <alignment horizontal="center" vertical="center" wrapText="1"/>
    </xf>
    <xf numFmtId="176" fontId="28" fillId="0" borderId="21" xfId="0" applyNumberFormat="1" applyFont="1" applyFill="1" applyBorder="1" applyAlignment="1">
      <alignment horizontal="center" vertical="center"/>
    </xf>
    <xf numFmtId="41" fontId="28" fillId="0" borderId="21" xfId="0" applyNumberFormat="1" applyFont="1" applyFill="1" applyBorder="1" applyAlignment="1">
      <alignment horizontal="right" vertical="center"/>
    </xf>
    <xf numFmtId="0" fontId="28" fillId="0" borderId="28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horizontal="center" vertical="center"/>
    </xf>
    <xf numFmtId="0" fontId="28" fillId="0" borderId="8" xfId="0" applyFont="1" applyFill="1" applyBorder="1" applyAlignment="1">
      <alignment horizontal="center" vertical="center"/>
    </xf>
    <xf numFmtId="0" fontId="28" fillId="0" borderId="3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41" xfId="0" applyFont="1" applyFill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/>
    </xf>
    <xf numFmtId="0" fontId="28" fillId="0" borderId="32" xfId="0" applyFont="1" applyFill="1" applyBorder="1" applyAlignment="1">
      <alignment horizontal="center" vertical="center"/>
    </xf>
    <xf numFmtId="0" fontId="28" fillId="0" borderId="43" xfId="0" applyFont="1" applyFill="1" applyBorder="1" applyAlignment="1">
      <alignment horizontal="center" vertical="center"/>
    </xf>
    <xf numFmtId="0" fontId="28" fillId="0" borderId="43" xfId="0" applyFont="1" applyFill="1" applyBorder="1" applyAlignment="1">
      <alignment horizontal="center" vertical="center" wrapText="1"/>
    </xf>
    <xf numFmtId="0" fontId="28" fillId="0" borderId="52" xfId="0" applyFont="1" applyFill="1" applyBorder="1" applyAlignment="1">
      <alignment horizontal="center" vertical="center"/>
    </xf>
    <xf numFmtId="0" fontId="28" fillId="0" borderId="63" xfId="0" applyFont="1" applyFill="1" applyBorder="1" applyAlignment="1">
      <alignment horizontal="center" vertical="center" wrapText="1"/>
    </xf>
    <xf numFmtId="0" fontId="28" fillId="0" borderId="75" xfId="0" applyFont="1" applyFill="1" applyBorder="1" applyAlignment="1">
      <alignment horizontal="center" vertical="center"/>
    </xf>
    <xf numFmtId="2" fontId="28" fillId="0" borderId="8" xfId="0" applyNumberFormat="1" applyFont="1" applyFill="1" applyBorder="1" applyAlignment="1">
      <alignment horizontal="center" vertical="center"/>
    </xf>
    <xf numFmtId="0" fontId="12" fillId="0" borderId="0" xfId="16">
      <alignment vertical="center"/>
    </xf>
    <xf numFmtId="0" fontId="14" fillId="0" borderId="107" xfId="16" applyFont="1" applyBorder="1" applyAlignment="1">
      <alignment horizontal="center" vertical="center"/>
    </xf>
    <xf numFmtId="0" fontId="14" fillId="0" borderId="3" xfId="16" applyFont="1" applyBorder="1" applyAlignment="1">
      <alignment horizontal="center" vertical="center"/>
    </xf>
    <xf numFmtId="0" fontId="14" fillId="0" borderId="36" xfId="16" applyFont="1" applyBorder="1" applyAlignment="1">
      <alignment horizontal="center" vertical="center"/>
    </xf>
    <xf numFmtId="0" fontId="14" fillId="0" borderId="55" xfId="16" applyFont="1" applyBorder="1" applyAlignment="1">
      <alignment horizontal="center" vertical="center"/>
    </xf>
    <xf numFmtId="181" fontId="14" fillId="0" borderId="55" xfId="16" applyNumberFormat="1" applyFont="1" applyBorder="1" applyAlignment="1">
      <alignment horizontal="center" vertical="center"/>
    </xf>
    <xf numFmtId="178" fontId="14" fillId="0" borderId="55" xfId="16" applyNumberFormat="1" applyFont="1" applyBorder="1" applyAlignment="1">
      <alignment horizontal="center" vertical="center"/>
    </xf>
    <xf numFmtId="0" fontId="14" fillId="0" borderId="56" xfId="16" applyFont="1" applyBorder="1" applyAlignment="1">
      <alignment horizontal="center" vertical="center"/>
    </xf>
    <xf numFmtId="0" fontId="84" fillId="0" borderId="0" xfId="16" applyFont="1" applyAlignment="1">
      <alignment horizontal="center" vertical="center"/>
    </xf>
    <xf numFmtId="0" fontId="85" fillId="0" borderId="78" xfId="16" applyFont="1" applyBorder="1" applyAlignment="1">
      <alignment horizontal="center" vertical="center"/>
    </xf>
    <xf numFmtId="0" fontId="85" fillId="0" borderId="79" xfId="16" applyFont="1" applyBorder="1" applyAlignment="1">
      <alignment horizontal="center" vertical="center"/>
    </xf>
    <xf numFmtId="0" fontId="85" fillId="0" borderId="80" xfId="16" applyFont="1" applyBorder="1" applyAlignment="1">
      <alignment horizontal="center" vertical="center"/>
    </xf>
    <xf numFmtId="0" fontId="85" fillId="0" borderId="67" xfId="16" applyFont="1" applyBorder="1" applyAlignment="1">
      <alignment horizontal="center" vertical="center"/>
    </xf>
    <xf numFmtId="0" fontId="85" fillId="0" borderId="0" xfId="16" applyFont="1" applyAlignment="1">
      <alignment horizontal="center" vertical="center"/>
    </xf>
    <xf numFmtId="0" fontId="85" fillId="0" borderId="9" xfId="16" applyFont="1" applyBorder="1" applyAlignment="1">
      <alignment horizontal="center" vertical="center"/>
    </xf>
    <xf numFmtId="0" fontId="86" fillId="0" borderId="0" xfId="16" applyFont="1" applyAlignment="1">
      <alignment horizontal="center" vertical="center"/>
    </xf>
    <xf numFmtId="0" fontId="14" fillId="0" borderId="92" xfId="16" applyFont="1" applyBorder="1" applyAlignment="1">
      <alignment horizontal="center" vertical="center"/>
    </xf>
    <xf numFmtId="0" fontId="14" fillId="0" borderId="96" xfId="16" applyFont="1" applyBorder="1" applyAlignment="1">
      <alignment horizontal="center" vertical="center"/>
    </xf>
    <xf numFmtId="0" fontId="14" fillId="0" borderId="4" xfId="16" applyFont="1" applyBorder="1" applyAlignment="1">
      <alignment horizontal="center" vertical="center"/>
    </xf>
    <xf numFmtId="0" fontId="14" fillId="0" borderId="0" xfId="16" applyFont="1" applyAlignment="1">
      <alignment horizontal="center" vertical="center"/>
    </xf>
    <xf numFmtId="0" fontId="14" fillId="0" borderId="11" xfId="16" applyFont="1" applyBorder="1" applyAlignment="1">
      <alignment horizontal="center" vertical="center" wrapText="1"/>
    </xf>
    <xf numFmtId="179" fontId="14" fillId="0" borderId="11" xfId="16" applyNumberFormat="1" applyFont="1" applyBorder="1" applyAlignment="1">
      <alignment horizontal="center" vertical="center" wrapText="1"/>
    </xf>
    <xf numFmtId="189" fontId="14" fillId="0" borderId="95" xfId="813" applyNumberFormat="1" applyFont="1" applyBorder="1" applyAlignment="1">
      <alignment horizontal="right" vertical="center"/>
    </xf>
    <xf numFmtId="0" fontId="14" fillId="0" borderId="44" xfId="16" applyFont="1" applyBorder="1" applyAlignment="1">
      <alignment horizontal="left" vertical="center"/>
    </xf>
    <xf numFmtId="181" fontId="14" fillId="0" borderId="11" xfId="16" applyNumberFormat="1" applyFont="1" applyBorder="1" applyAlignment="1">
      <alignment horizontal="center" vertical="center" wrapText="1"/>
    </xf>
    <xf numFmtId="186" fontId="14" fillId="0" borderId="95" xfId="813" applyNumberFormat="1" applyFont="1" applyBorder="1" applyAlignment="1">
      <alignment horizontal="right" vertical="center"/>
    </xf>
    <xf numFmtId="0" fontId="14" fillId="0" borderId="96" xfId="16" applyFont="1" applyBorder="1" applyAlignment="1">
      <alignment horizontal="center" vertical="center" wrapText="1"/>
    </xf>
    <xf numFmtId="179" fontId="14" fillId="0" borderId="96" xfId="16" applyNumberFormat="1" applyFont="1" applyBorder="1" applyAlignment="1">
      <alignment horizontal="center" vertical="center" wrapText="1"/>
    </xf>
    <xf numFmtId="179" fontId="14" fillId="0" borderId="96" xfId="16" applyNumberFormat="1" applyFont="1" applyBorder="1" applyAlignment="1">
      <alignment horizontal="center" vertical="center"/>
    </xf>
    <xf numFmtId="181" fontId="14" fillId="0" borderId="96" xfId="16" applyNumberFormat="1" applyFont="1" applyBorder="1" applyAlignment="1">
      <alignment horizontal="center" vertical="center" wrapText="1"/>
    </xf>
    <xf numFmtId="186" fontId="14" fillId="0" borderId="51" xfId="813" applyNumberFormat="1" applyFont="1" applyBorder="1" applyAlignment="1">
      <alignment horizontal="right" vertical="center"/>
    </xf>
    <xf numFmtId="0" fontId="14" fillId="0" borderId="105" xfId="16" applyFont="1" applyBorder="1" applyAlignment="1">
      <alignment horizontal="left" vertical="center"/>
    </xf>
    <xf numFmtId="0" fontId="12" fillId="0" borderId="0" xfId="16" applyAlignment="1">
      <alignment horizontal="center" vertical="center"/>
    </xf>
    <xf numFmtId="0" fontId="13" fillId="0" borderId="0" xfId="16" applyFont="1" applyAlignment="1">
      <alignment horizontal="center" vertical="center"/>
    </xf>
    <xf numFmtId="0" fontId="13" fillId="0" borderId="0" xfId="16" applyFont="1">
      <alignment vertical="center"/>
    </xf>
    <xf numFmtId="0" fontId="13" fillId="0" borderId="3" xfId="16" applyFont="1" applyBorder="1" applyAlignment="1">
      <alignment horizontal="center" vertical="center"/>
    </xf>
    <xf numFmtId="2" fontId="13" fillId="0" borderId="3" xfId="16" applyNumberFormat="1" applyFont="1" applyBorder="1" applyAlignment="1">
      <alignment horizontal="center" vertical="center"/>
    </xf>
    <xf numFmtId="0" fontId="13" fillId="0" borderId="28" xfId="16" applyFont="1" applyBorder="1" applyAlignment="1">
      <alignment horizontal="center" vertical="center"/>
    </xf>
    <xf numFmtId="0" fontId="13" fillId="0" borderId="1" xfId="16" applyFont="1" applyBorder="1" applyAlignment="1">
      <alignment horizontal="center" vertical="center"/>
    </xf>
    <xf numFmtId="2" fontId="13" fillId="0" borderId="1" xfId="16" applyNumberFormat="1" applyFont="1" applyBorder="1" applyAlignment="1">
      <alignment horizontal="center" vertical="center"/>
    </xf>
    <xf numFmtId="0" fontId="13" fillId="0" borderId="34" xfId="16" applyFont="1" applyBorder="1" applyAlignment="1">
      <alignment horizontal="center" vertical="center"/>
    </xf>
    <xf numFmtId="0" fontId="13" fillId="0" borderId="2" xfId="16" applyFont="1" applyBorder="1" applyAlignment="1">
      <alignment horizontal="center" vertical="center"/>
    </xf>
    <xf numFmtId="0" fontId="13" fillId="0" borderId="91" xfId="16" applyFont="1" applyBorder="1" applyAlignment="1">
      <alignment horizontal="center" vertical="center"/>
    </xf>
    <xf numFmtId="2" fontId="13" fillId="0" borderId="91" xfId="16" applyNumberFormat="1" applyFont="1" applyBorder="1" applyAlignment="1">
      <alignment horizontal="center" vertical="center"/>
    </xf>
    <xf numFmtId="0" fontId="13" fillId="0" borderId="90" xfId="16" applyFont="1" applyBorder="1" applyAlignment="1">
      <alignment horizontal="center" vertical="center"/>
    </xf>
    <xf numFmtId="0" fontId="13" fillId="0" borderId="72" xfId="16" applyFont="1" applyBorder="1" applyAlignment="1">
      <alignment horizontal="center" vertical="center"/>
    </xf>
    <xf numFmtId="0" fontId="13" fillId="0" borderId="102" xfId="16" applyFont="1" applyBorder="1" applyAlignment="1">
      <alignment horizontal="center" vertical="center"/>
    </xf>
    <xf numFmtId="178" fontId="13" fillId="0" borderId="102" xfId="16" applyNumberFormat="1" applyFont="1" applyBorder="1" applyAlignment="1">
      <alignment horizontal="center" vertical="center"/>
    </xf>
    <xf numFmtId="2" fontId="13" fillId="0" borderId="102" xfId="16" applyNumberFormat="1" applyFont="1" applyBorder="1" applyAlignment="1">
      <alignment horizontal="center" vertical="center"/>
    </xf>
    <xf numFmtId="181" fontId="13" fillId="0" borderId="102" xfId="16" applyNumberFormat="1" applyFont="1" applyBorder="1" applyAlignment="1">
      <alignment horizontal="center" vertical="center"/>
    </xf>
    <xf numFmtId="0" fontId="13" fillId="0" borderId="103" xfId="16" applyFont="1" applyBorder="1">
      <alignment vertical="center"/>
    </xf>
    <xf numFmtId="2" fontId="13" fillId="0" borderId="0" xfId="16" applyNumberFormat="1" applyFont="1">
      <alignment vertical="center"/>
    </xf>
    <xf numFmtId="0" fontId="95" fillId="0" borderId="0" xfId="0" applyFont="1" applyFill="1" applyAlignment="1">
      <alignment horizontal="center" vertical="center"/>
    </xf>
    <xf numFmtId="0" fontId="91" fillId="0" borderId="0" xfId="16" applyFont="1" applyFill="1">
      <alignment vertical="center"/>
    </xf>
    <xf numFmtId="0" fontId="91" fillId="0" borderId="0" xfId="16" applyFont="1" applyFill="1" applyAlignment="1"/>
    <xf numFmtId="0" fontId="91" fillId="0" borderId="67" xfId="16" applyFont="1" applyFill="1" applyBorder="1" applyAlignment="1">
      <alignment vertical="center"/>
    </xf>
    <xf numFmtId="0" fontId="91" fillId="0" borderId="0" xfId="16" applyFont="1" applyFill="1" applyAlignment="1">
      <alignment vertical="center"/>
    </xf>
    <xf numFmtId="49" fontId="91" fillId="0" borderId="0" xfId="16" applyNumberFormat="1" applyFont="1" applyFill="1" applyAlignment="1">
      <alignment horizontal="right" vertical="center"/>
    </xf>
    <xf numFmtId="2" fontId="91" fillId="0" borderId="0" xfId="16" applyNumberFormat="1" applyFont="1" applyFill="1" applyAlignment="1">
      <alignment horizontal="center" vertical="center"/>
    </xf>
    <xf numFmtId="49" fontId="91" fillId="0" borderId="9" xfId="16" applyNumberFormat="1" applyFont="1" applyFill="1" applyBorder="1" applyAlignment="1">
      <alignment horizontal="left" vertical="center"/>
    </xf>
    <xf numFmtId="0" fontId="91" fillId="0" borderId="0" xfId="16" applyFont="1" applyFill="1" applyBorder="1">
      <alignment vertical="center"/>
    </xf>
    <xf numFmtId="0" fontId="91" fillId="0" borderId="0" xfId="16" applyFont="1" applyFill="1" applyBorder="1" applyAlignment="1">
      <alignment vertical="center"/>
    </xf>
    <xf numFmtId="49" fontId="91" fillId="0" borderId="0" xfId="16" applyNumberFormat="1" applyFont="1" applyFill="1" applyAlignment="1">
      <alignment vertical="center"/>
    </xf>
    <xf numFmtId="0" fontId="96" fillId="0" borderId="9" xfId="16" applyFont="1" applyFill="1" applyBorder="1" applyAlignment="1">
      <alignment vertical="center"/>
    </xf>
    <xf numFmtId="0" fontId="88" fillId="0" borderId="6" xfId="16" applyFont="1" applyFill="1" applyBorder="1" applyAlignment="1">
      <alignment horizontal="center" vertical="center"/>
    </xf>
    <xf numFmtId="0" fontId="88" fillId="0" borderId="11" xfId="16" applyFont="1" applyFill="1" applyBorder="1" applyAlignment="1">
      <alignment horizontal="right" vertical="center"/>
    </xf>
    <xf numFmtId="0" fontId="88" fillId="0" borderId="11" xfId="16" applyFont="1" applyFill="1" applyBorder="1" applyAlignment="1">
      <alignment vertical="center"/>
    </xf>
    <xf numFmtId="0" fontId="88" fillId="0" borderId="41" xfId="16" applyFont="1" applyFill="1" applyBorder="1" applyAlignment="1">
      <alignment vertical="center"/>
    </xf>
    <xf numFmtId="0" fontId="88" fillId="0" borderId="6" xfId="16" applyFont="1" applyFill="1" applyBorder="1" applyAlignment="1">
      <alignment vertical="center"/>
    </xf>
    <xf numFmtId="0" fontId="88" fillId="0" borderId="58" xfId="16" applyFont="1" applyFill="1" applyBorder="1" applyAlignment="1">
      <alignment vertical="center"/>
    </xf>
    <xf numFmtId="0" fontId="96" fillId="0" borderId="0" xfId="16" applyFont="1" applyFill="1" applyAlignment="1">
      <alignment vertical="center"/>
    </xf>
    <xf numFmtId="0" fontId="88" fillId="0" borderId="33" xfId="16" applyFont="1" applyFill="1" applyBorder="1" applyAlignment="1">
      <alignment horizontal="center" vertical="center"/>
    </xf>
    <xf numFmtId="0" fontId="88" fillId="0" borderId="6" xfId="16" quotePrefix="1" applyFont="1" applyFill="1" applyBorder="1" applyAlignment="1">
      <alignment horizontal="center" vertical="center"/>
    </xf>
    <xf numFmtId="0" fontId="88" fillId="0" borderId="23" xfId="16" applyFont="1" applyFill="1" applyBorder="1" applyAlignment="1">
      <alignment horizontal="left" vertical="center"/>
    </xf>
    <xf numFmtId="0" fontId="88" fillId="0" borderId="0" xfId="16" applyFont="1" applyFill="1" applyBorder="1">
      <alignment vertical="center"/>
    </xf>
    <xf numFmtId="0" fontId="88" fillId="0" borderId="11" xfId="16" applyFont="1" applyFill="1" applyBorder="1" applyAlignment="1">
      <alignment horizontal="center" vertical="center"/>
    </xf>
    <xf numFmtId="2" fontId="88" fillId="0" borderId="11" xfId="16" applyNumberFormat="1" applyFont="1" applyFill="1" applyBorder="1" applyAlignment="1">
      <alignment horizontal="center" vertical="center"/>
    </xf>
    <xf numFmtId="0" fontId="88" fillId="0" borderId="11" xfId="16" quotePrefix="1" applyFont="1" applyFill="1" applyBorder="1" applyAlignment="1">
      <alignment horizontal="center" vertical="center"/>
    </xf>
    <xf numFmtId="0" fontId="88" fillId="0" borderId="3" xfId="16" applyFont="1" applyFill="1" applyBorder="1" applyAlignment="1">
      <alignment horizontal="center" vertical="center" wrapText="1"/>
    </xf>
    <xf numFmtId="0" fontId="88" fillId="0" borderId="52" xfId="16" applyFont="1" applyFill="1" applyBorder="1" applyAlignment="1">
      <alignment horizontal="center" vertical="center"/>
    </xf>
    <xf numFmtId="0" fontId="88" fillId="0" borderId="62" xfId="16" applyFont="1" applyFill="1" applyBorder="1" applyAlignment="1">
      <alignment horizontal="left" vertical="center"/>
    </xf>
    <xf numFmtId="1" fontId="88" fillId="0" borderId="11" xfId="16" applyNumberFormat="1" applyFont="1" applyFill="1" applyBorder="1" applyAlignment="1">
      <alignment horizontal="center" vertical="center"/>
    </xf>
    <xf numFmtId="0" fontId="91" fillId="0" borderId="0" xfId="16" applyFont="1" applyFill="1" applyAlignment="1">
      <alignment horizontal="center" vertical="center"/>
    </xf>
    <xf numFmtId="0" fontId="97" fillId="0" borderId="0" xfId="16" applyFont="1" applyFill="1" applyAlignment="1">
      <alignment horizontal="center" vertical="center"/>
    </xf>
    <xf numFmtId="0" fontId="97" fillId="0" borderId="82" xfId="16" applyFont="1" applyFill="1" applyBorder="1" applyAlignment="1">
      <alignment horizontal="center" vertical="center"/>
    </xf>
    <xf numFmtId="183" fontId="88" fillId="0" borderId="8" xfId="16" applyNumberFormat="1" applyFont="1" applyFill="1" applyBorder="1" applyAlignment="1">
      <alignment horizontal="center" vertical="center"/>
    </xf>
    <xf numFmtId="43" fontId="91" fillId="0" borderId="0" xfId="16" applyNumberFormat="1" applyFont="1" applyFill="1" applyAlignment="1">
      <alignment horizontal="center" vertical="center"/>
    </xf>
    <xf numFmtId="183" fontId="91" fillId="0" borderId="0" xfId="16" applyNumberFormat="1" applyFont="1" applyFill="1" applyAlignment="1">
      <alignment horizontal="center" vertical="center"/>
    </xf>
    <xf numFmtId="0" fontId="89" fillId="0" borderId="94" xfId="16" applyFont="1" applyFill="1" applyBorder="1" applyAlignment="1">
      <alignment horizontal="center" vertical="center"/>
    </xf>
    <xf numFmtId="177" fontId="88" fillId="0" borderId="85" xfId="16" applyNumberFormat="1" applyFont="1" applyFill="1" applyBorder="1" applyAlignment="1">
      <alignment horizontal="center" vertical="center"/>
    </xf>
    <xf numFmtId="0" fontId="88" fillId="0" borderId="94" xfId="16" applyFont="1" applyFill="1" applyBorder="1" applyAlignment="1">
      <alignment horizontal="center" vertical="center"/>
    </xf>
    <xf numFmtId="0" fontId="88" fillId="0" borderId="0" xfId="16" applyFont="1" applyFill="1" applyAlignment="1">
      <alignment horizontal="center" vertical="center"/>
    </xf>
    <xf numFmtId="183" fontId="88" fillId="0" borderId="0" xfId="16" applyNumberFormat="1" applyFont="1" applyFill="1" applyAlignment="1">
      <alignment horizontal="center" vertical="center"/>
    </xf>
    <xf numFmtId="177" fontId="88" fillId="0" borderId="61" xfId="16" applyNumberFormat="1" applyFont="1" applyFill="1" applyBorder="1" applyAlignment="1">
      <alignment horizontal="center" vertical="center"/>
    </xf>
    <xf numFmtId="0" fontId="98" fillId="0" borderId="0" xfId="16" applyFont="1" applyFill="1" applyAlignment="1">
      <alignment horizontal="center" vertical="center"/>
    </xf>
    <xf numFmtId="0" fontId="93" fillId="0" borderId="0" xfId="814" applyFont="1" applyAlignment="1">
      <alignment horizontal="center" vertical="center"/>
    </xf>
    <xf numFmtId="0" fontId="93" fillId="0" borderId="0" xfId="814" applyFont="1" applyAlignment="1">
      <alignment horizontal="right" vertical="center" shrinkToFit="1"/>
    </xf>
    <xf numFmtId="0" fontId="91" fillId="0" borderId="0" xfId="814" applyFont="1" applyAlignment="1">
      <alignment horizontal="center" vertical="center"/>
    </xf>
    <xf numFmtId="0" fontId="94" fillId="0" borderId="103" xfId="814" applyFont="1" applyBorder="1" applyAlignment="1">
      <alignment horizontal="center" vertical="center"/>
    </xf>
    <xf numFmtId="186" fontId="93" fillId="0" borderId="1" xfId="813" applyNumberFormat="1" applyFont="1" applyBorder="1" applyAlignment="1">
      <alignment horizontal="right" vertical="center"/>
    </xf>
    <xf numFmtId="187" fontId="93" fillId="0" borderId="34" xfId="814" applyNumberFormat="1" applyFont="1" applyBorder="1" applyAlignment="1">
      <alignment horizontal="center" vertical="center"/>
    </xf>
    <xf numFmtId="176" fontId="93" fillId="0" borderId="116" xfId="814" applyNumberFormat="1" applyFont="1" applyBorder="1" applyAlignment="1">
      <alignment horizontal="left" vertical="center"/>
    </xf>
    <xf numFmtId="186" fontId="93" fillId="0" borderId="117" xfId="813" applyNumberFormat="1" applyFont="1" applyBorder="1" applyAlignment="1">
      <alignment horizontal="right" vertical="center"/>
    </xf>
    <xf numFmtId="0" fontId="93" fillId="0" borderId="33" xfId="814" applyFont="1" applyBorder="1" applyAlignment="1">
      <alignment vertical="center" wrapText="1"/>
    </xf>
    <xf numFmtId="179" fontId="93" fillId="0" borderId="116" xfId="814" applyNumberFormat="1" applyFont="1" applyBorder="1" applyAlignment="1">
      <alignment horizontal="left" vertical="center"/>
    </xf>
    <xf numFmtId="176" fontId="93" fillId="0" borderId="34" xfId="814" applyNumberFormat="1" applyFont="1" applyBorder="1" applyAlignment="1">
      <alignment horizontal="center" vertical="center"/>
    </xf>
    <xf numFmtId="0" fontId="93" fillId="0" borderId="97" xfId="814" applyFont="1" applyBorder="1" applyAlignment="1">
      <alignment horizontal="center" vertical="center" wrapText="1"/>
    </xf>
    <xf numFmtId="41" fontId="93" fillId="0" borderId="48" xfId="813" applyFont="1" applyBorder="1" applyAlignment="1">
      <alignment horizontal="right" vertical="center"/>
    </xf>
    <xf numFmtId="0" fontId="93" fillId="0" borderId="49" xfId="814" applyFont="1" applyBorder="1" applyAlignment="1">
      <alignment horizontal="center" vertical="center"/>
    </xf>
    <xf numFmtId="41" fontId="93" fillId="0" borderId="3" xfId="813" applyFont="1" applyBorder="1" applyAlignment="1">
      <alignment horizontal="right" vertical="center"/>
    </xf>
    <xf numFmtId="0" fontId="93" fillId="0" borderId="32" xfId="814" applyFont="1" applyBorder="1" applyAlignment="1">
      <alignment horizontal="center" vertical="center"/>
    </xf>
    <xf numFmtId="0" fontId="91" fillId="0" borderId="0" xfId="814" applyFont="1" applyAlignment="1">
      <alignment horizontal="right" vertical="center"/>
    </xf>
    <xf numFmtId="0" fontId="91" fillId="0" borderId="0" xfId="815" applyFont="1" applyAlignment="1">
      <alignment horizontal="center" vertical="center"/>
    </xf>
    <xf numFmtId="0" fontId="93" fillId="0" borderId="0" xfId="815" applyFont="1" applyAlignment="1">
      <alignment horizontal="center" vertical="center"/>
    </xf>
    <xf numFmtId="0" fontId="94" fillId="0" borderId="102" xfId="815" applyFont="1" applyBorder="1" applyAlignment="1">
      <alignment horizontal="center" vertical="center"/>
    </xf>
    <xf numFmtId="0" fontId="93" fillId="0" borderId="1" xfId="815" applyFont="1" applyBorder="1" applyAlignment="1">
      <alignment horizontal="left" vertical="center"/>
    </xf>
    <xf numFmtId="186" fontId="93" fillId="0" borderId="108" xfId="816" applyNumberFormat="1" applyFont="1" applyBorder="1" applyAlignment="1">
      <alignment horizontal="right" vertical="center"/>
    </xf>
    <xf numFmtId="0" fontId="92" fillId="0" borderId="76" xfId="815" applyFont="1" applyBorder="1" applyAlignment="1">
      <alignment horizontal="left" vertical="center"/>
    </xf>
    <xf numFmtId="0" fontId="93" fillId="0" borderId="91" xfId="815" applyFont="1" applyBorder="1" applyAlignment="1">
      <alignment horizontal="left" vertical="center"/>
    </xf>
    <xf numFmtId="186" fontId="93" fillId="0" borderId="95" xfId="816" applyNumberFormat="1" applyFont="1" applyBorder="1" applyAlignment="1">
      <alignment horizontal="right" vertical="center"/>
    </xf>
    <xf numFmtId="0" fontId="92" fillId="0" borderId="114" xfId="815" applyFont="1" applyBorder="1" applyAlignment="1">
      <alignment horizontal="left" vertical="center"/>
    </xf>
    <xf numFmtId="0" fontId="93" fillId="0" borderId="2" xfId="815" applyFont="1" applyBorder="1" applyAlignment="1">
      <alignment horizontal="center" vertical="center" wrapText="1"/>
    </xf>
    <xf numFmtId="0" fontId="93" fillId="0" borderId="91" xfId="815" applyFont="1" applyBorder="1" applyAlignment="1">
      <alignment horizontal="left" vertical="center" wrapText="1"/>
    </xf>
    <xf numFmtId="233" fontId="93" fillId="0" borderId="95" xfId="816" applyNumberFormat="1" applyFont="1" applyBorder="1" applyAlignment="1">
      <alignment horizontal="right" vertical="center"/>
    </xf>
    <xf numFmtId="0" fontId="93" fillId="0" borderId="95" xfId="815" applyFont="1" applyBorder="1" applyAlignment="1">
      <alignment horizontal="center" vertical="center" wrapText="1"/>
    </xf>
    <xf numFmtId="179" fontId="91" fillId="0" borderId="0" xfId="815" applyNumberFormat="1" applyFont="1" applyAlignment="1">
      <alignment horizontal="center" vertical="center"/>
    </xf>
    <xf numFmtId="0" fontId="93" fillId="0" borderId="114" xfId="815" applyFont="1" applyBorder="1" applyAlignment="1">
      <alignment horizontal="left" vertical="center"/>
    </xf>
    <xf numFmtId="2" fontId="91" fillId="0" borderId="0" xfId="815" applyNumberFormat="1" applyFont="1" applyAlignment="1">
      <alignment horizontal="center" vertical="center"/>
    </xf>
    <xf numFmtId="0" fontId="93" fillId="0" borderId="114" xfId="815" applyFont="1" applyBorder="1" applyAlignment="1">
      <alignment horizontal="left" vertical="center" wrapText="1"/>
    </xf>
    <xf numFmtId="0" fontId="93" fillId="0" borderId="95" xfId="815" applyFont="1" applyBorder="1" applyAlignment="1">
      <alignment horizontal="right" vertical="center" wrapText="1"/>
    </xf>
    <xf numFmtId="0" fontId="93" fillId="0" borderId="58" xfId="815" applyFont="1" applyBorder="1" applyAlignment="1">
      <alignment horizontal="center" vertical="center"/>
    </xf>
    <xf numFmtId="0" fontId="93" fillId="0" borderId="61" xfId="815" applyFont="1" applyBorder="1" applyAlignment="1">
      <alignment horizontal="left" vertical="center" wrapText="1"/>
    </xf>
    <xf numFmtId="0" fontId="93" fillId="0" borderId="91" xfId="815" applyFont="1" applyBorder="1" applyAlignment="1">
      <alignment horizontal="center" vertical="center"/>
    </xf>
    <xf numFmtId="190" fontId="91" fillId="0" borderId="0" xfId="815" applyNumberFormat="1" applyFont="1" applyAlignment="1">
      <alignment horizontal="center" vertical="center"/>
    </xf>
    <xf numFmtId="0" fontId="93" fillId="0" borderId="97" xfId="815" applyFont="1" applyBorder="1" applyAlignment="1">
      <alignment horizontal="left" vertical="center" wrapText="1"/>
    </xf>
    <xf numFmtId="41" fontId="93" fillId="0" borderId="95" xfId="816" applyFont="1" applyBorder="1" applyAlignment="1">
      <alignment horizontal="right" vertical="center"/>
    </xf>
    <xf numFmtId="0" fontId="93" fillId="0" borderId="106" xfId="815" applyFont="1" applyBorder="1" applyAlignment="1">
      <alignment horizontal="left" vertical="center" wrapText="1"/>
    </xf>
    <xf numFmtId="0" fontId="93" fillId="0" borderId="64" xfId="815" applyFont="1" applyBorder="1" applyAlignment="1">
      <alignment horizontal="center" vertical="center"/>
    </xf>
    <xf numFmtId="0" fontId="93" fillId="0" borderId="9" xfId="815" applyFont="1" applyBorder="1" applyAlignment="1">
      <alignment horizontal="center" vertical="center"/>
    </xf>
    <xf numFmtId="0" fontId="93" fillId="0" borderId="3" xfId="815" applyFont="1" applyBorder="1" applyAlignment="1">
      <alignment horizontal="left" vertical="center"/>
    </xf>
    <xf numFmtId="41" fontId="93" fillId="0" borderId="51" xfId="816" applyFont="1" applyBorder="1" applyAlignment="1">
      <alignment horizontal="right" vertical="center"/>
    </xf>
    <xf numFmtId="0" fontId="93" fillId="0" borderId="52" xfId="815" applyFont="1" applyBorder="1" applyAlignment="1">
      <alignment horizontal="left" vertical="center"/>
    </xf>
    <xf numFmtId="0" fontId="100" fillId="0" borderId="0" xfId="815" applyFont="1" applyAlignment="1">
      <alignment horizontal="center" vertical="center"/>
    </xf>
    <xf numFmtId="0" fontId="93" fillId="0" borderId="0" xfId="815" applyFont="1" applyAlignment="1">
      <alignment horizontal="right" vertical="center" shrinkToFit="1"/>
    </xf>
    <xf numFmtId="0" fontId="94" fillId="0" borderId="103" xfId="815" applyFont="1" applyBorder="1" applyAlignment="1">
      <alignment horizontal="center" vertical="center"/>
    </xf>
    <xf numFmtId="0" fontId="93" fillId="0" borderId="1" xfId="815" applyFont="1" applyBorder="1" applyAlignment="1">
      <alignment horizontal="center" vertical="center"/>
    </xf>
    <xf numFmtId="186" fontId="93" fillId="0" borderId="1" xfId="816" applyNumberFormat="1" applyFont="1" applyBorder="1" applyAlignment="1">
      <alignment horizontal="right" vertical="center"/>
    </xf>
    <xf numFmtId="187" fontId="93" fillId="0" borderId="34" xfId="815" applyNumberFormat="1" applyFont="1" applyBorder="1" applyAlignment="1">
      <alignment horizontal="center" vertical="center"/>
    </xf>
    <xf numFmtId="176" fontId="93" fillId="0" borderId="116" xfId="815" applyNumberFormat="1" applyFont="1" applyBorder="1" applyAlignment="1">
      <alignment horizontal="left" vertical="center"/>
    </xf>
    <xf numFmtId="186" fontId="93" fillId="0" borderId="117" xfId="816" applyNumberFormat="1" applyFont="1" applyBorder="1" applyAlignment="1">
      <alignment horizontal="right" vertical="center"/>
    </xf>
    <xf numFmtId="0" fontId="93" fillId="0" borderId="91" xfId="815" applyFont="1" applyBorder="1" applyAlignment="1">
      <alignment horizontal="center" vertical="center" wrapText="1"/>
    </xf>
    <xf numFmtId="186" fontId="93" fillId="0" borderId="91" xfId="816" applyNumberFormat="1" applyFont="1" applyBorder="1" applyAlignment="1">
      <alignment horizontal="right" vertical="center"/>
    </xf>
    <xf numFmtId="0" fontId="93" fillId="0" borderId="90" xfId="815" applyFont="1" applyBorder="1" applyAlignment="1">
      <alignment horizontal="center" vertical="center"/>
    </xf>
    <xf numFmtId="187" fontId="93" fillId="0" borderId="90" xfId="815" applyNumberFormat="1" applyFont="1" applyBorder="1" applyAlignment="1">
      <alignment horizontal="center" vertical="center"/>
    </xf>
    <xf numFmtId="0" fontId="93" fillId="0" borderId="33" xfId="815" applyFont="1" applyBorder="1" applyAlignment="1">
      <alignment vertical="center" wrapText="1"/>
    </xf>
    <xf numFmtId="0" fontId="93" fillId="0" borderId="91" xfId="815" quotePrefix="1" applyFont="1" applyBorder="1" applyAlignment="1">
      <alignment horizontal="center" vertical="center"/>
    </xf>
    <xf numFmtId="233" fontId="93" fillId="0" borderId="91" xfId="816" applyNumberFormat="1" applyFont="1" applyBorder="1" applyAlignment="1">
      <alignment horizontal="right" vertical="center"/>
    </xf>
    <xf numFmtId="0" fontId="93" fillId="0" borderId="48" xfId="815" applyFont="1" applyBorder="1" applyAlignment="1">
      <alignment horizontal="center" vertical="center"/>
    </xf>
    <xf numFmtId="0" fontId="91" fillId="0" borderId="1" xfId="815" applyFont="1" applyBorder="1" applyAlignment="1">
      <alignment horizontal="center" vertical="center"/>
    </xf>
    <xf numFmtId="179" fontId="93" fillId="0" borderId="116" xfId="815" applyNumberFormat="1" applyFont="1" applyBorder="1" applyAlignment="1">
      <alignment horizontal="left" vertical="center"/>
    </xf>
    <xf numFmtId="2" fontId="93" fillId="0" borderId="91" xfId="815" applyNumberFormat="1" applyFont="1" applyBorder="1" applyAlignment="1">
      <alignment horizontal="center" vertical="center"/>
    </xf>
    <xf numFmtId="176" fontId="93" fillId="0" borderId="34" xfId="815" applyNumberFormat="1" applyFont="1" applyBorder="1" applyAlignment="1">
      <alignment horizontal="center" vertical="center"/>
    </xf>
    <xf numFmtId="0" fontId="93" fillId="0" borderId="97" xfId="815" applyFont="1" applyBorder="1" applyAlignment="1">
      <alignment horizontal="center" vertical="center" wrapText="1"/>
    </xf>
    <xf numFmtId="41" fontId="93" fillId="0" borderId="48" xfId="816" applyFont="1" applyBorder="1" applyAlignment="1">
      <alignment horizontal="right" vertical="center"/>
    </xf>
    <xf numFmtId="0" fontId="93" fillId="0" borderId="49" xfId="815" applyFont="1" applyBorder="1" applyAlignment="1">
      <alignment horizontal="center" vertical="center"/>
    </xf>
    <xf numFmtId="0" fontId="93" fillId="0" borderId="3" xfId="815" applyFont="1" applyBorder="1" applyAlignment="1">
      <alignment horizontal="center" vertical="center"/>
    </xf>
    <xf numFmtId="41" fontId="93" fillId="0" borderId="3" xfId="816" applyFont="1" applyBorder="1" applyAlignment="1">
      <alignment horizontal="right" vertical="center"/>
    </xf>
    <xf numFmtId="0" fontId="93" fillId="0" borderId="32" xfId="815" applyFont="1" applyBorder="1" applyAlignment="1">
      <alignment horizontal="center" vertical="center"/>
    </xf>
    <xf numFmtId="0" fontId="91" fillId="0" borderId="0" xfId="815" applyFont="1" applyAlignment="1">
      <alignment horizontal="right" vertical="center"/>
    </xf>
    <xf numFmtId="0" fontId="91" fillId="0" borderId="0" xfId="16" applyFont="1" applyAlignment="1">
      <alignment horizontal="center" vertical="center"/>
    </xf>
    <xf numFmtId="0" fontId="93" fillId="0" borderId="0" xfId="16" applyFont="1" applyAlignment="1">
      <alignment horizontal="center" vertical="center"/>
    </xf>
    <xf numFmtId="0" fontId="93" fillId="0" borderId="1" xfId="16" applyFont="1" applyBorder="1" applyAlignment="1">
      <alignment horizontal="left" vertical="center"/>
    </xf>
    <xf numFmtId="186" fontId="93" fillId="0" borderId="108" xfId="813" applyNumberFormat="1" applyFont="1" applyBorder="1" applyAlignment="1">
      <alignment horizontal="right" vertical="center"/>
    </xf>
    <xf numFmtId="0" fontId="92" fillId="0" borderId="76" xfId="16" applyFont="1" applyBorder="1" applyAlignment="1">
      <alignment horizontal="left" vertical="center"/>
    </xf>
    <xf numFmtId="186" fontId="93" fillId="0" borderId="95" xfId="813" applyNumberFormat="1" applyFont="1" applyBorder="1" applyAlignment="1">
      <alignment horizontal="right" vertical="center"/>
    </xf>
    <xf numFmtId="0" fontId="92" fillId="0" borderId="114" xfId="16" applyFont="1" applyBorder="1" applyAlignment="1">
      <alignment horizontal="left" vertical="center"/>
    </xf>
    <xf numFmtId="186" fontId="88" fillId="0" borderId="95" xfId="813" applyNumberFormat="1" applyFont="1" applyBorder="1" applyAlignment="1">
      <alignment horizontal="right" vertical="center"/>
    </xf>
    <xf numFmtId="0" fontId="88" fillId="0" borderId="114" xfId="16" applyFont="1" applyBorder="1" applyAlignment="1">
      <alignment horizontal="left" vertical="center"/>
    </xf>
    <xf numFmtId="233" fontId="88" fillId="0" borderId="95" xfId="813" applyNumberFormat="1" applyFont="1" applyBorder="1" applyAlignment="1">
      <alignment horizontal="right" vertical="center"/>
    </xf>
    <xf numFmtId="0" fontId="93" fillId="0" borderId="95" xfId="16" applyFont="1" applyBorder="1" applyAlignment="1">
      <alignment horizontal="center" vertical="center" wrapText="1"/>
    </xf>
    <xf numFmtId="179" fontId="91" fillId="0" borderId="0" xfId="16" applyNumberFormat="1" applyFont="1" applyAlignment="1">
      <alignment horizontal="center" vertical="center"/>
    </xf>
    <xf numFmtId="0" fontId="93" fillId="0" borderId="114" xfId="16" applyFont="1" applyBorder="1" applyAlignment="1">
      <alignment horizontal="left" vertical="center"/>
    </xf>
    <xf numFmtId="186" fontId="88" fillId="0" borderId="95" xfId="816" applyNumberFormat="1" applyFont="1" applyBorder="1" applyAlignment="1">
      <alignment horizontal="right" vertical="center"/>
    </xf>
    <xf numFmtId="2" fontId="91" fillId="0" borderId="0" xfId="16" applyNumberFormat="1" applyFont="1" applyAlignment="1">
      <alignment horizontal="center" vertical="center"/>
    </xf>
    <xf numFmtId="0" fontId="93" fillId="0" borderId="114" xfId="16" applyFont="1" applyBorder="1" applyAlignment="1">
      <alignment horizontal="left" vertical="center" wrapText="1"/>
    </xf>
    <xf numFmtId="0" fontId="93" fillId="0" borderId="95" xfId="16" applyFont="1" applyBorder="1" applyAlignment="1">
      <alignment horizontal="right" vertical="center" wrapText="1"/>
    </xf>
    <xf numFmtId="0" fontId="93" fillId="0" borderId="61" xfId="16" applyFont="1" applyBorder="1" applyAlignment="1">
      <alignment horizontal="left" vertical="center" wrapText="1"/>
    </xf>
    <xf numFmtId="190" fontId="91" fillId="0" borderId="0" xfId="16" applyNumberFormat="1" applyFont="1" applyAlignment="1">
      <alignment horizontal="center" vertical="center"/>
    </xf>
    <xf numFmtId="0" fontId="93" fillId="0" borderId="97" xfId="16" applyFont="1" applyBorder="1" applyAlignment="1">
      <alignment horizontal="left" vertical="center" wrapText="1"/>
    </xf>
    <xf numFmtId="41" fontId="93" fillId="0" borderId="95" xfId="813" applyFont="1" applyBorder="1" applyAlignment="1">
      <alignment horizontal="right" vertical="center"/>
    </xf>
    <xf numFmtId="0" fontId="93" fillId="0" borderId="106" xfId="16" applyFont="1" applyBorder="1" applyAlignment="1">
      <alignment horizontal="left" vertical="center" wrapText="1"/>
    </xf>
    <xf numFmtId="0" fontId="93" fillId="0" borderId="64" xfId="16" applyFont="1" applyBorder="1" applyAlignment="1">
      <alignment horizontal="center" vertical="center"/>
    </xf>
    <xf numFmtId="0" fontId="93" fillId="0" borderId="9" xfId="16" applyFont="1" applyBorder="1" applyAlignment="1">
      <alignment horizontal="center" vertical="center"/>
    </xf>
    <xf numFmtId="0" fontId="93" fillId="0" borderId="3" xfId="16" applyFont="1" applyBorder="1" applyAlignment="1">
      <alignment horizontal="left" vertical="center"/>
    </xf>
    <xf numFmtId="41" fontId="93" fillId="0" borderId="51" xfId="813" applyFont="1" applyBorder="1" applyAlignment="1">
      <alignment horizontal="right" vertical="center"/>
    </xf>
    <xf numFmtId="0" fontId="93" fillId="0" borderId="52" xfId="16" applyFont="1" applyBorder="1" applyAlignment="1">
      <alignment horizontal="left" vertical="center"/>
    </xf>
    <xf numFmtId="0" fontId="91" fillId="0" borderId="0" xfId="0" applyFont="1" applyFill="1" applyAlignment="1">
      <alignment vertical="center"/>
    </xf>
    <xf numFmtId="189" fontId="93" fillId="0" borderId="117" xfId="813" applyNumberFormat="1" applyFont="1" applyBorder="1" applyAlignment="1">
      <alignment horizontal="right" vertical="center"/>
    </xf>
    <xf numFmtId="0" fontId="96" fillId="0" borderId="0" xfId="817" applyFont="1" applyAlignment="1">
      <alignment vertical="center"/>
    </xf>
    <xf numFmtId="0" fontId="88" fillId="0" borderId="96" xfId="817" applyFont="1" applyBorder="1" applyAlignment="1">
      <alignment horizontal="centerContinuous" vertical="center"/>
    </xf>
    <xf numFmtId="0" fontId="93" fillId="0" borderId="96" xfId="817" applyFont="1" applyBorder="1" applyAlignment="1">
      <alignment horizontal="centerContinuous" vertical="center"/>
    </xf>
    <xf numFmtId="0" fontId="88" fillId="0" borderId="96" xfId="817" applyFont="1" applyBorder="1" applyAlignment="1">
      <alignment vertical="center"/>
    </xf>
    <xf numFmtId="0" fontId="88" fillId="0" borderId="0" xfId="817" applyFont="1" applyAlignment="1">
      <alignment vertical="center"/>
    </xf>
    <xf numFmtId="0" fontId="88" fillId="0" borderId="67" xfId="817" applyFont="1" applyBorder="1" applyAlignment="1">
      <alignment vertical="center"/>
    </xf>
    <xf numFmtId="0" fontId="88" fillId="0" borderId="9" xfId="817" applyFont="1" applyBorder="1" applyAlignment="1">
      <alignment vertical="center"/>
    </xf>
    <xf numFmtId="0" fontId="88" fillId="0" borderId="0" xfId="817" applyFont="1" applyAlignment="1">
      <alignment horizontal="centerContinuous" vertical="center"/>
    </xf>
    <xf numFmtId="0" fontId="88" fillId="0" borderId="0" xfId="817" applyFont="1" applyAlignment="1">
      <alignment horizontal="center" vertical="center"/>
    </xf>
    <xf numFmtId="0" fontId="95" fillId="0" borderId="0" xfId="817" applyFont="1" applyAlignment="1">
      <alignment vertical="center"/>
    </xf>
    <xf numFmtId="0" fontId="88" fillId="0" borderId="0" xfId="817" applyFont="1" applyAlignment="1">
      <alignment horizontal="center"/>
    </xf>
    <xf numFmtId="0" fontId="88" fillId="0" borderId="0" xfId="817" applyFont="1" applyAlignment="1">
      <alignment horizontal="center" vertical="top"/>
    </xf>
    <xf numFmtId="0" fontId="95" fillId="0" borderId="0" xfId="817" applyFont="1" applyAlignment="1">
      <alignment horizontal="center" vertical="top" textRotation="90"/>
    </xf>
    <xf numFmtId="185" fontId="88" fillId="0" borderId="0" xfId="817" applyNumberFormat="1" applyFont="1" applyAlignment="1">
      <alignment horizontal="centerContinuous" vertical="center"/>
    </xf>
    <xf numFmtId="0" fontId="88" fillId="0" borderId="72" xfId="817" applyFont="1" applyBorder="1" applyAlignment="1">
      <alignment horizontal="centerContinuous" vertical="center"/>
    </xf>
    <xf numFmtId="0" fontId="88" fillId="0" borderId="102" xfId="817" applyFont="1" applyBorder="1" applyAlignment="1">
      <alignment horizontal="centerContinuous" vertical="center"/>
    </xf>
    <xf numFmtId="0" fontId="88" fillId="0" borderId="85" xfId="817" applyFont="1" applyBorder="1" applyAlignment="1">
      <alignment horizontal="centerContinuous" vertical="center"/>
    </xf>
    <xf numFmtId="0" fontId="88" fillId="0" borderId="86" xfId="817" applyFont="1" applyBorder="1" applyAlignment="1">
      <alignment horizontal="centerContinuous" vertical="center"/>
    </xf>
    <xf numFmtId="0" fontId="88" fillId="0" borderId="103" xfId="817" applyFont="1" applyBorder="1" applyAlignment="1">
      <alignment horizontal="centerContinuous" vertical="center"/>
    </xf>
    <xf numFmtId="0" fontId="88" fillId="0" borderId="67" xfId="817" applyFont="1" applyBorder="1" applyAlignment="1">
      <alignment horizontal="centerContinuous" vertical="center"/>
    </xf>
    <xf numFmtId="0" fontId="88" fillId="0" borderId="64" xfId="817" applyFont="1" applyBorder="1" applyAlignment="1">
      <alignment vertical="center"/>
    </xf>
    <xf numFmtId="0" fontId="88" fillId="0" borderId="106" xfId="817" applyFont="1" applyBorder="1" applyAlignment="1">
      <alignment vertical="center"/>
    </xf>
    <xf numFmtId="0" fontId="88" fillId="0" borderId="100" xfId="817" applyFont="1" applyBorder="1" applyAlignment="1">
      <alignment horizontal="centerContinuous" vertical="center"/>
    </xf>
    <xf numFmtId="0" fontId="88" fillId="0" borderId="113" xfId="817" applyFont="1" applyBorder="1" applyAlignment="1">
      <alignment horizontal="centerContinuous" vertical="center"/>
    </xf>
    <xf numFmtId="0" fontId="88" fillId="0" borderId="98" xfId="817" applyFont="1" applyBorder="1" applyAlignment="1">
      <alignment vertical="center"/>
    </xf>
    <xf numFmtId="0" fontId="88" fillId="0" borderId="113" xfId="817" applyFont="1" applyBorder="1" applyAlignment="1">
      <alignment vertical="center"/>
    </xf>
    <xf numFmtId="0" fontId="88" fillId="0" borderId="113" xfId="817" applyFont="1" applyBorder="1" applyAlignment="1">
      <alignment horizontal="center" vertical="center"/>
    </xf>
    <xf numFmtId="0" fontId="88" fillId="0" borderId="99" xfId="817" applyFont="1" applyBorder="1" applyAlignment="1">
      <alignment vertical="center"/>
    </xf>
    <xf numFmtId="0" fontId="88" fillId="0" borderId="113" xfId="817" applyFont="1" applyBorder="1" applyAlignment="1">
      <alignment horizontal="left" vertical="center"/>
    </xf>
    <xf numFmtId="0" fontId="88" fillId="0" borderId="118" xfId="817" applyFont="1" applyBorder="1" applyAlignment="1">
      <alignment horizontal="left" vertical="center"/>
    </xf>
    <xf numFmtId="0" fontId="88" fillId="0" borderId="0" xfId="817" applyFont="1" applyAlignment="1">
      <alignment horizontal="left" vertical="center"/>
    </xf>
    <xf numFmtId="0" fontId="88" fillId="0" borderId="9" xfId="817" applyFont="1" applyBorder="1" applyAlignment="1">
      <alignment horizontal="left" vertical="center"/>
    </xf>
    <xf numFmtId="0" fontId="88" fillId="0" borderId="92" xfId="817" applyFont="1" applyBorder="1" applyAlignment="1">
      <alignment vertical="center"/>
    </xf>
    <xf numFmtId="0" fontId="88" fillId="0" borderId="101" xfId="817" applyFont="1" applyBorder="1" applyAlignment="1">
      <alignment vertical="center"/>
    </xf>
    <xf numFmtId="0" fontId="88" fillId="0" borderId="66" xfId="817" applyFont="1" applyBorder="1" applyAlignment="1">
      <alignment vertical="center"/>
    </xf>
    <xf numFmtId="0" fontId="93" fillId="0" borderId="3" xfId="814" applyFont="1" applyBorder="1" applyAlignment="1">
      <alignment horizontal="center" vertical="center"/>
    </xf>
    <xf numFmtId="0" fontId="93" fillId="0" borderId="48" xfId="814" applyFont="1" applyBorder="1" applyAlignment="1">
      <alignment horizontal="center" vertical="center"/>
    </xf>
    <xf numFmtId="0" fontId="93" fillId="0" borderId="1" xfId="814" applyFont="1" applyBorder="1" applyAlignment="1">
      <alignment horizontal="center" vertical="center"/>
    </xf>
    <xf numFmtId="0" fontId="93" fillId="0" borderId="58" xfId="16" applyFont="1" applyBorder="1" applyAlignment="1">
      <alignment horizontal="center" vertical="center"/>
    </xf>
    <xf numFmtId="0" fontId="93" fillId="0" borderId="2" xfId="16" applyFont="1" applyBorder="1" applyAlignment="1">
      <alignment horizontal="center" vertical="center" wrapText="1"/>
    </xf>
    <xf numFmtId="0" fontId="88" fillId="0" borderId="0" xfId="817" applyFont="1" applyAlignment="1">
      <alignment vertical="center"/>
    </xf>
    <xf numFmtId="181" fontId="89" fillId="0" borderId="115" xfId="16" applyNumberFormat="1" applyFont="1" applyFill="1" applyBorder="1" applyAlignment="1">
      <alignment horizontal="center" vertical="center"/>
    </xf>
    <xf numFmtId="183" fontId="88" fillId="0" borderId="115" xfId="16" applyNumberFormat="1" applyFont="1" applyFill="1" applyBorder="1" applyAlignment="1">
      <alignment horizontal="center" vertical="center"/>
    </xf>
    <xf numFmtId="0" fontId="88" fillId="0" borderId="115" xfId="16" applyFont="1" applyFill="1" applyBorder="1" applyAlignment="1">
      <alignment horizontal="center" vertical="center"/>
    </xf>
    <xf numFmtId="195" fontId="88" fillId="0" borderId="8" xfId="16" applyNumberFormat="1" applyFont="1" applyFill="1" applyBorder="1" applyAlignment="1">
      <alignment horizontal="center" vertical="center" wrapText="1"/>
    </xf>
    <xf numFmtId="0" fontId="88" fillId="0" borderId="8" xfId="16" applyFont="1" applyFill="1" applyBorder="1" applyAlignment="1">
      <alignment horizontal="center" vertical="center" wrapText="1"/>
    </xf>
    <xf numFmtId="0" fontId="88" fillId="0" borderId="8" xfId="29" applyFont="1" applyFill="1" applyBorder="1" applyAlignment="1">
      <alignment horizontal="center" vertical="center"/>
    </xf>
    <xf numFmtId="0" fontId="89" fillId="0" borderId="115" xfId="16" applyFont="1" applyFill="1" applyBorder="1" applyAlignment="1">
      <alignment horizontal="center" vertical="center"/>
    </xf>
    <xf numFmtId="183" fontId="89" fillId="0" borderId="115" xfId="16" applyNumberFormat="1" applyFont="1" applyFill="1" applyBorder="1" applyAlignment="1">
      <alignment horizontal="center" vertical="center"/>
    </xf>
    <xf numFmtId="0" fontId="88" fillId="0" borderId="23" xfId="16" applyFont="1" applyFill="1" applyBorder="1" applyAlignment="1">
      <alignment horizontal="center" vertical="center"/>
    </xf>
    <xf numFmtId="0" fontId="88" fillId="0" borderId="23" xfId="16" applyFont="1" applyFill="1" applyBorder="1" applyAlignment="1">
      <alignment horizontal="center" vertical="center" wrapText="1"/>
    </xf>
    <xf numFmtId="0" fontId="88" fillId="0" borderId="32" xfId="16" applyFont="1" applyFill="1" applyBorder="1" applyAlignment="1">
      <alignment horizontal="center" vertical="center" wrapText="1"/>
    </xf>
    <xf numFmtId="0" fontId="88" fillId="0" borderId="34" xfId="16" applyFont="1" applyFill="1" applyBorder="1" applyAlignment="1">
      <alignment horizontal="center" vertical="center"/>
    </xf>
    <xf numFmtId="182" fontId="88" fillId="0" borderId="11" xfId="16" applyNumberFormat="1" applyFont="1" applyFill="1" applyBorder="1" applyAlignment="1">
      <alignment horizontal="center" vertical="center"/>
    </xf>
    <xf numFmtId="176" fontId="88" fillId="0" borderId="11" xfId="16" applyNumberFormat="1" applyFont="1" applyFill="1" applyBorder="1" applyAlignment="1">
      <alignment horizontal="center" vertical="center"/>
    </xf>
    <xf numFmtId="183" fontId="88" fillId="0" borderId="53" xfId="16" applyNumberFormat="1" applyFont="1" applyFill="1" applyBorder="1" applyAlignment="1">
      <alignment horizontal="center" vertical="center"/>
    </xf>
    <xf numFmtId="183" fontId="88" fillId="0" borderId="59" xfId="16" applyNumberFormat="1" applyFont="1" applyFill="1" applyBorder="1" applyAlignment="1">
      <alignment horizontal="right" vertical="center"/>
    </xf>
    <xf numFmtId="182" fontId="88" fillId="0" borderId="59" xfId="16" applyNumberFormat="1" applyFont="1" applyFill="1" applyBorder="1" applyAlignment="1">
      <alignment horizontal="right" vertical="center"/>
    </xf>
    <xf numFmtId="1" fontId="88" fillId="0" borderId="59" xfId="16" applyNumberFormat="1" applyFont="1" applyFill="1" applyBorder="1" applyAlignment="1">
      <alignment horizontal="center" vertical="center"/>
    </xf>
    <xf numFmtId="183" fontId="88" fillId="0" borderId="63" xfId="16" applyNumberFormat="1" applyFont="1" applyFill="1" applyBorder="1" applyAlignment="1">
      <alignment horizontal="right" vertical="center"/>
    </xf>
    <xf numFmtId="180" fontId="88" fillId="0" borderId="53" xfId="16" applyNumberFormat="1" applyFont="1" applyFill="1" applyBorder="1" applyAlignment="1">
      <alignment horizontal="center" vertical="center"/>
    </xf>
    <xf numFmtId="0" fontId="99" fillId="0" borderId="0" xfId="814" applyFont="1" applyAlignment="1">
      <alignment horizontal="center" vertical="center"/>
    </xf>
    <xf numFmtId="0" fontId="94" fillId="0" borderId="115" xfId="16" applyFont="1" applyBorder="1" applyAlignment="1">
      <alignment horizontal="center" vertical="center"/>
    </xf>
    <xf numFmtId="0" fontId="93" fillId="0" borderId="8" xfId="16" applyFont="1" applyBorder="1" applyAlignment="1">
      <alignment horizontal="left" vertical="center"/>
    </xf>
    <xf numFmtId="0" fontId="88" fillId="0" borderId="8" xfId="814" applyFont="1" applyBorder="1" applyAlignment="1">
      <alignment horizontal="left" vertical="center" wrapText="1"/>
    </xf>
    <xf numFmtId="0" fontId="88" fillId="0" borderId="8" xfId="16" applyFont="1" applyBorder="1" applyAlignment="1">
      <alignment horizontal="left" vertical="center"/>
    </xf>
    <xf numFmtId="0" fontId="88" fillId="0" borderId="8" xfId="815" applyFont="1" applyBorder="1" applyAlignment="1">
      <alignment horizontal="left" vertical="center"/>
    </xf>
    <xf numFmtId="0" fontId="93" fillId="0" borderId="8" xfId="16" applyFont="1" applyBorder="1" applyAlignment="1">
      <alignment horizontal="left" vertical="center" wrapText="1"/>
    </xf>
    <xf numFmtId="0" fontId="93" fillId="0" borderId="8" xfId="16" applyFont="1" applyBorder="1" applyAlignment="1">
      <alignment horizontal="center" vertical="center"/>
    </xf>
    <xf numFmtId="0" fontId="93" fillId="0" borderId="0" xfId="16" applyFont="1" applyBorder="1" applyAlignment="1">
      <alignment horizontal="center" vertical="center"/>
    </xf>
    <xf numFmtId="179" fontId="93" fillId="0" borderId="120" xfId="814" applyNumberFormat="1" applyFont="1" applyBorder="1" applyAlignment="1">
      <alignment horizontal="left" vertical="center"/>
    </xf>
    <xf numFmtId="0" fontId="93" fillId="0" borderId="8" xfId="814" applyFont="1" applyBorder="1" applyAlignment="1">
      <alignment horizontal="center" vertical="center"/>
    </xf>
    <xf numFmtId="186" fontId="93" fillId="0" borderId="8" xfId="813" applyNumberFormat="1" applyFont="1" applyBorder="1" applyAlignment="1">
      <alignment horizontal="right" vertical="center"/>
    </xf>
    <xf numFmtId="0" fontId="93" fillId="0" borderId="12" xfId="814" applyFont="1" applyBorder="1" applyAlignment="1">
      <alignment horizontal="center" vertical="center"/>
    </xf>
    <xf numFmtId="2" fontId="93" fillId="0" borderId="8" xfId="814" applyNumberFormat="1" applyFont="1" applyBorder="1" applyAlignment="1">
      <alignment horizontal="center" vertical="center"/>
    </xf>
    <xf numFmtId="0" fontId="94" fillId="0" borderId="115" xfId="814" applyFont="1" applyBorder="1" applyAlignment="1">
      <alignment horizontal="center" vertical="center"/>
    </xf>
    <xf numFmtId="0" fontId="93" fillId="0" borderId="8" xfId="814" applyFont="1" applyBorder="1" applyAlignment="1">
      <alignment horizontal="center" vertical="center" wrapText="1"/>
    </xf>
    <xf numFmtId="187" fontId="93" fillId="0" borderId="12" xfId="814" applyNumberFormat="1" applyFont="1" applyBorder="1" applyAlignment="1">
      <alignment horizontal="center" vertical="center"/>
    </xf>
    <xf numFmtId="0" fontId="93" fillId="0" borderId="8" xfId="814" quotePrefix="1" applyFont="1" applyBorder="1" applyAlignment="1">
      <alignment horizontal="center" vertical="center"/>
    </xf>
    <xf numFmtId="233" fontId="93" fillId="0" borderId="8" xfId="813" applyNumberFormat="1" applyFont="1" applyBorder="1" applyAlignment="1">
      <alignment horizontal="right" vertical="center"/>
    </xf>
    <xf numFmtId="0" fontId="91" fillId="0" borderId="55" xfId="814" applyFont="1" applyBorder="1" applyAlignment="1">
      <alignment horizontal="center" vertical="center"/>
    </xf>
    <xf numFmtId="186" fontId="93" fillId="0" borderId="3" xfId="813" applyNumberFormat="1" applyFont="1" applyBorder="1" applyAlignment="1">
      <alignment horizontal="right" vertical="center"/>
    </xf>
    <xf numFmtId="232" fontId="95" fillId="0" borderId="0" xfId="817" applyNumberFormat="1" applyFont="1" applyAlignment="1">
      <alignment horizontal="center" textRotation="90"/>
    </xf>
    <xf numFmtId="0" fontId="95" fillId="0" borderId="0" xfId="817" applyFont="1" applyAlignment="1">
      <alignment horizontal="center" textRotation="90"/>
    </xf>
    <xf numFmtId="0" fontId="88" fillId="0" borderId="0" xfId="817" applyFont="1" applyAlignment="1">
      <alignment horizontal="center" vertical="center" textRotation="90"/>
    </xf>
    <xf numFmtId="232" fontId="95" fillId="0" borderId="0" xfId="817" applyNumberFormat="1" applyFont="1" applyAlignment="1">
      <alignment horizontal="center" vertical="top" textRotation="90"/>
    </xf>
    <xf numFmtId="232" fontId="95" fillId="0" borderId="0" xfId="818" applyNumberFormat="1" applyFont="1" applyBorder="1" applyAlignment="1">
      <alignment horizontal="center" vertical="top" textRotation="90"/>
    </xf>
    <xf numFmtId="185" fontId="95" fillId="0" borderId="0" xfId="817" applyNumberFormat="1" applyFont="1" applyAlignment="1">
      <alignment horizontal="centerContinuous" vertical="center"/>
    </xf>
    <xf numFmtId="0" fontId="95" fillId="0" borderId="0" xfId="817" applyFont="1" applyAlignment="1">
      <alignment horizontal="centerContinuous" vertical="center"/>
    </xf>
    <xf numFmtId="176" fontId="88" fillId="0" borderId="0" xfId="817" applyNumberFormat="1" applyFont="1" applyAlignment="1">
      <alignment horizontal="centerContinuous" vertical="center"/>
    </xf>
    <xf numFmtId="235" fontId="88" fillId="0" borderId="8" xfId="16" applyNumberFormat="1" applyFont="1" applyFill="1" applyBorder="1" applyAlignment="1">
      <alignment horizontal="center" vertical="center" wrapText="1"/>
    </xf>
    <xf numFmtId="0" fontId="89" fillId="0" borderId="115" xfId="16" applyFont="1" applyFill="1" applyBorder="1" applyAlignment="1">
      <alignment horizontal="center" vertical="center"/>
    </xf>
    <xf numFmtId="0" fontId="88" fillId="0" borderId="28" xfId="16" applyFont="1" applyFill="1" applyBorder="1" applyAlignment="1">
      <alignment horizontal="center" vertical="center"/>
    </xf>
    <xf numFmtId="0" fontId="88" fillId="0" borderId="31" xfId="16" applyFont="1" applyFill="1" applyBorder="1" applyAlignment="1">
      <alignment horizontal="center" vertical="center"/>
    </xf>
    <xf numFmtId="0" fontId="88" fillId="0" borderId="107" xfId="16" applyFont="1" applyFill="1" applyBorder="1" applyAlignment="1">
      <alignment horizontal="center" vertical="center" wrapText="1"/>
    </xf>
    <xf numFmtId="0" fontId="88" fillId="0" borderId="94" xfId="16" applyFont="1" applyFill="1" applyBorder="1" applyAlignment="1">
      <alignment horizontal="center" vertical="center"/>
    </xf>
    <xf numFmtId="0" fontId="88" fillId="0" borderId="107" xfId="29" applyFont="1" applyFill="1" applyBorder="1" applyAlignment="1">
      <alignment horizontal="center" vertical="center"/>
    </xf>
    <xf numFmtId="183" fontId="88" fillId="0" borderId="107" xfId="16" applyNumberFormat="1" applyFont="1" applyFill="1" applyBorder="1" applyAlignment="1">
      <alignment horizontal="center" vertical="center"/>
    </xf>
    <xf numFmtId="41" fontId="88" fillId="0" borderId="107" xfId="27" applyFont="1" applyFill="1" applyBorder="1" applyAlignment="1">
      <alignment horizontal="center" vertical="center"/>
    </xf>
    <xf numFmtId="193" fontId="88" fillId="0" borderId="107" xfId="16" applyNumberFormat="1" applyFont="1" applyFill="1" applyBorder="1" applyAlignment="1">
      <alignment horizontal="center" vertical="center"/>
    </xf>
    <xf numFmtId="177" fontId="88" fillId="0" borderId="107" xfId="16" applyNumberFormat="1" applyFont="1" applyFill="1" applyBorder="1" applyAlignment="1">
      <alignment horizontal="center" vertical="center"/>
    </xf>
    <xf numFmtId="41" fontId="88" fillId="0" borderId="112" xfId="27" applyFont="1" applyFill="1" applyBorder="1" applyAlignment="1">
      <alignment horizontal="center" vertical="center"/>
    </xf>
    <xf numFmtId="41" fontId="88" fillId="0" borderId="8" xfId="27" applyFont="1" applyFill="1" applyBorder="1" applyAlignment="1">
      <alignment horizontal="center" vertical="center"/>
    </xf>
    <xf numFmtId="193" fontId="88" fillId="0" borderId="8" xfId="16" applyNumberFormat="1" applyFont="1" applyFill="1" applyBorder="1" applyAlignment="1">
      <alignment horizontal="center" vertical="center"/>
    </xf>
    <xf numFmtId="177" fontId="88" fillId="0" borderId="8" xfId="16" applyNumberFormat="1" applyFont="1" applyFill="1" applyBorder="1" applyAlignment="1">
      <alignment horizontal="center" vertical="center"/>
    </xf>
    <xf numFmtId="41" fontId="88" fillId="0" borderId="12" xfId="27" applyFont="1" applyFill="1" applyBorder="1" applyAlignment="1">
      <alignment horizontal="center" vertical="center"/>
    </xf>
    <xf numFmtId="0" fontId="89" fillId="0" borderId="115" xfId="16" applyFont="1" applyFill="1" applyBorder="1" applyAlignment="1">
      <alignment horizontal="center" vertical="center"/>
    </xf>
    <xf numFmtId="0" fontId="88" fillId="0" borderId="94" xfId="16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88" fillId="0" borderId="0" xfId="817" applyFont="1" applyAlignment="1">
      <alignment vertical="center"/>
    </xf>
    <xf numFmtId="0" fontId="28" fillId="0" borderId="28" xfId="0" applyFont="1" applyBorder="1" applyAlignment="1">
      <alignment horizontal="center" vertical="center"/>
    </xf>
    <xf numFmtId="0" fontId="28" fillId="0" borderId="107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91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/>
    </xf>
    <xf numFmtId="0" fontId="28" fillId="0" borderId="78" xfId="0" applyFont="1" applyBorder="1" applyAlignment="1">
      <alignment vertical="center"/>
    </xf>
    <xf numFmtId="0" fontId="28" fillId="0" borderId="47" xfId="0" applyFont="1" applyBorder="1" applyAlignment="1">
      <alignment horizontal="center" vertical="center"/>
    </xf>
    <xf numFmtId="0" fontId="28" fillId="0" borderId="48" xfId="0" applyFont="1" applyBorder="1" applyAlignment="1">
      <alignment horizontal="center" vertical="center"/>
    </xf>
    <xf numFmtId="180" fontId="105" fillId="0" borderId="0" xfId="0" applyNumberFormat="1" applyFont="1" applyAlignment="1">
      <alignment vertical="center"/>
    </xf>
    <xf numFmtId="0" fontId="14" fillId="0" borderId="107" xfId="0" applyFont="1" applyBorder="1" applyAlignment="1">
      <alignment horizontal="center" vertical="center"/>
    </xf>
    <xf numFmtId="180" fontId="14" fillId="0" borderId="0" xfId="0" applyNumberFormat="1" applyFont="1" applyAlignment="1">
      <alignment horizontal="center" vertical="center"/>
    </xf>
    <xf numFmtId="180" fontId="14" fillId="0" borderId="0" xfId="0" applyNumberFormat="1" applyFont="1" applyAlignment="1">
      <alignment vertical="center"/>
    </xf>
    <xf numFmtId="181" fontId="14" fillId="0" borderId="91" xfId="0" applyNumberFormat="1" applyFont="1" applyBorder="1" applyAlignment="1">
      <alignment horizontal="right" vertical="center"/>
    </xf>
    <xf numFmtId="179" fontId="14" fillId="0" borderId="91" xfId="0" applyNumberFormat="1" applyFont="1" applyBorder="1" applyAlignment="1">
      <alignment horizontal="left" vertical="center"/>
    </xf>
    <xf numFmtId="179" fontId="14" fillId="0" borderId="91" xfId="0" applyNumberFormat="1" applyFont="1" applyBorder="1" applyAlignment="1">
      <alignment horizontal="right" vertical="center"/>
    </xf>
    <xf numFmtId="180" fontId="16" fillId="0" borderId="0" xfId="0" applyNumberFormat="1" applyFont="1" applyAlignment="1">
      <alignment vertical="center"/>
    </xf>
    <xf numFmtId="182" fontId="16" fillId="0" borderId="3" xfId="0" applyNumberFormat="1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183" fontId="16" fillId="0" borderId="3" xfId="0" applyNumberFormat="1" applyFont="1" applyBorder="1" applyAlignment="1">
      <alignment horizontal="center" vertical="center"/>
    </xf>
    <xf numFmtId="180" fontId="104" fillId="0" borderId="0" xfId="0" applyNumberFormat="1" applyFont="1" applyAlignment="1">
      <alignment vertical="center"/>
    </xf>
    <xf numFmtId="237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180" fontId="14" fillId="0" borderId="0" xfId="0" applyNumberFormat="1" applyFont="1" applyAlignment="1">
      <alignment horizontal="left" vertical="center" indent="1"/>
    </xf>
    <xf numFmtId="0" fontId="107" fillId="0" borderId="0" xfId="0" applyFont="1" applyAlignment="1">
      <alignment vertical="center"/>
    </xf>
    <xf numFmtId="0" fontId="14" fillId="0" borderId="78" xfId="0" applyFont="1" applyBorder="1"/>
    <xf numFmtId="0" fontId="108" fillId="0" borderId="79" xfId="0" applyFont="1" applyBorder="1"/>
    <xf numFmtId="0" fontId="14" fillId="0" borderId="79" xfId="0" applyFont="1" applyBorder="1"/>
    <xf numFmtId="0" fontId="14" fillId="0" borderId="80" xfId="0" applyFont="1" applyBorder="1"/>
    <xf numFmtId="0" fontId="14" fillId="0" borderId="0" xfId="0" applyFont="1"/>
    <xf numFmtId="0" fontId="14" fillId="0" borderId="67" xfId="0" applyFont="1" applyBorder="1"/>
    <xf numFmtId="0" fontId="14" fillId="0" borderId="9" xfId="0" applyFont="1" applyBorder="1"/>
    <xf numFmtId="0" fontId="14" fillId="0" borderId="0" xfId="0" applyFont="1" applyAlignment="1">
      <alignment vertical="center"/>
    </xf>
    <xf numFmtId="0" fontId="14" fillId="0" borderId="67" xfId="0" applyFont="1" applyBorder="1" applyAlignment="1">
      <alignment vertical="center"/>
    </xf>
    <xf numFmtId="0" fontId="14" fillId="0" borderId="9" xfId="0" applyFont="1" applyBorder="1" applyAlignment="1">
      <alignment vertical="center"/>
    </xf>
    <xf numFmtId="0" fontId="14" fillId="0" borderId="78" xfId="0" applyFont="1" applyBorder="1" applyAlignment="1">
      <alignment vertical="center"/>
    </xf>
    <xf numFmtId="0" fontId="14" fillId="0" borderId="79" xfId="0" applyFont="1" applyBorder="1" applyAlignment="1">
      <alignment vertical="center"/>
    </xf>
    <xf numFmtId="0" fontId="14" fillId="0" borderId="71" xfId="0" applyFont="1" applyBorder="1" applyAlignment="1">
      <alignment horizontal="right" vertical="center"/>
    </xf>
    <xf numFmtId="0" fontId="14" fillId="0" borderId="9" xfId="0" applyFont="1" applyBorder="1" applyAlignment="1">
      <alignment horizontal="center" vertical="center"/>
    </xf>
    <xf numFmtId="0" fontId="14" fillId="0" borderId="92" xfId="0" applyFont="1" applyBorder="1" applyAlignment="1">
      <alignment horizontal="right" vertical="top"/>
    </xf>
    <xf numFmtId="0" fontId="14" fillId="0" borderId="4" xfId="0" applyFont="1" applyBorder="1" applyAlignment="1">
      <alignment vertical="top"/>
    </xf>
    <xf numFmtId="0" fontId="14" fillId="0" borderId="92" xfId="0" applyFont="1" applyBorder="1"/>
    <xf numFmtId="0" fontId="14" fillId="0" borderId="96" xfId="0" applyFont="1" applyBorder="1"/>
    <xf numFmtId="0" fontId="14" fillId="0" borderId="4" xfId="0" applyFont="1" applyBorder="1"/>
    <xf numFmtId="0" fontId="109" fillId="0" borderId="0" xfId="0" applyFont="1"/>
    <xf numFmtId="0" fontId="30" fillId="0" borderId="0" xfId="0" applyFont="1"/>
    <xf numFmtId="0" fontId="30" fillId="0" borderId="78" xfId="0" applyFont="1" applyBorder="1"/>
    <xf numFmtId="0" fontId="110" fillId="0" borderId="79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67" xfId="0" applyFont="1" applyBorder="1"/>
    <xf numFmtId="0" fontId="30" fillId="0" borderId="9" xfId="0" applyFont="1" applyBorder="1"/>
    <xf numFmtId="0" fontId="28" fillId="0" borderId="67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8" fillId="0" borderId="9" xfId="0" applyFont="1" applyBorder="1" applyAlignment="1">
      <alignment vertical="center"/>
    </xf>
    <xf numFmtId="0" fontId="28" fillId="0" borderId="79" xfId="0" applyFont="1" applyBorder="1" applyAlignment="1">
      <alignment vertical="center"/>
    </xf>
    <xf numFmtId="0" fontId="28" fillId="0" borderId="81" xfId="0" applyFont="1" applyBorder="1" applyAlignment="1">
      <alignment horizontal="right" vertical="center"/>
    </xf>
    <xf numFmtId="0" fontId="28" fillId="0" borderId="67" xfId="0" applyFont="1" applyBorder="1" applyAlignment="1">
      <alignment horizontal="right" vertical="center"/>
    </xf>
    <xf numFmtId="0" fontId="28" fillId="0" borderId="0" xfId="0" applyFont="1" applyAlignment="1">
      <alignment horizontal="right" vertical="center"/>
    </xf>
    <xf numFmtId="0" fontId="28" fillId="0" borderId="92" xfId="0" applyFont="1" applyBorder="1" applyAlignment="1">
      <alignment horizontal="right" vertical="center"/>
    </xf>
    <xf numFmtId="0" fontId="28" fillId="0" borderId="4" xfId="0" applyFont="1" applyBorder="1" applyAlignment="1">
      <alignment vertical="center"/>
    </xf>
    <xf numFmtId="0" fontId="28" fillId="0" borderId="92" xfId="0" applyFont="1" applyBorder="1"/>
    <xf numFmtId="0" fontId="28" fillId="0" borderId="96" xfId="0" applyFont="1" applyBorder="1"/>
    <xf numFmtId="0" fontId="28" fillId="0" borderId="4" xfId="0" applyFont="1" applyBorder="1"/>
    <xf numFmtId="0" fontId="111" fillId="0" borderId="0" xfId="0" applyFont="1" applyAlignment="1">
      <alignment vertical="center"/>
    </xf>
    <xf numFmtId="0" fontId="33" fillId="0" borderId="59" xfId="0" applyFont="1" applyBorder="1" applyAlignment="1">
      <alignment horizontal="left" vertical="center"/>
    </xf>
    <xf numFmtId="0" fontId="28" fillId="0" borderId="67" xfId="0" applyFont="1" applyBorder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28" fillId="0" borderId="11" xfId="0" applyFont="1" applyBorder="1" applyAlignment="1">
      <alignment vertical="center"/>
    </xf>
    <xf numFmtId="177" fontId="28" fillId="0" borderId="2" xfId="0" applyNumberFormat="1" applyFont="1" applyBorder="1" applyAlignment="1">
      <alignment horizontal="center" vertical="center"/>
    </xf>
    <xf numFmtId="238" fontId="28" fillId="0" borderId="91" xfId="0" applyNumberFormat="1" applyFont="1" applyBorder="1" applyAlignment="1">
      <alignment horizontal="center" vertical="center"/>
    </xf>
    <xf numFmtId="177" fontId="28" fillId="0" borderId="91" xfId="0" applyNumberFormat="1" applyFont="1" applyBorder="1" applyAlignment="1">
      <alignment horizontal="center" vertical="center"/>
    </xf>
    <xf numFmtId="0" fontId="28" fillId="0" borderId="90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0" fontId="28" fillId="0" borderId="80" xfId="0" applyFont="1" applyBorder="1" applyAlignment="1">
      <alignment vertical="center"/>
    </xf>
    <xf numFmtId="0" fontId="28" fillId="0" borderId="80" xfId="0" applyFont="1" applyBorder="1" applyAlignment="1">
      <alignment horizontal="center" vertical="center"/>
    </xf>
    <xf numFmtId="0" fontId="28" fillId="0" borderId="90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28" fillId="0" borderId="79" xfId="0" applyFont="1" applyBorder="1" applyAlignment="1">
      <alignment horizontal="center" vertical="center"/>
    </xf>
    <xf numFmtId="0" fontId="28" fillId="0" borderId="92" xfId="0" applyFont="1" applyBorder="1" applyAlignment="1">
      <alignment horizontal="center" vertical="center"/>
    </xf>
    <xf numFmtId="0" fontId="28" fillId="0" borderId="96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41" fontId="28" fillId="0" borderId="91" xfId="0" applyNumberFormat="1" applyFont="1" applyBorder="1" applyAlignment="1">
      <alignment horizontal="center" vertical="center"/>
    </xf>
    <xf numFmtId="41" fontId="28" fillId="0" borderId="3" xfId="0" applyNumberFormat="1" applyFont="1" applyBorder="1" applyAlignment="1">
      <alignment horizontal="center" vertical="center"/>
    </xf>
    <xf numFmtId="0" fontId="35" fillId="0" borderId="81" xfId="0" applyFont="1" applyBorder="1" applyAlignment="1">
      <alignment horizontal="right" vertical="center"/>
    </xf>
    <xf numFmtId="0" fontId="35" fillId="0" borderId="71" xfId="0" applyFont="1" applyBorder="1" applyAlignment="1">
      <alignment horizontal="right" vertical="center"/>
    </xf>
    <xf numFmtId="0" fontId="112" fillId="0" borderId="81" xfId="0" applyFont="1" applyBorder="1" applyAlignment="1">
      <alignment horizontal="right" vertical="center"/>
    </xf>
    <xf numFmtId="0" fontId="112" fillId="0" borderId="71" xfId="0" applyFont="1" applyBorder="1" applyAlignment="1">
      <alignment horizontal="right" vertical="center"/>
    </xf>
    <xf numFmtId="2" fontId="14" fillId="0" borderId="91" xfId="0" applyNumberFormat="1" applyFont="1" applyBorder="1" applyAlignment="1">
      <alignment horizontal="center" vertical="center"/>
    </xf>
    <xf numFmtId="2" fontId="14" fillId="0" borderId="91" xfId="0" quotePrefix="1" applyNumberFormat="1" applyFont="1" applyBorder="1" applyAlignment="1">
      <alignment horizontal="center" vertical="center"/>
    </xf>
    <xf numFmtId="182" fontId="14" fillId="0" borderId="91" xfId="0" applyNumberFormat="1" applyFont="1" applyBorder="1" applyAlignment="1">
      <alignment horizontal="center" vertical="center"/>
    </xf>
    <xf numFmtId="0" fontId="14" fillId="0" borderId="91" xfId="0" applyFont="1" applyBorder="1" applyAlignment="1">
      <alignment horizontal="center" vertical="center"/>
    </xf>
    <xf numFmtId="181" fontId="14" fillId="0" borderId="91" xfId="0" applyNumberFormat="1" applyFont="1" applyBorder="1" applyAlignment="1">
      <alignment horizontal="center" vertical="center"/>
    </xf>
    <xf numFmtId="179" fontId="14" fillId="0" borderId="91" xfId="0" applyNumberFormat="1" applyFont="1" applyBorder="1" applyAlignment="1">
      <alignment horizontal="center" vertical="center"/>
    </xf>
    <xf numFmtId="0" fontId="14" fillId="0" borderId="90" xfId="0" applyFont="1" applyBorder="1" applyAlignment="1">
      <alignment horizontal="center" vertical="center"/>
    </xf>
    <xf numFmtId="0" fontId="87" fillId="0" borderId="0" xfId="817" applyFont="1" applyAlignment="1">
      <alignment vertical="center"/>
    </xf>
    <xf numFmtId="41" fontId="28" fillId="0" borderId="48" xfId="0" applyNumberFormat="1" applyFont="1" applyBorder="1" applyAlignment="1">
      <alignment horizontal="center" vertical="center"/>
    </xf>
    <xf numFmtId="0" fontId="28" fillId="0" borderId="49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 applyAlignment="1">
      <alignment horizontal="right" vertical="center"/>
    </xf>
    <xf numFmtId="0" fontId="33" fillId="0" borderId="81" xfId="0" applyFont="1" applyBorder="1" applyAlignment="1">
      <alignment horizontal="left" vertical="center"/>
    </xf>
    <xf numFmtId="0" fontId="75" fillId="0" borderId="0" xfId="822" applyFont="1" applyAlignment="1">
      <alignment horizontal="center" vertical="center"/>
    </xf>
    <xf numFmtId="0" fontId="53" fillId="0" borderId="0" xfId="822" applyFont="1" applyAlignment="1">
      <alignment horizontal="center" vertical="center"/>
    </xf>
    <xf numFmtId="0" fontId="114" fillId="0" borderId="115" xfId="822" applyFont="1" applyBorder="1" applyAlignment="1">
      <alignment horizontal="center" vertical="center"/>
    </xf>
    <xf numFmtId="0" fontId="77" fillId="0" borderId="1" xfId="822" applyFont="1" applyBorder="1" applyAlignment="1">
      <alignment horizontal="center" vertical="center"/>
    </xf>
    <xf numFmtId="0" fontId="77" fillId="0" borderId="107" xfId="822" applyFont="1" applyBorder="1" applyAlignment="1">
      <alignment horizontal="right" vertical="center"/>
    </xf>
    <xf numFmtId="176" fontId="77" fillId="0" borderId="91" xfId="822" applyNumberFormat="1" applyFont="1" applyBorder="1" applyAlignment="1">
      <alignment horizontal="left" vertical="center"/>
    </xf>
    <xf numFmtId="176" fontId="77" fillId="0" borderId="91" xfId="822" applyNumberFormat="1" applyFont="1" applyBorder="1" applyAlignment="1">
      <alignment horizontal="right" vertical="center"/>
    </xf>
    <xf numFmtId="0" fontId="77" fillId="0" borderId="91" xfId="822" applyFont="1" applyBorder="1" applyAlignment="1">
      <alignment horizontal="center" vertical="center"/>
    </xf>
    <xf numFmtId="0" fontId="77" fillId="0" borderId="91" xfId="822" applyFont="1" applyBorder="1" applyAlignment="1">
      <alignment horizontal="center" vertical="center" wrapText="1"/>
    </xf>
    <xf numFmtId="0" fontId="77" fillId="0" borderId="91" xfId="822" applyFont="1" applyBorder="1" applyAlignment="1">
      <alignment horizontal="right" vertical="center"/>
    </xf>
    <xf numFmtId="0" fontId="77" fillId="0" borderId="91" xfId="822" quotePrefix="1" applyFont="1" applyBorder="1" applyAlignment="1">
      <alignment horizontal="center" vertical="center"/>
    </xf>
    <xf numFmtId="0" fontId="77" fillId="0" borderId="91" xfId="822" applyFont="1" applyBorder="1" applyAlignment="1">
      <alignment horizontal="left" vertical="center"/>
    </xf>
    <xf numFmtId="2" fontId="77" fillId="0" borderId="91" xfId="822" applyNumberFormat="1" applyFont="1" applyBorder="1" applyAlignment="1">
      <alignment horizontal="left" vertical="center"/>
    </xf>
    <xf numFmtId="2" fontId="77" fillId="0" borderId="91" xfId="822" applyNumberFormat="1" applyFont="1" applyBorder="1" applyAlignment="1">
      <alignment horizontal="right" vertical="center"/>
    </xf>
    <xf numFmtId="0" fontId="77" fillId="0" borderId="48" xfId="822" applyFont="1" applyBorder="1" applyAlignment="1">
      <alignment horizontal="center" vertical="center"/>
    </xf>
    <xf numFmtId="0" fontId="77" fillId="0" borderId="55" xfId="822" applyFont="1" applyBorder="1" applyAlignment="1">
      <alignment horizontal="center" vertical="center"/>
    </xf>
    <xf numFmtId="0" fontId="77" fillId="0" borderId="3" xfId="822" applyFont="1" applyBorder="1" applyAlignment="1">
      <alignment horizontal="center" vertical="center"/>
    </xf>
    <xf numFmtId="0" fontId="77" fillId="0" borderId="55" xfId="822" applyFont="1" applyBorder="1" applyAlignment="1">
      <alignment horizontal="right" vertical="center"/>
    </xf>
    <xf numFmtId="0" fontId="75" fillId="0" borderId="0" xfId="822" applyFont="1" applyAlignment="1">
      <alignment horizontal="right" vertical="center"/>
    </xf>
    <xf numFmtId="0" fontId="75" fillId="0" borderId="0" xfId="820" applyFont="1" applyAlignment="1">
      <alignment horizontal="center" vertical="center"/>
    </xf>
    <xf numFmtId="0" fontId="53" fillId="0" borderId="0" xfId="820" applyFont="1" applyAlignment="1">
      <alignment horizontal="center" vertical="center"/>
    </xf>
    <xf numFmtId="0" fontId="114" fillId="0" borderId="0" xfId="820" applyFont="1" applyAlignment="1">
      <alignment horizontal="center" vertical="center"/>
    </xf>
    <xf numFmtId="0" fontId="114" fillId="0" borderId="115" xfId="820" applyFont="1" applyBorder="1" applyAlignment="1">
      <alignment horizontal="center" vertical="center"/>
    </xf>
    <xf numFmtId="0" fontId="77" fillId="0" borderId="1" xfId="820" applyFont="1" applyBorder="1" applyAlignment="1">
      <alignment horizontal="left" vertical="center"/>
    </xf>
    <xf numFmtId="0" fontId="77" fillId="0" borderId="108" xfId="820" applyFont="1" applyBorder="1" applyAlignment="1">
      <alignment horizontal="right" vertical="center"/>
    </xf>
    <xf numFmtId="0" fontId="77" fillId="0" borderId="76" xfId="820" applyFont="1" applyBorder="1" applyAlignment="1">
      <alignment horizontal="left" vertical="center"/>
    </xf>
    <xf numFmtId="0" fontId="77" fillId="0" borderId="91" xfId="820" applyFont="1" applyBorder="1" applyAlignment="1">
      <alignment horizontal="left" vertical="center" wrapText="1"/>
    </xf>
    <xf numFmtId="0" fontId="77" fillId="0" borderId="95" xfId="820" applyFont="1" applyBorder="1" applyAlignment="1">
      <alignment horizontal="right" vertical="center"/>
    </xf>
    <xf numFmtId="0" fontId="77" fillId="0" borderId="114" xfId="820" applyFont="1" applyBorder="1" applyAlignment="1">
      <alignment horizontal="left" vertical="center"/>
    </xf>
    <xf numFmtId="0" fontId="77" fillId="0" borderId="91" xfId="820" applyFont="1" applyBorder="1" applyAlignment="1">
      <alignment horizontal="left" vertical="center"/>
    </xf>
    <xf numFmtId="176" fontId="77" fillId="0" borderId="95" xfId="820" applyNumberFormat="1" applyFont="1" applyBorder="1" applyAlignment="1">
      <alignment horizontal="right" vertical="center"/>
    </xf>
    <xf numFmtId="2" fontId="77" fillId="0" borderId="95" xfId="820" applyNumberFormat="1" applyFont="1" applyBorder="1" applyAlignment="1">
      <alignment horizontal="right" vertical="center"/>
    </xf>
    <xf numFmtId="0" fontId="77" fillId="0" borderId="48" xfId="820" applyFont="1" applyBorder="1" applyAlignment="1">
      <alignment horizontal="left" vertical="center" wrapText="1"/>
    </xf>
    <xf numFmtId="176" fontId="77" fillId="0" borderId="98" xfId="820" applyNumberFormat="1" applyFont="1" applyBorder="1" applyAlignment="1">
      <alignment horizontal="right" vertical="center" wrapText="1"/>
    </xf>
    <xf numFmtId="0" fontId="77" fillId="0" borderId="99" xfId="820" applyFont="1" applyBorder="1" applyAlignment="1">
      <alignment horizontal="left" vertical="center" wrapText="1"/>
    </xf>
    <xf numFmtId="0" fontId="77" fillId="0" borderId="98" xfId="820" applyFont="1" applyBorder="1" applyAlignment="1">
      <alignment horizontal="right" vertical="center" wrapText="1"/>
    </xf>
    <xf numFmtId="0" fontId="77" fillId="0" borderId="113" xfId="820" applyFont="1" applyBorder="1" applyAlignment="1">
      <alignment horizontal="center" vertical="center"/>
    </xf>
    <xf numFmtId="0" fontId="77" fillId="0" borderId="118" xfId="820" applyFont="1" applyBorder="1" applyAlignment="1">
      <alignment horizontal="left" vertical="center" wrapText="1"/>
    </xf>
    <xf numFmtId="0" fontId="77" fillId="0" borderId="1" xfId="820" applyFont="1" applyBorder="1" applyAlignment="1">
      <alignment horizontal="left" vertical="center" wrapText="1"/>
    </xf>
    <xf numFmtId="0" fontId="77" fillId="0" borderId="46" xfId="820" applyFont="1" applyBorder="1" applyAlignment="1">
      <alignment horizontal="right" vertical="center" wrapText="1"/>
    </xf>
    <xf numFmtId="0" fontId="77" fillId="0" borderId="6" xfId="820" applyFont="1" applyBorder="1" applyAlignment="1">
      <alignment horizontal="left" vertical="center" wrapText="1"/>
    </xf>
    <xf numFmtId="0" fontId="77" fillId="0" borderId="64" xfId="820" applyFont="1" applyBorder="1" applyAlignment="1">
      <alignment horizontal="right" vertical="center" wrapText="1"/>
    </xf>
    <xf numFmtId="0" fontId="77" fillId="0" borderId="0" xfId="820" applyFont="1" applyAlignment="1">
      <alignment horizontal="center" vertical="center"/>
    </xf>
    <xf numFmtId="0" fontId="77" fillId="0" borderId="9" xfId="820" applyFont="1" applyBorder="1" applyAlignment="1">
      <alignment horizontal="left" vertical="center" wrapText="1"/>
    </xf>
    <xf numFmtId="0" fontId="77" fillId="0" borderId="91" xfId="820" applyFont="1" applyBorder="1" applyAlignment="1">
      <alignment horizontal="center" vertical="center"/>
    </xf>
    <xf numFmtId="0" fontId="77" fillId="0" borderId="95" xfId="820" applyFont="1" applyBorder="1" applyAlignment="1">
      <alignment horizontal="right" vertical="center" wrapText="1"/>
    </xf>
    <xf numFmtId="0" fontId="77" fillId="0" borderId="114" xfId="820" applyFont="1" applyBorder="1" applyAlignment="1">
      <alignment horizontal="left" vertical="center" wrapText="1"/>
    </xf>
    <xf numFmtId="0" fontId="77" fillId="0" borderId="58" xfId="820" applyFont="1" applyBorder="1" applyAlignment="1">
      <alignment horizontal="center" vertical="center"/>
    </xf>
    <xf numFmtId="0" fontId="77" fillId="0" borderId="61" xfId="820" applyFont="1" applyBorder="1" applyAlignment="1">
      <alignment horizontal="left" vertical="center" wrapText="1"/>
    </xf>
    <xf numFmtId="176" fontId="77" fillId="0" borderId="95" xfId="820" applyNumberFormat="1" applyFont="1" applyBorder="1" applyAlignment="1">
      <alignment horizontal="right" vertical="center" wrapText="1"/>
    </xf>
    <xf numFmtId="0" fontId="77" fillId="0" borderId="97" xfId="820" applyFont="1" applyBorder="1" applyAlignment="1">
      <alignment horizontal="left" vertical="center" wrapText="1"/>
    </xf>
    <xf numFmtId="0" fontId="77" fillId="0" borderId="106" xfId="820" applyFont="1" applyBorder="1" applyAlignment="1">
      <alignment horizontal="left" vertical="center" wrapText="1"/>
    </xf>
    <xf numFmtId="0" fontId="77" fillId="0" borderId="64" xfId="820" applyFont="1" applyBorder="1" applyAlignment="1">
      <alignment horizontal="center" vertical="center"/>
    </xf>
    <xf numFmtId="0" fontId="77" fillId="0" borderId="9" xfId="820" applyFont="1" applyBorder="1" applyAlignment="1">
      <alignment horizontal="center" vertical="center"/>
    </xf>
    <xf numFmtId="0" fontId="77" fillId="0" borderId="55" xfId="820" applyFont="1" applyBorder="1" applyAlignment="1">
      <alignment horizontal="left" vertical="center"/>
    </xf>
    <xf numFmtId="0" fontId="77" fillId="0" borderId="101" xfId="820" applyFont="1" applyBorder="1" applyAlignment="1">
      <alignment horizontal="right" vertical="center"/>
    </xf>
    <xf numFmtId="0" fontId="77" fillId="0" borderId="66" xfId="820" applyFont="1" applyBorder="1" applyAlignment="1">
      <alignment horizontal="left" vertical="center"/>
    </xf>
    <xf numFmtId="0" fontId="75" fillId="0" borderId="0" xfId="820" applyFont="1">
      <alignment vertical="center"/>
    </xf>
    <xf numFmtId="0" fontId="75" fillId="0" borderId="67" xfId="820" applyFont="1" applyBorder="1">
      <alignment vertical="center"/>
    </xf>
    <xf numFmtId="0" fontId="75" fillId="0" borderId="9" xfId="820" applyFont="1" applyBorder="1">
      <alignment vertical="center"/>
    </xf>
    <xf numFmtId="0" fontId="75" fillId="0" borderId="92" xfId="820" applyFont="1" applyBorder="1">
      <alignment vertical="center"/>
    </xf>
    <xf numFmtId="0" fontId="75" fillId="0" borderId="96" xfId="820" applyFont="1" applyBorder="1">
      <alignment vertical="center"/>
    </xf>
    <xf numFmtId="0" fontId="75" fillId="0" borderId="4" xfId="820" applyFont="1" applyBorder="1">
      <alignment vertical="center"/>
    </xf>
    <xf numFmtId="239" fontId="114" fillId="0" borderId="0" xfId="820" applyNumberFormat="1" applyFont="1" applyAlignment="1">
      <alignment horizontal="right" vertical="center" shrinkToFit="1"/>
    </xf>
    <xf numFmtId="0" fontId="114" fillId="0" borderId="103" xfId="820" applyFont="1" applyBorder="1" applyAlignment="1">
      <alignment horizontal="center" vertical="center"/>
    </xf>
    <xf numFmtId="0" fontId="77" fillId="0" borderId="107" xfId="820" applyFont="1" applyBorder="1" applyAlignment="1">
      <alignment horizontal="center" vertical="center"/>
    </xf>
    <xf numFmtId="0" fontId="77" fillId="0" borderId="107" xfId="820" applyFont="1" applyBorder="1" applyAlignment="1">
      <alignment horizontal="right" vertical="center"/>
    </xf>
    <xf numFmtId="187" fontId="77" fillId="0" borderId="112" xfId="820" applyNumberFormat="1" applyFont="1" applyBorder="1" applyAlignment="1">
      <alignment horizontal="center" vertical="center"/>
    </xf>
    <xf numFmtId="176" fontId="77" fillId="0" borderId="91" xfId="820" applyNumberFormat="1" applyFont="1" applyBorder="1" applyAlignment="1">
      <alignment horizontal="left" vertical="center"/>
    </xf>
    <xf numFmtId="176" fontId="77" fillId="0" borderId="91" xfId="820" applyNumberFormat="1" applyFont="1" applyBorder="1" applyAlignment="1">
      <alignment horizontal="right" vertical="center"/>
    </xf>
    <xf numFmtId="0" fontId="77" fillId="0" borderId="91" xfId="820" applyFont="1" applyBorder="1" applyAlignment="1">
      <alignment horizontal="center" vertical="center" wrapText="1"/>
    </xf>
    <xf numFmtId="0" fontId="77" fillId="0" borderId="90" xfId="820" applyFont="1" applyBorder="1" applyAlignment="1">
      <alignment horizontal="center" vertical="center"/>
    </xf>
    <xf numFmtId="0" fontId="77" fillId="0" borderId="91" xfId="820" applyFont="1" applyBorder="1" applyAlignment="1">
      <alignment horizontal="right" vertical="center"/>
    </xf>
    <xf numFmtId="187" fontId="77" fillId="0" borderId="90" xfId="820" applyNumberFormat="1" applyFont="1" applyBorder="1" applyAlignment="1">
      <alignment horizontal="center" vertical="center"/>
    </xf>
    <xf numFmtId="0" fontId="77" fillId="0" borderId="91" xfId="820" quotePrefix="1" applyFont="1" applyBorder="1" applyAlignment="1">
      <alignment horizontal="center" vertical="center"/>
    </xf>
    <xf numFmtId="2" fontId="77" fillId="0" borderId="91" xfId="820" applyNumberFormat="1" applyFont="1" applyBorder="1" applyAlignment="1">
      <alignment horizontal="left" vertical="center"/>
    </xf>
    <xf numFmtId="2" fontId="77" fillId="0" borderId="91" xfId="820" applyNumberFormat="1" applyFont="1" applyBorder="1" applyAlignment="1">
      <alignment horizontal="right" vertical="center"/>
    </xf>
    <xf numFmtId="1" fontId="77" fillId="0" borderId="91" xfId="820" applyNumberFormat="1" applyFont="1" applyBorder="1" applyAlignment="1">
      <alignment horizontal="right" vertical="center"/>
    </xf>
    <xf numFmtId="0" fontId="77" fillId="0" borderId="90" xfId="820" applyFont="1" applyBorder="1" applyAlignment="1">
      <alignment horizontal="center" vertical="center" wrapText="1"/>
    </xf>
    <xf numFmtId="176" fontId="77" fillId="0" borderId="90" xfId="820" applyNumberFormat="1" applyFont="1" applyBorder="1" applyAlignment="1">
      <alignment horizontal="center" vertical="center"/>
    </xf>
    <xf numFmtId="0" fontId="77" fillId="0" borderId="97" xfId="820" applyFont="1" applyBorder="1" applyAlignment="1">
      <alignment horizontal="center" vertical="center" wrapText="1"/>
    </xf>
    <xf numFmtId="0" fontId="77" fillId="0" borderId="48" xfId="820" applyFont="1" applyBorder="1" applyAlignment="1">
      <alignment horizontal="center" vertical="center"/>
    </xf>
    <xf numFmtId="0" fontId="77" fillId="0" borderId="48" xfId="820" applyFont="1" applyBorder="1" applyAlignment="1">
      <alignment horizontal="right" vertical="center"/>
    </xf>
    <xf numFmtId="1" fontId="77" fillId="0" borderId="48" xfId="820" applyNumberFormat="1" applyFont="1" applyBorder="1" applyAlignment="1">
      <alignment horizontal="right" vertical="center"/>
    </xf>
    <xf numFmtId="0" fontId="77" fillId="0" borderId="49" xfId="820" applyFont="1" applyBorder="1" applyAlignment="1">
      <alignment horizontal="center" vertical="center"/>
    </xf>
    <xf numFmtId="0" fontId="77" fillId="0" borderId="3" xfId="820" applyFont="1" applyBorder="1" applyAlignment="1">
      <alignment horizontal="center" vertical="center"/>
    </xf>
    <xf numFmtId="0" fontId="77" fillId="0" borderId="3" xfId="820" applyFont="1" applyBorder="1" applyAlignment="1">
      <alignment horizontal="right" vertical="center"/>
    </xf>
    <xf numFmtId="176" fontId="77" fillId="0" borderId="55" xfId="820" applyNumberFormat="1" applyFont="1" applyBorder="1" applyAlignment="1">
      <alignment horizontal="right" vertical="center"/>
    </xf>
    <xf numFmtId="0" fontId="77" fillId="0" borderId="32" xfId="820" applyFont="1" applyBorder="1" applyAlignment="1">
      <alignment horizontal="center" vertical="center"/>
    </xf>
    <xf numFmtId="0" fontId="75" fillId="0" borderId="0" xfId="820" applyFont="1" applyAlignment="1">
      <alignment horizontal="right" vertical="center"/>
    </xf>
    <xf numFmtId="0" fontId="77" fillId="0" borderId="46" xfId="820" applyFont="1" applyBorder="1" applyAlignment="1">
      <alignment horizontal="right" vertical="center"/>
    </xf>
    <xf numFmtId="0" fontId="77" fillId="0" borderId="6" xfId="820" applyFont="1" applyBorder="1" applyAlignment="1">
      <alignment horizontal="left" vertical="center"/>
    </xf>
    <xf numFmtId="0" fontId="77" fillId="0" borderId="11" xfId="820" applyFont="1" applyBorder="1" applyAlignment="1">
      <alignment horizontal="center" vertical="center"/>
    </xf>
    <xf numFmtId="0" fontId="77" fillId="0" borderId="23" xfId="820" applyFont="1" applyBorder="1" applyAlignment="1">
      <alignment horizontal="left" vertical="center" wrapText="1"/>
    </xf>
    <xf numFmtId="0" fontId="77" fillId="0" borderId="98" xfId="820" applyFont="1" applyBorder="1" applyAlignment="1">
      <alignment horizontal="center" vertical="center"/>
    </xf>
    <xf numFmtId="0" fontId="77" fillId="0" borderId="118" xfId="820" applyFont="1" applyBorder="1" applyAlignment="1">
      <alignment horizontal="center" vertical="center"/>
    </xf>
    <xf numFmtId="0" fontId="77" fillId="0" borderId="107" xfId="822" applyFont="1" applyFill="1" applyBorder="1" applyAlignment="1">
      <alignment horizontal="right" vertical="center"/>
    </xf>
    <xf numFmtId="0" fontId="53" fillId="0" borderId="0" xfId="822" applyFont="1" applyFill="1" applyAlignment="1">
      <alignment horizontal="center" vertical="center"/>
    </xf>
    <xf numFmtId="0" fontId="114" fillId="0" borderId="115" xfId="822" applyFont="1" applyFill="1" applyBorder="1" applyAlignment="1">
      <alignment horizontal="center" vertical="center"/>
    </xf>
    <xf numFmtId="176" fontId="77" fillId="0" borderId="91" xfId="822" applyNumberFormat="1" applyFont="1" applyFill="1" applyBorder="1" applyAlignment="1">
      <alignment horizontal="right" vertical="center"/>
    </xf>
    <xf numFmtId="0" fontId="77" fillId="0" borderId="91" xfId="822" applyFont="1" applyFill="1" applyBorder="1" applyAlignment="1">
      <alignment horizontal="right" vertical="center"/>
    </xf>
    <xf numFmtId="1" fontId="77" fillId="0" borderId="91" xfId="822" applyNumberFormat="1" applyFont="1" applyFill="1" applyBorder="1" applyAlignment="1">
      <alignment horizontal="right" vertical="center"/>
    </xf>
    <xf numFmtId="176" fontId="77" fillId="0" borderId="55" xfId="822" applyNumberFormat="1" applyFont="1" applyFill="1" applyBorder="1" applyAlignment="1">
      <alignment horizontal="right" vertical="center"/>
    </xf>
    <xf numFmtId="0" fontId="75" fillId="0" borderId="0" xfId="822" applyFont="1" applyFill="1" applyAlignment="1">
      <alignment horizontal="right" vertical="center"/>
    </xf>
    <xf numFmtId="0" fontId="75" fillId="0" borderId="0" xfId="822" applyFont="1" applyFill="1" applyAlignment="1">
      <alignment horizontal="center" vertical="center"/>
    </xf>
    <xf numFmtId="239" fontId="114" fillId="0" borderId="0" xfId="822" applyNumberFormat="1" applyFont="1" applyFill="1" applyAlignment="1">
      <alignment horizontal="right" vertical="center" shrinkToFit="1"/>
    </xf>
    <xf numFmtId="0" fontId="114" fillId="0" borderId="103" xfId="822" applyFont="1" applyFill="1" applyBorder="1" applyAlignment="1">
      <alignment horizontal="center" vertical="center"/>
    </xf>
    <xf numFmtId="187" fontId="77" fillId="0" borderId="34" xfId="822" applyNumberFormat="1" applyFont="1" applyFill="1" applyBorder="1" applyAlignment="1">
      <alignment horizontal="center" vertical="center"/>
    </xf>
    <xf numFmtId="0" fontId="77" fillId="0" borderId="90" xfId="822" applyFont="1" applyFill="1" applyBorder="1" applyAlignment="1">
      <alignment horizontal="center" vertical="center"/>
    </xf>
    <xf numFmtId="187" fontId="77" fillId="0" borderId="90" xfId="822" applyNumberFormat="1" applyFont="1" applyFill="1" applyBorder="1" applyAlignment="1">
      <alignment horizontal="center" vertical="center"/>
    </xf>
    <xf numFmtId="0" fontId="77" fillId="0" borderId="49" xfId="822" applyFont="1" applyFill="1" applyBorder="1" applyAlignment="1">
      <alignment horizontal="center" vertical="center" wrapText="1"/>
    </xf>
    <xf numFmtId="176" fontId="77" fillId="0" borderId="34" xfId="822" applyNumberFormat="1" applyFont="1" applyFill="1" applyBorder="1" applyAlignment="1">
      <alignment horizontal="center" vertical="center"/>
    </xf>
    <xf numFmtId="0" fontId="77" fillId="0" borderId="49" xfId="822" applyFont="1" applyFill="1" applyBorder="1" applyAlignment="1">
      <alignment horizontal="center" vertical="center"/>
    </xf>
    <xf numFmtId="0" fontId="77" fillId="0" borderId="32" xfId="822" applyFont="1" applyFill="1" applyBorder="1" applyAlignment="1">
      <alignment horizontal="center" vertical="center"/>
    </xf>
    <xf numFmtId="0" fontId="75" fillId="0" borderId="0" xfId="820" applyFont="1" applyBorder="1">
      <alignment vertical="center"/>
    </xf>
    <xf numFmtId="0" fontId="14" fillId="0" borderId="71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4" fillId="0" borderId="0" xfId="0" applyFont="1" applyBorder="1" applyAlignment="1">
      <alignment horizontal="right" vertical="center"/>
    </xf>
    <xf numFmtId="0" fontId="14" fillId="0" borderId="94" xfId="0" applyFont="1" applyBorder="1" applyAlignment="1">
      <alignment horizontal="center" vertical="center"/>
    </xf>
    <xf numFmtId="0" fontId="30" fillId="0" borderId="0" xfId="0" applyFont="1" applyBorder="1"/>
    <xf numFmtId="0" fontId="24" fillId="0" borderId="0" xfId="0" applyFont="1" applyBorder="1"/>
    <xf numFmtId="0" fontId="26" fillId="0" borderId="0" xfId="0" applyFont="1" applyBorder="1"/>
    <xf numFmtId="0" fontId="30" fillId="0" borderId="0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/>
    </xf>
    <xf numFmtId="179" fontId="75" fillId="0" borderId="0" xfId="820" applyNumberFormat="1" applyFont="1" applyAlignment="1">
      <alignment horizontal="center" vertical="center"/>
    </xf>
    <xf numFmtId="0" fontId="28" fillId="0" borderId="74" xfId="0" applyFont="1" applyBorder="1" applyAlignment="1">
      <alignment vertical="center"/>
    </xf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left"/>
    </xf>
    <xf numFmtId="0" fontId="12" fillId="0" borderId="0" xfId="16" applyFont="1" applyFill="1" applyAlignment="1">
      <alignment horizontal="center" vertical="center"/>
    </xf>
    <xf numFmtId="0" fontId="38" fillId="0" borderId="0" xfId="16" applyFont="1" applyFill="1" applyAlignment="1">
      <alignment horizontal="center" vertical="center"/>
    </xf>
    <xf numFmtId="0" fontId="38" fillId="0" borderId="82" xfId="16" applyFont="1" applyFill="1" applyBorder="1" applyAlignment="1">
      <alignment horizontal="center" vertical="center"/>
    </xf>
    <xf numFmtId="0" fontId="38" fillId="0" borderId="96" xfId="16" applyFont="1" applyFill="1" applyBorder="1" applyAlignment="1">
      <alignment horizontal="center" vertical="center"/>
    </xf>
    <xf numFmtId="43" fontId="12" fillId="0" borderId="0" xfId="16" applyNumberFormat="1" applyFont="1" applyFill="1" applyAlignment="1">
      <alignment horizontal="center" vertical="center"/>
    </xf>
    <xf numFmtId="183" fontId="12" fillId="0" borderId="0" xfId="16" applyNumberFormat="1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14" fillId="0" borderId="0" xfId="16" applyFont="1" applyFill="1" applyAlignment="1">
      <alignment horizontal="center" vertical="center"/>
    </xf>
    <xf numFmtId="183" fontId="14" fillId="0" borderId="0" xfId="16" applyNumberFormat="1" applyFont="1" applyFill="1" applyAlignment="1">
      <alignment horizontal="center" vertical="center"/>
    </xf>
    <xf numFmtId="182" fontId="14" fillId="0" borderId="0" xfId="16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1" xfId="0" applyFont="1" applyBorder="1" applyAlignment="1">
      <alignment vertical="center"/>
    </xf>
    <xf numFmtId="181" fontId="14" fillId="0" borderId="1" xfId="820" applyNumberFormat="1" applyFont="1" applyBorder="1" applyAlignment="1">
      <alignment horizontal="center" vertical="center"/>
    </xf>
    <xf numFmtId="245" fontId="14" fillId="0" borderId="91" xfId="826" applyNumberFormat="1" applyFont="1" applyFill="1" applyBorder="1" applyAlignment="1">
      <alignment horizontal="center" vertical="center" wrapText="1"/>
    </xf>
    <xf numFmtId="2" fontId="14" fillId="0" borderId="91" xfId="826" applyNumberFormat="1" applyFont="1" applyFill="1" applyBorder="1" applyAlignment="1">
      <alignment horizontal="center" vertical="center" wrapText="1"/>
    </xf>
    <xf numFmtId="0" fontId="14" fillId="0" borderId="91" xfId="828" applyFont="1" applyFill="1" applyBorder="1" applyAlignment="1">
      <alignment horizontal="center" vertical="center" shrinkToFit="1"/>
    </xf>
    <xf numFmtId="246" fontId="14" fillId="0" borderId="91" xfId="826" applyNumberFormat="1" applyFont="1" applyFill="1" applyBorder="1" applyAlignment="1">
      <alignment horizontal="center" vertical="center"/>
    </xf>
    <xf numFmtId="247" fontId="14" fillId="0" borderId="91" xfId="826" applyNumberFormat="1" applyFont="1" applyFill="1" applyBorder="1" applyAlignment="1">
      <alignment horizontal="center" vertical="center"/>
    </xf>
    <xf numFmtId="248" fontId="14" fillId="0" borderId="91" xfId="826" applyNumberFormat="1" applyFont="1" applyFill="1" applyBorder="1" applyAlignment="1">
      <alignment horizontal="center" vertical="center"/>
    </xf>
    <xf numFmtId="241" fontId="14" fillId="0" borderId="91" xfId="15" applyNumberFormat="1" applyFont="1" applyFill="1" applyBorder="1" applyAlignment="1">
      <alignment horizontal="center" vertical="center"/>
    </xf>
    <xf numFmtId="244" fontId="14" fillId="0" borderId="91" xfId="826" applyNumberFormat="1" applyFont="1" applyFill="1" applyBorder="1" applyAlignment="1">
      <alignment horizontal="center" vertical="center"/>
    </xf>
    <xf numFmtId="176" fontId="14" fillId="0" borderId="91" xfId="826" applyNumberFormat="1" applyFont="1" applyFill="1" applyBorder="1" applyAlignment="1">
      <alignment horizontal="center" vertical="center"/>
    </xf>
    <xf numFmtId="183" fontId="14" fillId="0" borderId="91" xfId="826" applyNumberFormat="1" applyFont="1" applyFill="1" applyBorder="1" applyAlignment="1">
      <alignment horizontal="center" vertical="center"/>
    </xf>
    <xf numFmtId="241" fontId="14" fillId="0" borderId="91" xfId="826" applyNumberFormat="1" applyFont="1" applyFill="1" applyBorder="1" applyAlignment="1">
      <alignment horizontal="center" vertical="center"/>
    </xf>
    <xf numFmtId="177" fontId="14" fillId="0" borderId="91" xfId="826" applyNumberFormat="1" applyFont="1" applyFill="1" applyBorder="1" applyAlignment="1">
      <alignment horizontal="center" vertical="center"/>
    </xf>
    <xf numFmtId="251" fontId="13" fillId="0" borderId="91" xfId="826" applyNumberFormat="1" applyFont="1" applyFill="1" applyBorder="1" applyAlignment="1">
      <alignment horizontal="center" vertical="center"/>
    </xf>
    <xf numFmtId="251" fontId="13" fillId="0" borderId="91" xfId="826" applyNumberFormat="1" applyFont="1" applyFill="1" applyBorder="1" applyAlignment="1">
      <alignment horizontal="center" vertical="center" wrapText="1"/>
    </xf>
    <xf numFmtId="186" fontId="14" fillId="0" borderId="91" xfId="830" applyNumberFormat="1" applyFont="1" applyFill="1" applyBorder="1" applyAlignment="1">
      <alignment horizontal="center" vertical="center"/>
    </xf>
    <xf numFmtId="250" fontId="14" fillId="0" borderId="91" xfId="830" applyNumberFormat="1" applyFont="1" applyFill="1" applyBorder="1" applyAlignment="1">
      <alignment horizontal="center" vertical="center"/>
    </xf>
    <xf numFmtId="0" fontId="0" fillId="0" borderId="0" xfId="0" applyFill="1"/>
    <xf numFmtId="0" fontId="14" fillId="0" borderId="91" xfId="827" applyFont="1" applyFill="1" applyBorder="1" applyAlignment="1">
      <alignment horizontal="center" vertical="center"/>
    </xf>
    <xf numFmtId="249" fontId="14" fillId="0" borderId="91" xfId="826" applyNumberFormat="1" applyFont="1" applyFill="1" applyBorder="1" applyAlignment="1">
      <alignment horizontal="center" vertical="center"/>
    </xf>
    <xf numFmtId="193" fontId="14" fillId="0" borderId="91" xfId="829" applyNumberFormat="1" applyFont="1" applyFill="1" applyBorder="1" applyAlignment="1">
      <alignment horizontal="center" vertical="center"/>
    </xf>
    <xf numFmtId="0" fontId="14" fillId="0" borderId="91" xfId="825" applyFont="1" applyFill="1" applyBorder="1" applyAlignment="1">
      <alignment horizontal="center" vertical="center" wrapText="1"/>
    </xf>
    <xf numFmtId="241" fontId="14" fillId="0" borderId="91" xfId="826" applyNumberFormat="1" applyFont="1" applyFill="1" applyBorder="1" applyAlignment="1">
      <alignment horizontal="center" vertical="center" wrapText="1"/>
    </xf>
    <xf numFmtId="243" fontId="14" fillId="0" borderId="91" xfId="826" applyNumberFormat="1" applyFont="1" applyFill="1" applyBorder="1" applyAlignment="1">
      <alignment horizontal="center" vertical="center" wrapText="1"/>
    </xf>
    <xf numFmtId="244" fontId="14" fillId="0" borderId="91" xfId="826" applyNumberFormat="1" applyFont="1" applyFill="1" applyBorder="1" applyAlignment="1">
      <alignment horizontal="center" vertical="center" wrapText="1"/>
    </xf>
    <xf numFmtId="181" fontId="16" fillId="0" borderId="1" xfId="16" applyNumberFormat="1" applyFont="1" applyFill="1" applyBorder="1" applyAlignment="1">
      <alignment horizontal="center" vertical="center"/>
    </xf>
    <xf numFmtId="177" fontId="14" fillId="0" borderId="1" xfId="16" applyNumberFormat="1" applyFont="1" applyFill="1" applyBorder="1" applyAlignment="1">
      <alignment horizontal="center" vertical="center"/>
    </xf>
    <xf numFmtId="0" fontId="14" fillId="0" borderId="1" xfId="16" applyFont="1" applyFill="1" applyBorder="1" applyAlignment="1">
      <alignment horizontal="center" vertical="center"/>
    </xf>
    <xf numFmtId="196" fontId="16" fillId="0" borderId="115" xfId="16" applyNumberFormat="1" applyFont="1" applyFill="1" applyBorder="1" applyAlignment="1">
      <alignment horizontal="center" vertical="center"/>
    </xf>
    <xf numFmtId="183" fontId="16" fillId="0" borderId="115" xfId="16" applyNumberFormat="1" applyFont="1" applyFill="1" applyBorder="1" applyAlignment="1">
      <alignment horizontal="center" vertical="center"/>
    </xf>
    <xf numFmtId="182" fontId="16" fillId="0" borderId="115" xfId="16" applyNumberFormat="1" applyFont="1" applyFill="1" applyBorder="1" applyAlignment="1">
      <alignment horizontal="center" vertical="center"/>
    </xf>
    <xf numFmtId="177" fontId="16" fillId="0" borderId="115" xfId="16" applyNumberFormat="1" applyFont="1" applyFill="1" applyBorder="1" applyAlignment="1">
      <alignment horizontal="center" vertical="center"/>
    </xf>
    <xf numFmtId="0" fontId="16" fillId="0" borderId="103" xfId="16" applyFont="1" applyFill="1" applyBorder="1" applyAlignment="1">
      <alignment horizontal="center" vertical="center"/>
    </xf>
    <xf numFmtId="0" fontId="14" fillId="0" borderId="97" xfId="16" applyFont="1" applyFill="1" applyBorder="1" applyAlignment="1">
      <alignment horizontal="center" vertical="center" wrapText="1"/>
    </xf>
    <xf numFmtId="195" fontId="14" fillId="0" borderId="97" xfId="16" applyNumberFormat="1" applyFont="1" applyFill="1" applyBorder="1" applyAlignment="1">
      <alignment horizontal="center" vertical="center" wrapText="1"/>
    </xf>
    <xf numFmtId="235" fontId="14" fillId="0" borderId="97" xfId="16" applyNumberFormat="1" applyFont="1" applyFill="1" applyBorder="1" applyAlignment="1">
      <alignment horizontal="center" vertical="center" wrapText="1"/>
    </xf>
    <xf numFmtId="0" fontId="14" fillId="0" borderId="55" xfId="16" applyFont="1" applyFill="1" applyBorder="1" applyAlignment="1">
      <alignment horizontal="center" vertical="center" wrapText="1"/>
    </xf>
    <xf numFmtId="0" fontId="38" fillId="0" borderId="0" xfId="16" applyFont="1" applyFill="1" applyBorder="1" applyAlignment="1">
      <alignment horizontal="center" vertical="center"/>
    </xf>
    <xf numFmtId="0" fontId="120" fillId="0" borderId="0" xfId="0" applyFont="1" applyFill="1" applyAlignment="1">
      <alignment horizontal="center" vertical="center"/>
    </xf>
    <xf numFmtId="0" fontId="120" fillId="0" borderId="0" xfId="0" applyFont="1" applyFill="1"/>
    <xf numFmtId="0" fontId="121" fillId="0" borderId="115" xfId="0" applyFont="1" applyFill="1" applyBorder="1" applyAlignment="1">
      <alignment horizontal="center" vertical="center" shrinkToFit="1"/>
    </xf>
    <xf numFmtId="0" fontId="121" fillId="0" borderId="115" xfId="0" applyFont="1" applyFill="1" applyBorder="1" applyAlignment="1">
      <alignment horizontal="center" vertical="center" wrapText="1" shrinkToFit="1"/>
    </xf>
    <xf numFmtId="183" fontId="121" fillId="0" borderId="115" xfId="0" applyNumberFormat="1" applyFont="1" applyFill="1" applyBorder="1" applyAlignment="1">
      <alignment horizontal="center" vertical="center" shrinkToFit="1"/>
    </xf>
    <xf numFmtId="183" fontId="121" fillId="0" borderId="115" xfId="0" applyNumberFormat="1" applyFont="1" applyFill="1" applyBorder="1" applyAlignment="1">
      <alignment horizontal="center" vertical="center" wrapText="1" shrinkToFit="1"/>
    </xf>
    <xf numFmtId="0" fontId="121" fillId="0" borderId="103" xfId="0" applyFont="1" applyFill="1" applyBorder="1" applyAlignment="1">
      <alignment horizontal="center" vertical="center" shrinkToFit="1"/>
    </xf>
    <xf numFmtId="0" fontId="120" fillId="0" borderId="28" xfId="13" applyFont="1" applyFill="1" applyBorder="1" applyAlignment="1">
      <alignment horizontal="center" vertical="center"/>
    </xf>
    <xf numFmtId="0" fontId="120" fillId="0" borderId="107" xfId="0" applyFont="1" applyFill="1" applyBorder="1" applyAlignment="1">
      <alignment horizontal="center" vertical="center" wrapText="1" shrinkToFit="1"/>
    </xf>
    <xf numFmtId="0" fontId="120" fillId="0" borderId="107" xfId="30" applyFont="1" applyFill="1" applyBorder="1" applyAlignment="1">
      <alignment horizontal="center" vertical="center"/>
    </xf>
    <xf numFmtId="194" fontId="120" fillId="0" borderId="107" xfId="0" applyNumberFormat="1" applyFont="1" applyFill="1" applyBorder="1" applyAlignment="1">
      <alignment horizontal="center" vertical="center" wrapText="1" shrinkToFit="1"/>
    </xf>
    <xf numFmtId="188" fontId="120" fillId="0" borderId="107" xfId="0" applyNumberFormat="1" applyFont="1" applyFill="1" applyBorder="1" applyAlignment="1">
      <alignment horizontal="center" vertical="center" wrapText="1" shrinkToFit="1"/>
    </xf>
    <xf numFmtId="183" fontId="120" fillId="0" borderId="107" xfId="0" applyNumberFormat="1" applyFont="1" applyFill="1" applyBorder="1" applyAlignment="1">
      <alignment horizontal="center" vertical="center" shrinkToFit="1"/>
    </xf>
    <xf numFmtId="183" fontId="120" fillId="0" borderId="107" xfId="0" applyNumberFormat="1" applyFont="1" applyFill="1" applyBorder="1" applyAlignment="1">
      <alignment horizontal="center" vertical="center"/>
    </xf>
    <xf numFmtId="2" fontId="120" fillId="0" borderId="112" xfId="0" applyNumberFormat="1" applyFont="1" applyFill="1" applyBorder="1" applyAlignment="1">
      <alignment horizontal="center" vertical="center"/>
    </xf>
    <xf numFmtId="0" fontId="120" fillId="0" borderId="91" xfId="828" applyFont="1" applyFill="1" applyBorder="1" applyAlignment="1">
      <alignment horizontal="center" vertical="center" shrinkToFit="1"/>
    </xf>
    <xf numFmtId="0" fontId="120" fillId="0" borderId="2" xfId="13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horizontal="center" vertical="center" wrapText="1" shrinkToFit="1"/>
    </xf>
    <xf numFmtId="0" fontId="120" fillId="0" borderId="91" xfId="30" applyFont="1" applyFill="1" applyBorder="1" applyAlignment="1">
      <alignment horizontal="center" vertical="center"/>
    </xf>
    <xf numFmtId="194" fontId="120" fillId="0" borderId="91" xfId="0" applyNumberFormat="1" applyFont="1" applyFill="1" applyBorder="1" applyAlignment="1">
      <alignment horizontal="center" vertical="center" wrapText="1" shrinkToFit="1"/>
    </xf>
    <xf numFmtId="188" fontId="120" fillId="0" borderId="91" xfId="0" applyNumberFormat="1" applyFont="1" applyFill="1" applyBorder="1" applyAlignment="1">
      <alignment horizontal="center" vertical="center" wrapText="1" shrinkToFit="1"/>
    </xf>
    <xf numFmtId="183" fontId="120" fillId="0" borderId="91" xfId="0" applyNumberFormat="1" applyFont="1" applyFill="1" applyBorder="1" applyAlignment="1">
      <alignment horizontal="center" vertical="center" shrinkToFit="1"/>
    </xf>
    <xf numFmtId="183" fontId="120" fillId="0" borderId="91" xfId="0" applyNumberFormat="1" applyFont="1" applyFill="1" applyBorder="1" applyAlignment="1">
      <alignment horizontal="center" vertical="center"/>
    </xf>
    <xf numFmtId="2" fontId="120" fillId="0" borderId="90" xfId="0" applyNumberFormat="1" applyFont="1" applyFill="1" applyBorder="1" applyAlignment="1">
      <alignment horizontal="center" vertical="center"/>
    </xf>
    <xf numFmtId="0" fontId="120" fillId="0" borderId="48" xfId="828" applyFont="1" applyFill="1" applyBorder="1" applyAlignment="1">
      <alignment horizontal="center" vertical="center" shrinkToFit="1"/>
    </xf>
    <xf numFmtId="0" fontId="120" fillId="4" borderId="91" xfId="828" applyFont="1" applyFill="1" applyBorder="1" applyAlignment="1">
      <alignment horizontal="center" vertical="center" shrinkToFit="1"/>
    </xf>
    <xf numFmtId="0" fontId="120" fillId="0" borderId="31" xfId="13" applyFont="1" applyFill="1" applyBorder="1" applyAlignment="1">
      <alignment horizontal="center" vertical="center"/>
    </xf>
    <xf numFmtId="0" fontId="120" fillId="0" borderId="3" xfId="0" applyFont="1" applyFill="1" applyBorder="1" applyAlignment="1">
      <alignment horizontal="center" vertical="center" wrapText="1" shrinkToFit="1"/>
    </xf>
    <xf numFmtId="0" fontId="120" fillId="0" borderId="3" xfId="30" applyFont="1" applyFill="1" applyBorder="1" applyAlignment="1">
      <alignment horizontal="center" vertical="center"/>
    </xf>
    <xf numFmtId="194" fontId="120" fillId="0" borderId="3" xfId="0" applyNumberFormat="1" applyFont="1" applyFill="1" applyBorder="1" applyAlignment="1">
      <alignment horizontal="center" vertical="center" wrapText="1" shrinkToFit="1"/>
    </xf>
    <xf numFmtId="188" fontId="120" fillId="0" borderId="3" xfId="0" applyNumberFormat="1" applyFont="1" applyFill="1" applyBorder="1" applyAlignment="1">
      <alignment horizontal="center" vertical="center" wrapText="1" shrinkToFit="1"/>
    </xf>
    <xf numFmtId="183" fontId="120" fillId="0" borderId="3" xfId="0" applyNumberFormat="1" applyFont="1" applyFill="1" applyBorder="1" applyAlignment="1">
      <alignment horizontal="center" vertical="center" shrinkToFit="1"/>
    </xf>
    <xf numFmtId="183" fontId="120" fillId="0" borderId="3" xfId="0" applyNumberFormat="1" applyFont="1" applyFill="1" applyBorder="1" applyAlignment="1">
      <alignment horizontal="center" vertical="center"/>
    </xf>
    <xf numFmtId="2" fontId="120" fillId="0" borderId="32" xfId="0" applyNumberFormat="1" applyFont="1" applyFill="1" applyBorder="1" applyAlignment="1">
      <alignment horizontal="center" vertical="center"/>
    </xf>
    <xf numFmtId="188" fontId="120" fillId="0" borderId="115" xfId="0" applyNumberFormat="1" applyFont="1" applyFill="1" applyBorder="1" applyAlignment="1">
      <alignment horizontal="center" vertical="center" wrapText="1" shrinkToFit="1"/>
    </xf>
    <xf numFmtId="0" fontId="120" fillId="0" borderId="115" xfId="0" applyFont="1" applyFill="1" applyBorder="1" applyAlignment="1">
      <alignment horizontal="center" vertical="center" wrapText="1" shrinkToFit="1"/>
    </xf>
    <xf numFmtId="183" fontId="120" fillId="0" borderId="115" xfId="0" applyNumberFormat="1" applyFont="1" applyFill="1" applyBorder="1" applyAlignment="1">
      <alignment horizontal="center" vertical="center" shrinkToFit="1"/>
    </xf>
    <xf numFmtId="183" fontId="120" fillId="0" borderId="115" xfId="0" applyNumberFormat="1" applyFont="1" applyFill="1" applyBorder="1" applyAlignment="1">
      <alignment horizontal="center" vertical="center"/>
    </xf>
    <xf numFmtId="183" fontId="120" fillId="0" borderId="115" xfId="0" applyNumberFormat="1" applyFont="1" applyFill="1" applyBorder="1" applyAlignment="1">
      <alignment horizontal="center" vertical="center" wrapText="1" shrinkToFit="1"/>
    </xf>
    <xf numFmtId="183" fontId="120" fillId="0" borderId="85" xfId="0" applyNumberFormat="1" applyFont="1" applyFill="1" applyBorder="1" applyAlignment="1">
      <alignment horizontal="center" vertical="center"/>
    </xf>
    <xf numFmtId="2" fontId="120" fillId="0" borderId="103" xfId="0" applyNumberFormat="1" applyFont="1" applyFill="1" applyBorder="1" applyAlignment="1">
      <alignment horizontal="center" vertical="center"/>
    </xf>
    <xf numFmtId="0" fontId="120" fillId="0" borderId="71" xfId="13" applyFont="1" applyFill="1" applyBorder="1" applyAlignment="1">
      <alignment horizontal="center" vertical="center"/>
    </xf>
    <xf numFmtId="0" fontId="120" fillId="0" borderId="71" xfId="0" applyFont="1" applyFill="1" applyBorder="1" applyAlignment="1">
      <alignment horizontal="center" vertical="center" wrapText="1" shrinkToFit="1"/>
    </xf>
    <xf numFmtId="0" fontId="120" fillId="0" borderId="71" xfId="30" applyFont="1" applyFill="1" applyBorder="1" applyAlignment="1">
      <alignment horizontal="center" vertical="center"/>
    </xf>
    <xf numFmtId="194" fontId="120" fillId="0" borderId="71" xfId="0" applyNumberFormat="1" applyFont="1" applyFill="1" applyBorder="1" applyAlignment="1">
      <alignment horizontal="center" vertical="center" wrapText="1" shrinkToFit="1"/>
    </xf>
    <xf numFmtId="188" fontId="120" fillId="0" borderId="71" xfId="0" applyNumberFormat="1" applyFont="1" applyFill="1" applyBorder="1" applyAlignment="1">
      <alignment horizontal="center" vertical="center" wrapText="1" shrinkToFit="1"/>
    </xf>
    <xf numFmtId="183" fontId="120" fillId="0" borderId="71" xfId="0" applyNumberFormat="1" applyFont="1" applyFill="1" applyBorder="1" applyAlignment="1">
      <alignment horizontal="center" vertical="center" shrinkToFit="1"/>
    </xf>
    <xf numFmtId="183" fontId="120" fillId="0" borderId="71" xfId="0" applyNumberFormat="1" applyFont="1" applyFill="1" applyBorder="1" applyAlignment="1">
      <alignment horizontal="center" vertical="center"/>
    </xf>
    <xf numFmtId="2" fontId="120" fillId="0" borderId="71" xfId="0" applyNumberFormat="1" applyFont="1" applyFill="1" applyBorder="1" applyAlignment="1">
      <alignment horizontal="center" vertical="center"/>
    </xf>
    <xf numFmtId="183" fontId="120" fillId="0" borderId="1" xfId="0" applyNumberFormat="1" applyFont="1" applyFill="1" applyBorder="1" applyAlignment="1">
      <alignment horizontal="center" vertical="center" shrinkToFit="1"/>
    </xf>
    <xf numFmtId="183" fontId="120" fillId="0" borderId="1" xfId="0" applyNumberFormat="1" applyFont="1" applyFill="1" applyBorder="1" applyAlignment="1">
      <alignment horizontal="center" vertical="center"/>
    </xf>
    <xf numFmtId="2" fontId="120" fillId="0" borderId="91" xfId="0" applyNumberFormat="1" applyFont="1" applyFill="1" applyBorder="1" applyAlignment="1">
      <alignment horizontal="center" vertical="center" wrapText="1" shrinkToFit="1"/>
    </xf>
    <xf numFmtId="2" fontId="121" fillId="0" borderId="115" xfId="0" applyNumberFormat="1" applyFont="1" applyFill="1" applyBorder="1" applyAlignment="1">
      <alignment horizontal="center" vertical="center" wrapText="1" shrinkToFit="1"/>
    </xf>
    <xf numFmtId="183" fontId="121" fillId="0" borderId="115" xfId="0" applyNumberFormat="1" applyFont="1" applyFill="1" applyBorder="1" applyAlignment="1">
      <alignment horizontal="center" vertical="center"/>
    </xf>
    <xf numFmtId="0" fontId="121" fillId="0" borderId="0" xfId="0" applyFont="1" applyFill="1" applyAlignment="1">
      <alignment horizontal="center" vertical="center"/>
    </xf>
    <xf numFmtId="0" fontId="121" fillId="0" borderId="0" xfId="0" applyFont="1" applyFill="1"/>
    <xf numFmtId="0" fontId="120" fillId="0" borderId="79" xfId="0" applyFont="1" applyFill="1" applyBorder="1"/>
    <xf numFmtId="183" fontId="120" fillId="0" borderId="79" xfId="0" applyNumberFormat="1" applyFont="1" applyFill="1" applyBorder="1"/>
    <xf numFmtId="183" fontId="120" fillId="0" borderId="0" xfId="0" applyNumberFormat="1" applyFont="1" applyFill="1"/>
    <xf numFmtId="183" fontId="120" fillId="0" borderId="0" xfId="0" applyNumberFormat="1" applyFont="1" applyFill="1" applyAlignment="1">
      <alignment horizontal="center" vertical="center"/>
    </xf>
    <xf numFmtId="0" fontId="123" fillId="0" borderId="0" xfId="0" applyFont="1"/>
    <xf numFmtId="0" fontId="123" fillId="0" borderId="78" xfId="0" applyFont="1" applyBorder="1" applyAlignment="1">
      <alignment horizontal="center" vertical="center"/>
    </xf>
    <xf numFmtId="0" fontId="123" fillId="0" borderId="79" xfId="0" applyFont="1" applyBorder="1" applyAlignment="1">
      <alignment horizontal="center" vertical="center"/>
    </xf>
    <xf numFmtId="0" fontId="123" fillId="0" borderId="80" xfId="0" applyFont="1" applyBorder="1" applyAlignment="1">
      <alignment horizontal="center" vertical="center"/>
    </xf>
    <xf numFmtId="0" fontId="123" fillId="0" borderId="67" xfId="0" applyFont="1" applyBorder="1" applyAlignment="1">
      <alignment horizontal="center" vertical="center"/>
    </xf>
    <xf numFmtId="0" fontId="123" fillId="0" borderId="0" xfId="0" applyFont="1" applyBorder="1" applyAlignment="1">
      <alignment horizontal="center" vertical="center"/>
    </xf>
    <xf numFmtId="0" fontId="123" fillId="0" borderId="9" xfId="0" applyFont="1" applyBorder="1" applyAlignment="1">
      <alignment horizontal="center" vertical="center"/>
    </xf>
    <xf numFmtId="0" fontId="123" fillId="0" borderId="9" xfId="0" applyFont="1" applyBorder="1" applyAlignment="1">
      <alignment horizontal="right"/>
    </xf>
    <xf numFmtId="0" fontId="123" fillId="0" borderId="72" xfId="0" applyFont="1" applyBorder="1" applyAlignment="1">
      <alignment horizontal="center" vertical="center"/>
    </xf>
    <xf numFmtId="0" fontId="123" fillId="0" borderId="115" xfId="0" applyFont="1" applyBorder="1" applyAlignment="1">
      <alignment horizontal="center" vertical="center"/>
    </xf>
    <xf numFmtId="0" fontId="123" fillId="0" borderId="103" xfId="0" applyFont="1" applyBorder="1" applyAlignment="1">
      <alignment horizontal="center" vertical="center"/>
    </xf>
    <xf numFmtId="0" fontId="123" fillId="0" borderId="33" xfId="0" applyFont="1" applyBorder="1" applyAlignment="1">
      <alignment horizontal="center" vertical="center"/>
    </xf>
    <xf numFmtId="0" fontId="123" fillId="0" borderId="1" xfId="0" applyFont="1" applyBorder="1" applyAlignment="1">
      <alignment horizontal="center" vertical="center"/>
    </xf>
    <xf numFmtId="184" fontId="123" fillId="0" borderId="1" xfId="0" applyNumberFormat="1" applyFont="1" applyBorder="1" applyAlignment="1">
      <alignment horizontal="center" vertical="center"/>
    </xf>
    <xf numFmtId="0" fontId="123" fillId="0" borderId="34" xfId="0" applyFont="1" applyBorder="1" applyAlignment="1">
      <alignment horizontal="center" vertical="center"/>
    </xf>
    <xf numFmtId="0" fontId="123" fillId="0" borderId="2" xfId="0" applyFont="1" applyBorder="1" applyAlignment="1">
      <alignment horizontal="center" vertical="center"/>
    </xf>
    <xf numFmtId="0" fontId="123" fillId="0" borderId="91" xfId="0" applyFont="1" applyBorder="1" applyAlignment="1">
      <alignment horizontal="center" vertical="center"/>
    </xf>
    <xf numFmtId="0" fontId="123" fillId="0" borderId="90" xfId="0" applyFont="1" applyBorder="1" applyAlignment="1">
      <alignment horizontal="center" vertical="center"/>
    </xf>
    <xf numFmtId="0" fontId="123" fillId="0" borderId="91" xfId="0" applyFont="1" applyBorder="1" applyAlignment="1">
      <alignment horizontal="center" vertical="center" wrapText="1"/>
    </xf>
    <xf numFmtId="0" fontId="123" fillId="0" borderId="2" xfId="0" applyFont="1" applyBorder="1" applyAlignment="1">
      <alignment horizontal="center" vertical="center" wrapText="1"/>
    </xf>
    <xf numFmtId="0" fontId="123" fillId="0" borderId="31" xfId="0" applyFont="1" applyBorder="1" applyAlignment="1">
      <alignment horizontal="center" vertical="center"/>
    </xf>
    <xf numFmtId="0" fontId="123" fillId="0" borderId="3" xfId="0" applyFont="1" applyBorder="1" applyAlignment="1">
      <alignment horizontal="center" vertical="center"/>
    </xf>
    <xf numFmtId="0" fontId="123" fillId="0" borderId="32" xfId="0" applyFont="1" applyBorder="1" applyAlignment="1">
      <alignment horizontal="center" vertical="center"/>
    </xf>
    <xf numFmtId="0" fontId="120" fillId="0" borderId="0" xfId="0" applyFont="1" applyFill="1" applyBorder="1"/>
    <xf numFmtId="0" fontId="120" fillId="0" borderId="107" xfId="0" applyFont="1" applyFill="1" applyBorder="1" applyAlignment="1">
      <alignment horizontal="center" vertical="center" wrapText="1"/>
    </xf>
    <xf numFmtId="0" fontId="120" fillId="0" borderId="91" xfId="0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horizontal="center" vertical="center" wrapText="1"/>
    </xf>
    <xf numFmtId="0" fontId="120" fillId="0" borderId="3" xfId="0" applyFont="1" applyFill="1" applyBorder="1" applyAlignment="1">
      <alignment horizontal="center" vertical="center"/>
    </xf>
    <xf numFmtId="181" fontId="120" fillId="0" borderId="107" xfId="0" applyNumberFormat="1" applyFont="1" applyFill="1" applyBorder="1" applyAlignment="1">
      <alignment horizontal="left" vertical="center"/>
    </xf>
    <xf numFmtId="178" fontId="120" fillId="0" borderId="107" xfId="0" applyNumberFormat="1" applyFont="1" applyFill="1" applyBorder="1" applyAlignment="1">
      <alignment horizontal="left" vertical="center"/>
    </xf>
    <xf numFmtId="0" fontId="120" fillId="0" borderId="112" xfId="0" applyFont="1" applyFill="1" applyBorder="1" applyAlignment="1">
      <alignment horizontal="center" vertical="center"/>
    </xf>
    <xf numFmtId="181" fontId="120" fillId="0" borderId="91" xfId="0" applyNumberFormat="1" applyFont="1" applyFill="1" applyBorder="1" applyAlignment="1">
      <alignment horizontal="right" vertical="center"/>
    </xf>
    <xf numFmtId="178" fontId="120" fillId="0" borderId="91" xfId="0" applyNumberFormat="1" applyFont="1" applyFill="1" applyBorder="1" applyAlignment="1">
      <alignment horizontal="right" vertical="center"/>
    </xf>
    <xf numFmtId="0" fontId="120" fillId="0" borderId="90" xfId="0" applyFont="1" applyFill="1" applyBorder="1" applyAlignment="1">
      <alignment horizontal="center" vertical="center"/>
    </xf>
    <xf numFmtId="181" fontId="120" fillId="0" borderId="91" xfId="0" applyNumberFormat="1" applyFont="1" applyFill="1" applyBorder="1" applyAlignment="1">
      <alignment horizontal="left" vertical="center"/>
    </xf>
    <xf numFmtId="178" fontId="120" fillId="0" borderId="91" xfId="0" applyNumberFormat="1" applyFont="1" applyFill="1" applyBorder="1" applyAlignment="1">
      <alignment horizontal="left" vertical="center"/>
    </xf>
    <xf numFmtId="181" fontId="120" fillId="0" borderId="3" xfId="0" applyNumberFormat="1" applyFont="1" applyFill="1" applyBorder="1" applyAlignment="1">
      <alignment horizontal="right" vertical="center"/>
    </xf>
    <xf numFmtId="178" fontId="120" fillId="0" borderId="3" xfId="0" applyNumberFormat="1" applyFont="1" applyFill="1" applyBorder="1" applyAlignment="1">
      <alignment horizontal="right" vertical="center"/>
    </xf>
    <xf numFmtId="0" fontId="120" fillId="0" borderId="32" xfId="0" applyFont="1" applyFill="1" applyBorder="1" applyAlignment="1">
      <alignment horizontal="center" vertical="center"/>
    </xf>
    <xf numFmtId="181" fontId="120" fillId="0" borderId="1" xfId="0" applyNumberFormat="1" applyFont="1" applyFill="1" applyBorder="1" applyAlignment="1">
      <alignment horizontal="left" vertical="center"/>
    </xf>
    <xf numFmtId="178" fontId="120" fillId="0" borderId="1" xfId="0" applyNumberFormat="1" applyFont="1" applyFill="1" applyBorder="1" applyAlignment="1">
      <alignment horizontal="left" vertical="center"/>
    </xf>
    <xf numFmtId="0" fontId="120" fillId="0" borderId="34" xfId="0" applyFont="1" applyFill="1" applyBorder="1" applyAlignment="1">
      <alignment horizontal="center" vertical="center"/>
    </xf>
    <xf numFmtId="189" fontId="120" fillId="0" borderId="55" xfId="27" applyNumberFormat="1" applyFont="1" applyFill="1" applyBorder="1" applyAlignment="1">
      <alignment horizontal="right" vertical="center"/>
    </xf>
    <xf numFmtId="178" fontId="120" fillId="0" borderId="55" xfId="27" applyNumberFormat="1" applyFont="1" applyFill="1" applyBorder="1" applyAlignment="1">
      <alignment horizontal="right" vertical="center"/>
    </xf>
    <xf numFmtId="178" fontId="120" fillId="0" borderId="55" xfId="0" applyNumberFormat="1" applyFont="1" applyFill="1" applyBorder="1" applyAlignment="1">
      <alignment horizontal="right" vertical="center"/>
    </xf>
    <xf numFmtId="0" fontId="120" fillId="0" borderId="56" xfId="0" applyFont="1" applyFill="1" applyBorder="1" applyAlignment="1">
      <alignment horizontal="center" vertical="center"/>
    </xf>
    <xf numFmtId="0" fontId="121" fillId="0" borderId="55" xfId="0" applyFont="1" applyFill="1" applyBorder="1" applyAlignment="1">
      <alignment horizontal="center" vertical="center"/>
    </xf>
    <xf numFmtId="43" fontId="121" fillId="0" borderId="55" xfId="27" applyNumberFormat="1" applyFont="1" applyFill="1" applyBorder="1" applyAlignment="1">
      <alignment horizontal="right" vertical="center"/>
    </xf>
    <xf numFmtId="252" fontId="121" fillId="0" borderId="55" xfId="27" applyNumberFormat="1" applyFont="1" applyFill="1" applyBorder="1" applyAlignment="1">
      <alignment horizontal="right" vertical="center"/>
    </xf>
    <xf numFmtId="0" fontId="120" fillId="0" borderId="0" xfId="0" applyFont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20" fillId="0" borderId="91" xfId="0" applyFont="1" applyBorder="1" applyAlignment="1">
      <alignment vertical="center"/>
    </xf>
    <xf numFmtId="181" fontId="120" fillId="0" borderId="91" xfId="820" applyNumberFormat="1" applyFont="1" applyBorder="1" applyAlignment="1">
      <alignment horizontal="center" vertical="center"/>
    </xf>
    <xf numFmtId="0" fontId="123" fillId="0" borderId="0" xfId="0" applyFont="1" applyAlignment="1">
      <alignment vertical="center"/>
    </xf>
    <xf numFmtId="0" fontId="120" fillId="0" borderId="1" xfId="0" applyFont="1" applyBorder="1" applyAlignment="1">
      <alignment vertical="center"/>
    </xf>
    <xf numFmtId="181" fontId="120" fillId="0" borderId="1" xfId="820" applyNumberFormat="1" applyFont="1" applyBorder="1" applyAlignment="1">
      <alignment horizontal="center" vertical="center"/>
    </xf>
    <xf numFmtId="0" fontId="126" fillId="0" borderId="0" xfId="0" applyFont="1" applyFill="1" applyAlignment="1">
      <alignment horizontal="center" vertical="center"/>
    </xf>
    <xf numFmtId="0" fontId="120" fillId="0" borderId="91" xfId="0" applyNumberFormat="1" applyFont="1" applyFill="1" applyBorder="1" applyAlignment="1">
      <alignment horizontal="center" vertical="center"/>
    </xf>
    <xf numFmtId="41" fontId="120" fillId="0" borderId="91" xfId="0" applyNumberFormat="1" applyFont="1" applyFill="1" applyBorder="1" applyAlignment="1">
      <alignment horizontal="center" vertical="center"/>
    </xf>
    <xf numFmtId="41" fontId="126" fillId="0" borderId="0" xfId="0" applyNumberFormat="1" applyFont="1" applyFill="1" applyAlignment="1">
      <alignment horizontal="center" vertical="center"/>
    </xf>
    <xf numFmtId="0" fontId="123" fillId="0" borderId="0" xfId="0" applyFont="1" applyFill="1" applyAlignment="1">
      <alignment vertical="center"/>
    </xf>
    <xf numFmtId="41" fontId="126" fillId="0" borderId="0" xfId="0" applyNumberFormat="1" applyFont="1" applyFill="1"/>
    <xf numFmtId="0" fontId="126" fillId="0" borderId="0" xfId="0" applyFont="1" applyFill="1"/>
    <xf numFmtId="0" fontId="121" fillId="0" borderId="91" xfId="0" applyFont="1" applyFill="1" applyBorder="1" applyAlignment="1">
      <alignment horizontal="center" vertical="center"/>
    </xf>
    <xf numFmtId="242" fontId="126" fillId="0" borderId="0" xfId="0" applyNumberFormat="1" applyFont="1" applyFill="1"/>
    <xf numFmtId="0" fontId="126" fillId="0" borderId="0" xfId="0" applyFont="1" applyFill="1" applyAlignment="1">
      <alignment horizontal="center"/>
    </xf>
    <xf numFmtId="0" fontId="124" fillId="0" borderId="0" xfId="0" applyFont="1" applyAlignment="1">
      <alignment vertical="center"/>
    </xf>
    <xf numFmtId="0" fontId="120" fillId="0" borderId="3" xfId="0" applyFont="1" applyBorder="1" applyAlignment="1">
      <alignment horizontal="center" vertical="center"/>
    </xf>
    <xf numFmtId="0" fontId="120" fillId="0" borderId="107" xfId="0" applyFont="1" applyBorder="1" applyAlignment="1">
      <alignment horizontal="center" vertical="center"/>
    </xf>
    <xf numFmtId="0" fontId="120" fillId="0" borderId="112" xfId="0" applyFont="1" applyBorder="1" applyAlignment="1">
      <alignment horizontal="center" vertical="center"/>
    </xf>
    <xf numFmtId="0" fontId="120" fillId="0" borderId="32" xfId="0" applyFont="1" applyBorder="1" applyAlignment="1">
      <alignment horizontal="center" vertical="center"/>
    </xf>
    <xf numFmtId="0" fontId="120" fillId="0" borderId="103" xfId="0" applyFont="1" applyBorder="1" applyAlignment="1">
      <alignment horizontal="center" vertical="center"/>
    </xf>
    <xf numFmtId="0" fontId="120" fillId="0" borderId="0" xfId="0" applyFont="1" applyBorder="1" applyAlignment="1">
      <alignment vertical="center"/>
    </xf>
    <xf numFmtId="0" fontId="120" fillId="0" borderId="31" xfId="0" applyFont="1" applyFill="1" applyBorder="1" applyAlignment="1">
      <alignment horizontal="center" vertical="center" wrapText="1"/>
    </xf>
    <xf numFmtId="0" fontId="120" fillId="0" borderId="3" xfId="0" applyFont="1" applyFill="1" applyBorder="1" applyAlignment="1">
      <alignment horizontal="center" vertical="center" wrapText="1"/>
    </xf>
    <xf numFmtId="0" fontId="120" fillId="0" borderId="32" xfId="0" applyFont="1" applyFill="1" applyBorder="1" applyAlignment="1">
      <alignment horizontal="center" vertical="center" wrapText="1"/>
    </xf>
    <xf numFmtId="0" fontId="120" fillId="0" borderId="51" xfId="0" applyFont="1" applyFill="1" applyBorder="1" applyAlignment="1">
      <alignment horizontal="center" vertical="center" wrapText="1"/>
    </xf>
    <xf numFmtId="0" fontId="120" fillId="0" borderId="17" xfId="0" applyFont="1" applyFill="1" applyBorder="1" applyAlignment="1">
      <alignment horizontal="center" vertical="center" wrapText="1"/>
    </xf>
    <xf numFmtId="0" fontId="120" fillId="0" borderId="41" xfId="0" applyFont="1" applyFill="1" applyBorder="1" applyAlignment="1">
      <alignment horizontal="center" vertical="center" wrapText="1"/>
    </xf>
    <xf numFmtId="185" fontId="126" fillId="0" borderId="112" xfId="0" applyNumberFormat="1" applyFont="1" applyFill="1" applyBorder="1" applyAlignment="1">
      <alignment horizontal="center" vertical="center"/>
    </xf>
    <xf numFmtId="185" fontId="126" fillId="0" borderId="28" xfId="0" applyNumberFormat="1" applyFont="1" applyFill="1" applyBorder="1" applyAlignment="1">
      <alignment horizontal="center" vertical="center"/>
    </xf>
    <xf numFmtId="243" fontId="126" fillId="0" borderId="107" xfId="0" applyNumberFormat="1" applyFont="1" applyFill="1" applyBorder="1" applyAlignment="1">
      <alignment horizontal="center" vertical="center"/>
    </xf>
    <xf numFmtId="2" fontId="126" fillId="0" borderId="112" xfId="0" applyNumberFormat="1" applyFont="1" applyFill="1" applyBorder="1" applyAlignment="1">
      <alignment horizontal="center" vertical="center"/>
    </xf>
    <xf numFmtId="185" fontId="126" fillId="0" borderId="76" xfId="0" applyNumberFormat="1" applyFont="1" applyFill="1" applyBorder="1" applyAlignment="1">
      <alignment horizontal="center" vertical="center"/>
    </xf>
    <xf numFmtId="2" fontId="126" fillId="0" borderId="18" xfId="0" applyNumberFormat="1" applyFont="1" applyFill="1" applyBorder="1" applyAlignment="1">
      <alignment horizontal="center" vertical="center"/>
    </xf>
    <xf numFmtId="241" fontId="120" fillId="0" borderId="42" xfId="0" applyNumberFormat="1" applyFont="1" applyFill="1" applyBorder="1" applyAlignment="1">
      <alignment horizontal="center" vertical="center" wrapText="1"/>
    </xf>
    <xf numFmtId="0" fontId="120" fillId="0" borderId="58" xfId="0" applyFont="1" applyFill="1" applyBorder="1" applyAlignment="1">
      <alignment horizontal="center" vertical="center" wrapText="1"/>
    </xf>
    <xf numFmtId="185" fontId="126" fillId="0" borderId="90" xfId="0" applyNumberFormat="1" applyFont="1" applyFill="1" applyBorder="1" applyAlignment="1">
      <alignment horizontal="center" vertical="center"/>
    </xf>
    <xf numFmtId="185" fontId="126" fillId="0" borderId="2" xfId="0" applyNumberFormat="1" applyFont="1" applyFill="1" applyBorder="1" applyAlignment="1">
      <alignment horizontal="center" vertical="center"/>
    </xf>
    <xf numFmtId="243" fontId="126" fillId="0" borderId="91" xfId="0" applyNumberFormat="1" applyFont="1" applyFill="1" applyBorder="1" applyAlignment="1">
      <alignment horizontal="center" vertical="center"/>
    </xf>
    <xf numFmtId="2" fontId="126" fillId="0" borderId="90" xfId="0" applyNumberFormat="1" applyFont="1" applyFill="1" applyBorder="1" applyAlignment="1">
      <alignment horizontal="center" vertical="center"/>
    </xf>
    <xf numFmtId="185" fontId="126" fillId="0" borderId="114" xfId="0" applyNumberFormat="1" applyFont="1" applyFill="1" applyBorder="1" applyAlignment="1">
      <alignment horizontal="center" vertical="center"/>
    </xf>
    <xf numFmtId="2" fontId="126" fillId="0" borderId="60" xfId="0" applyNumberFormat="1" applyFont="1" applyFill="1" applyBorder="1" applyAlignment="1">
      <alignment horizontal="center" vertical="center"/>
    </xf>
    <xf numFmtId="241" fontId="120" fillId="0" borderId="61" xfId="0" applyNumberFormat="1" applyFont="1" applyFill="1" applyBorder="1" applyAlignment="1">
      <alignment horizontal="center" vertical="center" wrapText="1"/>
    </xf>
    <xf numFmtId="185" fontId="126" fillId="0" borderId="32" xfId="0" applyNumberFormat="1" applyFont="1" applyFill="1" applyBorder="1" applyAlignment="1">
      <alignment horizontal="center" vertical="center"/>
    </xf>
    <xf numFmtId="185" fontId="126" fillId="0" borderId="31" xfId="0" applyNumberFormat="1" applyFont="1" applyFill="1" applyBorder="1" applyAlignment="1">
      <alignment horizontal="center" vertical="center"/>
    </xf>
    <xf numFmtId="243" fontId="126" fillId="0" borderId="3" xfId="0" applyNumberFormat="1" applyFont="1" applyFill="1" applyBorder="1" applyAlignment="1">
      <alignment horizontal="center" vertical="center"/>
    </xf>
    <xf numFmtId="2" fontId="126" fillId="0" borderId="32" xfId="0" applyNumberFormat="1" applyFont="1" applyFill="1" applyBorder="1" applyAlignment="1">
      <alignment horizontal="center" vertical="center"/>
    </xf>
    <xf numFmtId="2" fontId="126" fillId="0" borderId="17" xfId="0" applyNumberFormat="1" applyFont="1" applyFill="1" applyBorder="1" applyAlignment="1">
      <alignment horizontal="center" vertical="center"/>
    </xf>
    <xf numFmtId="241" fontId="120" fillId="0" borderId="62" xfId="0" applyNumberFormat="1" applyFont="1" applyFill="1" applyBorder="1" applyAlignment="1">
      <alignment horizontal="center" vertical="center" wrapText="1"/>
    </xf>
    <xf numFmtId="0" fontId="120" fillId="0" borderId="11" xfId="0" applyFont="1" applyFill="1" applyBorder="1" applyAlignment="1">
      <alignment horizontal="center" vertical="center" wrapText="1"/>
    </xf>
    <xf numFmtId="185" fontId="126" fillId="0" borderId="34" xfId="0" applyNumberFormat="1" applyFont="1" applyFill="1" applyBorder="1" applyAlignment="1">
      <alignment horizontal="center" vertical="center"/>
    </xf>
    <xf numFmtId="0" fontId="120" fillId="0" borderId="33" xfId="0" applyFont="1" applyFill="1" applyBorder="1" applyAlignment="1">
      <alignment horizontal="center" vertical="center"/>
    </xf>
    <xf numFmtId="243" fontId="126" fillId="0" borderId="1" xfId="0" applyNumberFormat="1" applyFont="1" applyFill="1" applyBorder="1" applyAlignment="1">
      <alignment horizontal="center" vertical="center"/>
    </xf>
    <xf numFmtId="185" fontId="126" fillId="0" borderId="33" xfId="0" applyNumberFormat="1" applyFont="1" applyFill="1" applyBorder="1" applyAlignment="1">
      <alignment horizontal="center" vertical="center"/>
    </xf>
    <xf numFmtId="185" fontId="126" fillId="0" borderId="6" xfId="0" applyNumberFormat="1" applyFont="1" applyFill="1" applyBorder="1" applyAlignment="1">
      <alignment horizontal="center" vertical="center"/>
    </xf>
    <xf numFmtId="241" fontId="120" fillId="0" borderId="23" xfId="0" applyNumberFormat="1" applyFont="1" applyFill="1" applyBorder="1" applyAlignment="1">
      <alignment horizontal="center" vertical="center" wrapText="1"/>
    </xf>
    <xf numFmtId="185" fontId="126" fillId="0" borderId="49" xfId="0" applyNumberFormat="1" applyFont="1" applyFill="1" applyBorder="1" applyAlignment="1">
      <alignment horizontal="center" vertical="center"/>
    </xf>
    <xf numFmtId="0" fontId="120" fillId="0" borderId="47" xfId="0" applyFont="1" applyFill="1" applyBorder="1" applyAlignment="1">
      <alignment horizontal="center" vertical="center"/>
    </xf>
    <xf numFmtId="243" fontId="126" fillId="0" borderId="48" xfId="0" applyNumberFormat="1" applyFont="1" applyFill="1" applyBorder="1" applyAlignment="1">
      <alignment horizontal="center" vertical="center"/>
    </xf>
    <xf numFmtId="185" fontId="126" fillId="0" borderId="47" xfId="0" applyNumberFormat="1" applyFont="1" applyFill="1" applyBorder="1" applyAlignment="1">
      <alignment horizontal="center" vertical="center"/>
    </xf>
    <xf numFmtId="185" fontId="126" fillId="0" borderId="99" xfId="0" applyNumberFormat="1" applyFont="1" applyFill="1" applyBorder="1" applyAlignment="1">
      <alignment horizontal="center" vertical="center"/>
    </xf>
    <xf numFmtId="241" fontId="120" fillId="0" borderId="118" xfId="0" applyNumberFormat="1" applyFont="1" applyFill="1" applyBorder="1" applyAlignment="1">
      <alignment horizontal="center" vertical="center" wrapText="1"/>
    </xf>
    <xf numFmtId="0" fontId="121" fillId="0" borderId="72" xfId="0" applyFont="1" applyFill="1" applyBorder="1" applyAlignment="1">
      <alignment horizontal="center" vertical="center"/>
    </xf>
    <xf numFmtId="0" fontId="121" fillId="0" borderId="71" xfId="0" applyFont="1" applyFill="1" applyBorder="1" applyAlignment="1">
      <alignment horizontal="center" vertical="center"/>
    </xf>
    <xf numFmtId="185" fontId="121" fillId="0" borderId="103" xfId="0" applyNumberFormat="1" applyFont="1" applyFill="1" applyBorder="1" applyAlignment="1">
      <alignment horizontal="center" vertical="center"/>
    </xf>
    <xf numFmtId="185" fontId="121" fillId="0" borderId="72" xfId="0" applyNumberFormat="1" applyFont="1" applyFill="1" applyBorder="1" applyAlignment="1">
      <alignment horizontal="center" vertical="center"/>
    </xf>
    <xf numFmtId="243" fontId="121" fillId="0" borderId="115" xfId="0" applyNumberFormat="1" applyFont="1" applyFill="1" applyBorder="1" applyAlignment="1">
      <alignment horizontal="center" vertical="center"/>
    </xf>
    <xf numFmtId="241" fontId="121" fillId="0" borderId="103" xfId="0" applyNumberFormat="1" applyFont="1" applyFill="1" applyBorder="1" applyAlignment="1">
      <alignment horizontal="center" vertical="center"/>
    </xf>
    <xf numFmtId="241" fontId="121" fillId="0" borderId="82" xfId="0" applyNumberFormat="1" applyFont="1" applyFill="1" applyBorder="1" applyAlignment="1">
      <alignment horizontal="center" vertical="center"/>
    </xf>
    <xf numFmtId="185" fontId="121" fillId="0" borderId="94" xfId="0" applyNumberFormat="1" applyFont="1" applyFill="1" applyBorder="1" applyAlignment="1">
      <alignment horizontal="center" vertical="center"/>
    </xf>
    <xf numFmtId="0" fontId="121" fillId="0" borderId="0" xfId="0" applyFont="1" applyBorder="1" applyAlignment="1">
      <alignment vertical="center"/>
    </xf>
    <xf numFmtId="0" fontId="127" fillId="0" borderId="0" xfId="0" applyFont="1" applyAlignment="1">
      <alignment vertical="center"/>
    </xf>
    <xf numFmtId="0" fontId="128" fillId="0" borderId="0" xfId="0" applyFont="1" applyAlignment="1"/>
    <xf numFmtId="3" fontId="127" fillId="0" borderId="0" xfId="0" applyNumberFormat="1" applyFont="1" applyBorder="1" applyAlignment="1">
      <alignment horizontal="center" vertical="center"/>
    </xf>
    <xf numFmtId="185" fontId="128" fillId="0" borderId="0" xfId="0" applyNumberFormat="1" applyFont="1" applyAlignment="1"/>
    <xf numFmtId="0" fontId="119" fillId="0" borderId="0" xfId="0" applyFont="1" applyFill="1" applyBorder="1" applyAlignment="1">
      <alignment vertical="center"/>
    </xf>
    <xf numFmtId="0" fontId="128" fillId="0" borderId="0" xfId="0" applyFont="1" applyFill="1" applyBorder="1" applyAlignment="1">
      <alignment horizontal="center" vertical="center"/>
    </xf>
    <xf numFmtId="0" fontId="128" fillId="0" borderId="0" xfId="0" applyFont="1" applyFill="1" applyAlignment="1"/>
    <xf numFmtId="0" fontId="120" fillId="0" borderId="0" xfId="0" applyFont="1" applyFill="1" applyAlignment="1"/>
    <xf numFmtId="0" fontId="123" fillId="0" borderId="91" xfId="0" applyFont="1" applyFill="1" applyBorder="1" applyAlignment="1">
      <alignment horizontal="center" vertical="center"/>
    </xf>
    <xf numFmtId="0" fontId="123" fillId="0" borderId="91" xfId="0" applyFont="1" applyFill="1" applyBorder="1" applyAlignment="1">
      <alignment horizontal="center" vertical="center" wrapText="1"/>
    </xf>
    <xf numFmtId="41" fontId="123" fillId="0" borderId="91" xfId="0" applyNumberFormat="1" applyFont="1" applyFill="1" applyBorder="1" applyAlignment="1">
      <alignment horizontal="center" vertical="center" wrapText="1"/>
    </xf>
    <xf numFmtId="41" fontId="123" fillId="0" borderId="90" xfId="0" applyNumberFormat="1" applyFont="1" applyFill="1" applyBorder="1" applyAlignment="1">
      <alignment horizontal="center" vertical="center"/>
    </xf>
    <xf numFmtId="41" fontId="128" fillId="0" borderId="0" xfId="0" applyNumberFormat="1" applyFont="1" applyAlignment="1"/>
    <xf numFmtId="41" fontId="124" fillId="0" borderId="3" xfId="0" applyNumberFormat="1" applyFont="1" applyFill="1" applyBorder="1" applyAlignment="1">
      <alignment horizontal="center" vertical="center"/>
    </xf>
    <xf numFmtId="0" fontId="124" fillId="0" borderId="3" xfId="0" applyFont="1" applyFill="1" applyBorder="1" applyAlignment="1">
      <alignment horizontal="center" vertical="center"/>
    </xf>
    <xf numFmtId="0" fontId="129" fillId="0" borderId="79" xfId="0" applyFont="1" applyFill="1" applyBorder="1" applyAlignment="1">
      <alignment vertical="center"/>
    </xf>
    <xf numFmtId="0" fontId="129" fillId="0" borderId="0" xfId="0" applyFont="1" applyFill="1" applyBorder="1" applyAlignment="1">
      <alignment horizontal="left" vertical="center"/>
    </xf>
    <xf numFmtId="0" fontId="123" fillId="0" borderId="2" xfId="0" applyFont="1" applyFill="1" applyBorder="1" applyAlignment="1">
      <alignment horizontal="center" vertical="center"/>
    </xf>
    <xf numFmtId="0" fontId="123" fillId="0" borderId="90" xfId="0" applyFont="1" applyFill="1" applyBorder="1" applyAlignment="1">
      <alignment horizontal="center" vertical="center"/>
    </xf>
    <xf numFmtId="0" fontId="123" fillId="0" borderId="114" xfId="0" applyFont="1" applyFill="1" applyBorder="1" applyAlignment="1">
      <alignment horizontal="center" vertical="center"/>
    </xf>
    <xf numFmtId="9" fontId="121" fillId="0" borderId="0" xfId="823" applyFont="1" applyFill="1" applyAlignment="1">
      <alignment horizontal="center" vertical="center"/>
    </xf>
    <xf numFmtId="240" fontId="121" fillId="0" borderId="0" xfId="0" applyNumberFormat="1" applyFont="1" applyFill="1" applyAlignment="1">
      <alignment horizontal="center" vertical="center"/>
    </xf>
    <xf numFmtId="190" fontId="123" fillId="0" borderId="47" xfId="0" applyNumberFormat="1" applyFont="1" applyFill="1" applyBorder="1" applyAlignment="1">
      <alignment horizontal="center" vertical="center" wrapText="1"/>
    </xf>
    <xf numFmtId="190" fontId="123" fillId="0" borderId="49" xfId="0" applyNumberFormat="1" applyFont="1" applyFill="1" applyBorder="1" applyAlignment="1">
      <alignment horizontal="center" vertical="center" wrapText="1"/>
    </xf>
    <xf numFmtId="253" fontId="123" fillId="0" borderId="114" xfId="0" applyNumberFormat="1" applyFont="1" applyFill="1" applyBorder="1" applyAlignment="1">
      <alignment horizontal="center" vertical="center" wrapText="1"/>
    </xf>
    <xf numFmtId="253" fontId="123" fillId="0" borderId="91" xfId="0" applyNumberFormat="1" applyFont="1" applyFill="1" applyBorder="1" applyAlignment="1">
      <alignment horizontal="center" vertical="center" wrapText="1"/>
    </xf>
    <xf numFmtId="186" fontId="123" fillId="0" borderId="90" xfId="0" applyNumberFormat="1" applyFont="1" applyFill="1" applyBorder="1" applyAlignment="1">
      <alignment horizontal="center" vertical="center"/>
    </xf>
    <xf numFmtId="240" fontId="123" fillId="0" borderId="2" xfId="0" applyNumberFormat="1" applyFont="1" applyFill="1" applyBorder="1" applyAlignment="1">
      <alignment horizontal="center" vertical="center" wrapText="1"/>
    </xf>
    <xf numFmtId="0" fontId="123" fillId="0" borderId="34" xfId="0" applyFont="1" applyFill="1" applyBorder="1" applyAlignment="1">
      <alignment horizontal="center" vertical="center" wrapText="1"/>
    </xf>
    <xf numFmtId="240" fontId="123" fillId="0" borderId="114" xfId="0" applyNumberFormat="1" applyFont="1" applyFill="1" applyBorder="1" applyAlignment="1">
      <alignment horizontal="center" vertical="center" wrapText="1"/>
    </xf>
    <xf numFmtId="240" fontId="123" fillId="0" borderId="91" xfId="0" applyNumberFormat="1" applyFont="1" applyFill="1" applyBorder="1" applyAlignment="1">
      <alignment horizontal="center" vertical="center" wrapText="1"/>
    </xf>
    <xf numFmtId="0" fontId="123" fillId="0" borderId="121" xfId="0" applyFont="1" applyFill="1" applyBorder="1" applyAlignment="1">
      <alignment horizontal="center" vertical="center" wrapText="1"/>
    </xf>
    <xf numFmtId="240" fontId="123" fillId="0" borderId="99" xfId="0" applyNumberFormat="1" applyFont="1" applyFill="1" applyBorder="1" applyAlignment="1">
      <alignment horizontal="center" vertical="center" wrapText="1"/>
    </xf>
    <xf numFmtId="240" fontId="123" fillId="0" borderId="48" xfId="0" applyNumberFormat="1" applyFont="1" applyFill="1" applyBorder="1" applyAlignment="1">
      <alignment horizontal="center" vertical="center" wrapText="1"/>
    </xf>
    <xf numFmtId="186" fontId="130" fillId="0" borderId="31" xfId="0" applyNumberFormat="1" applyFont="1" applyFill="1" applyBorder="1" applyAlignment="1">
      <alignment horizontal="center" vertical="center"/>
    </xf>
    <xf numFmtId="186" fontId="130" fillId="0" borderId="32" xfId="0" applyNumberFormat="1" applyFont="1" applyFill="1" applyBorder="1" applyAlignment="1">
      <alignment horizontal="center" vertical="center"/>
    </xf>
    <xf numFmtId="186" fontId="130" fillId="0" borderId="105" xfId="0" applyNumberFormat="1" applyFont="1" applyFill="1" applyBorder="1" applyAlignment="1">
      <alignment horizontal="center" vertical="center"/>
    </xf>
    <xf numFmtId="186" fontId="130" fillId="0" borderId="3" xfId="0" applyNumberFormat="1" applyFont="1" applyFill="1" applyBorder="1" applyAlignment="1">
      <alignment horizontal="center" vertical="center"/>
    </xf>
    <xf numFmtId="0" fontId="131" fillId="0" borderId="0" xfId="0" applyFont="1" applyFill="1" applyBorder="1" applyAlignment="1"/>
    <xf numFmtId="0" fontId="131" fillId="0" borderId="0" xfId="0" applyFont="1" applyFill="1" applyAlignment="1"/>
    <xf numFmtId="0" fontId="129" fillId="0" borderId="79" xfId="0" applyFont="1" applyFill="1" applyBorder="1" applyAlignment="1">
      <alignment horizontal="center" vertical="center"/>
    </xf>
    <xf numFmtId="186" fontId="121" fillId="0" borderId="79" xfId="0" applyNumberFormat="1" applyFont="1" applyFill="1" applyBorder="1" applyAlignment="1">
      <alignment horizontal="center" vertical="center"/>
    </xf>
    <xf numFmtId="186" fontId="121" fillId="0" borderId="0" xfId="0" applyNumberFormat="1" applyFont="1" applyFill="1" applyBorder="1" applyAlignment="1">
      <alignment horizontal="center" vertical="center"/>
    </xf>
    <xf numFmtId="179" fontId="121" fillId="0" borderId="0" xfId="0" applyNumberFormat="1" applyFont="1" applyFill="1" applyBorder="1" applyAlignment="1">
      <alignment horizontal="center" vertical="center"/>
    </xf>
    <xf numFmtId="0" fontId="122" fillId="0" borderId="0" xfId="0" applyFont="1" applyFill="1" applyBorder="1" applyAlignment="1">
      <alignment horizontal="center" vertical="center"/>
    </xf>
    <xf numFmtId="0" fontId="128" fillId="0" borderId="78" xfId="0" applyFont="1" applyFill="1" applyBorder="1" applyAlignment="1">
      <alignment horizontal="center" vertical="center"/>
    </xf>
    <xf numFmtId="0" fontId="128" fillId="0" borderId="79" xfId="0" applyFont="1" applyFill="1" applyBorder="1" applyAlignment="1">
      <alignment horizontal="center" vertical="center"/>
    </xf>
    <xf numFmtId="0" fontId="128" fillId="0" borderId="80" xfId="0" applyFont="1" applyFill="1" applyBorder="1" applyAlignment="1">
      <alignment horizontal="center" vertical="center"/>
    </xf>
    <xf numFmtId="0" fontId="128" fillId="0" borderId="67" xfId="0" applyFont="1" applyFill="1" applyBorder="1" applyAlignment="1">
      <alignment horizontal="center" vertical="center"/>
    </xf>
    <xf numFmtId="0" fontId="128" fillId="0" borderId="9" xfId="0" applyFont="1" applyFill="1" applyBorder="1" applyAlignment="1">
      <alignment horizontal="center" vertical="center"/>
    </xf>
    <xf numFmtId="0" fontId="120" fillId="0" borderId="67" xfId="0" applyFont="1" applyFill="1" applyBorder="1" applyAlignment="1">
      <alignment vertical="center"/>
    </xf>
    <xf numFmtId="0" fontId="120" fillId="0" borderId="0" xfId="0" applyFont="1" applyFill="1" applyBorder="1" applyAlignment="1">
      <alignment vertical="center"/>
    </xf>
    <xf numFmtId="0" fontId="120" fillId="0" borderId="0" xfId="0" applyFont="1" applyFill="1" applyBorder="1" applyAlignment="1">
      <alignment horizontal="center" vertical="center"/>
    </xf>
    <xf numFmtId="0" fontId="120" fillId="0" borderId="9" xfId="0" applyFont="1" applyFill="1" applyBorder="1" applyAlignment="1">
      <alignment vertical="center"/>
    </xf>
    <xf numFmtId="0" fontId="120" fillId="0" borderId="0" xfId="0" applyFont="1" applyAlignment="1"/>
    <xf numFmtId="0" fontId="119" fillId="0" borderId="0" xfId="0" applyFont="1" applyFill="1" applyBorder="1" applyAlignment="1">
      <alignment horizontal="center" vertical="center"/>
    </xf>
    <xf numFmtId="0" fontId="132" fillId="0" borderId="0" xfId="0" applyFont="1" applyAlignment="1"/>
    <xf numFmtId="0" fontId="123" fillId="0" borderId="107" xfId="0" applyFont="1" applyFill="1" applyBorder="1" applyAlignment="1">
      <alignment horizontal="center" vertical="center"/>
    </xf>
    <xf numFmtId="0" fontId="127" fillId="0" borderId="0" xfId="0" applyFont="1" applyFill="1" applyBorder="1" applyAlignment="1">
      <alignment vertical="center"/>
    </xf>
    <xf numFmtId="190" fontId="127" fillId="0" borderId="0" xfId="0" applyNumberFormat="1" applyFont="1" applyFill="1" applyBorder="1" applyAlignment="1">
      <alignment vertical="center"/>
    </xf>
    <xf numFmtId="0" fontId="123" fillId="0" borderId="3" xfId="0" applyFont="1" applyFill="1" applyBorder="1" applyAlignment="1">
      <alignment horizontal="center" vertical="center"/>
    </xf>
    <xf numFmtId="232" fontId="133" fillId="0" borderId="1" xfId="0" applyNumberFormat="1" applyFont="1" applyFill="1" applyBorder="1" applyAlignment="1">
      <alignment horizontal="center" vertical="center"/>
    </xf>
    <xf numFmtId="232" fontId="133" fillId="0" borderId="46" xfId="0" applyNumberFormat="1" applyFont="1" applyFill="1" applyBorder="1" applyAlignment="1">
      <alignment horizontal="center" vertical="center"/>
    </xf>
    <xf numFmtId="0" fontId="127" fillId="0" borderId="46" xfId="0" applyFont="1" applyFill="1" applyBorder="1" applyAlignment="1">
      <alignment horizontal="center" vertical="center"/>
    </xf>
    <xf numFmtId="0" fontId="127" fillId="0" borderId="11" xfId="0" applyFont="1" applyFill="1" applyBorder="1" applyAlignment="1"/>
    <xf numFmtId="0" fontId="127" fillId="0" borderId="11" xfId="0" applyFont="1" applyFill="1" applyBorder="1" applyAlignment="1">
      <alignment horizontal="centerContinuous" vertical="center"/>
    </xf>
    <xf numFmtId="0" fontId="127" fillId="0" borderId="6" xfId="0" applyFont="1" applyFill="1" applyBorder="1" applyAlignment="1">
      <alignment horizontal="centerContinuous" vertical="center"/>
    </xf>
    <xf numFmtId="190" fontId="120" fillId="0" borderId="0" xfId="0" applyNumberFormat="1" applyFont="1" applyFill="1" applyBorder="1" applyAlignment="1">
      <alignment horizontal="center" vertical="center"/>
    </xf>
    <xf numFmtId="232" fontId="133" fillId="0" borderId="91" xfId="0" applyNumberFormat="1" applyFont="1" applyFill="1" applyBorder="1" applyAlignment="1">
      <alignment horizontal="center" vertical="center"/>
    </xf>
    <xf numFmtId="232" fontId="133" fillId="0" borderId="95" xfId="0" applyNumberFormat="1" applyFont="1" applyFill="1" applyBorder="1" applyAlignment="1">
      <alignment horizontal="center" vertical="center"/>
    </xf>
    <xf numFmtId="0" fontId="127" fillId="0" borderId="95" xfId="0" applyFont="1" applyFill="1" applyBorder="1" applyAlignment="1">
      <alignment horizontal="center" vertical="center"/>
    </xf>
    <xf numFmtId="0" fontId="127" fillId="0" borderId="58" xfId="0" applyFont="1" applyFill="1" applyBorder="1" applyAlignment="1"/>
    <xf numFmtId="0" fontId="127" fillId="0" borderId="58" xfId="0" applyFont="1" applyFill="1" applyBorder="1" applyAlignment="1">
      <alignment horizontal="centerContinuous" vertical="center"/>
    </xf>
    <xf numFmtId="0" fontId="127" fillId="0" borderId="114" xfId="0" applyFont="1" applyFill="1" applyBorder="1" applyAlignment="1">
      <alignment horizontal="centerContinuous" vertical="center"/>
    </xf>
    <xf numFmtId="232" fontId="133" fillId="0" borderId="3" xfId="0" applyNumberFormat="1" applyFont="1" applyFill="1" applyBorder="1" applyAlignment="1">
      <alignment horizontal="center" vertical="center"/>
    </xf>
    <xf numFmtId="232" fontId="133" fillId="0" borderId="51" xfId="0" applyNumberFormat="1" applyFont="1" applyFill="1" applyBorder="1" applyAlignment="1">
      <alignment horizontal="center" vertical="center"/>
    </xf>
    <xf numFmtId="0" fontId="127" fillId="0" borderId="51" xfId="0" applyFont="1" applyFill="1" applyBorder="1" applyAlignment="1">
      <alignment horizontal="center" vertical="center"/>
    </xf>
    <xf numFmtId="0" fontId="127" fillId="0" borderId="53" xfId="0" applyFont="1" applyFill="1" applyBorder="1" applyAlignment="1"/>
    <xf numFmtId="0" fontId="127" fillId="0" borderId="53" xfId="0" applyFont="1" applyFill="1" applyBorder="1" applyAlignment="1">
      <alignment horizontal="centerContinuous" vertical="center"/>
    </xf>
    <xf numFmtId="0" fontId="127" fillId="0" borderId="105" xfId="0" applyFont="1" applyFill="1" applyBorder="1" applyAlignment="1">
      <alignment horizontal="centerContinuous" vertical="center"/>
    </xf>
    <xf numFmtId="0" fontId="127" fillId="0" borderId="0" xfId="0" applyFont="1" applyAlignment="1"/>
    <xf numFmtId="0" fontId="123" fillId="0" borderId="0" xfId="16" applyFont="1" applyFill="1">
      <alignment vertical="center"/>
    </xf>
    <xf numFmtId="0" fontId="123" fillId="0" borderId="0" xfId="16" applyFont="1" applyFill="1" applyAlignment="1"/>
    <xf numFmtId="0" fontId="123" fillId="0" borderId="67" xfId="16" applyFont="1" applyFill="1" applyBorder="1" applyAlignment="1">
      <alignment vertical="center"/>
    </xf>
    <xf numFmtId="0" fontId="123" fillId="0" borderId="0" xfId="16" applyFont="1" applyFill="1" applyAlignment="1">
      <alignment vertical="center"/>
    </xf>
    <xf numFmtId="49" fontId="123" fillId="0" borderId="0" xfId="16" applyNumberFormat="1" applyFont="1" applyFill="1" applyAlignment="1">
      <alignment horizontal="right" vertical="center"/>
    </xf>
    <xf numFmtId="2" fontId="123" fillId="0" borderId="0" xfId="16" applyNumberFormat="1" applyFont="1" applyFill="1" applyAlignment="1">
      <alignment horizontal="center" vertical="center"/>
    </xf>
    <xf numFmtId="49" fontId="123" fillId="0" borderId="9" xfId="16" applyNumberFormat="1" applyFont="1" applyFill="1" applyBorder="1" applyAlignment="1">
      <alignment horizontal="left" vertical="center"/>
    </xf>
    <xf numFmtId="0" fontId="123" fillId="0" borderId="0" xfId="16" applyFont="1" applyFill="1" applyBorder="1">
      <alignment vertical="center"/>
    </xf>
    <xf numFmtId="0" fontId="123" fillId="0" borderId="0" xfId="16" applyFont="1" applyFill="1" applyBorder="1" applyAlignment="1">
      <alignment vertical="center"/>
    </xf>
    <xf numFmtId="49" fontId="123" fillId="0" borderId="0" xfId="16" applyNumberFormat="1" applyFont="1" applyFill="1" applyAlignment="1">
      <alignment vertical="center"/>
    </xf>
    <xf numFmtId="0" fontId="134" fillId="0" borderId="9" xfId="16" applyFont="1" applyFill="1" applyBorder="1" applyAlignment="1">
      <alignment vertical="center"/>
    </xf>
    <xf numFmtId="0" fontId="120" fillId="0" borderId="23" xfId="16" applyFont="1" applyFill="1" applyBorder="1" applyAlignment="1">
      <alignment horizontal="center" vertical="center"/>
    </xf>
    <xf numFmtId="0" fontId="120" fillId="0" borderId="11" xfId="16" applyFont="1" applyFill="1" applyBorder="1" applyAlignment="1">
      <alignment horizontal="right" vertical="center"/>
    </xf>
    <xf numFmtId="0" fontId="120" fillId="0" borderId="11" xfId="16" applyFont="1" applyFill="1" applyBorder="1" applyAlignment="1">
      <alignment vertical="center"/>
    </xf>
    <xf numFmtId="0" fontId="120" fillId="0" borderId="41" xfId="16" applyFont="1" applyFill="1" applyBorder="1" applyAlignment="1">
      <alignment vertical="center"/>
    </xf>
    <xf numFmtId="0" fontId="120" fillId="0" borderId="6" xfId="16" applyFont="1" applyFill="1" applyBorder="1" applyAlignment="1">
      <alignment vertical="center"/>
    </xf>
    <xf numFmtId="0" fontId="120" fillId="0" borderId="6" xfId="16" applyFont="1" applyFill="1" applyBorder="1" applyAlignment="1">
      <alignment horizontal="center" vertical="center"/>
    </xf>
    <xf numFmtId="182" fontId="120" fillId="0" borderId="11" xfId="16" applyNumberFormat="1" applyFont="1" applyFill="1" applyBorder="1" applyAlignment="1">
      <alignment horizontal="center" vertical="center"/>
    </xf>
    <xf numFmtId="0" fontId="120" fillId="0" borderId="58" xfId="16" applyFont="1" applyFill="1" applyBorder="1" applyAlignment="1">
      <alignment vertical="center"/>
    </xf>
    <xf numFmtId="0" fontId="134" fillId="0" borderId="0" xfId="16" applyFont="1" applyFill="1" applyAlignment="1">
      <alignment vertical="center"/>
    </xf>
    <xf numFmtId="0" fontId="120" fillId="0" borderId="33" xfId="16" applyFont="1" applyFill="1" applyBorder="1" applyAlignment="1">
      <alignment horizontal="center" vertical="center"/>
    </xf>
    <xf numFmtId="0" fontId="120" fillId="0" borderId="23" xfId="16" applyFont="1" applyFill="1" applyBorder="1" applyAlignment="1">
      <alignment horizontal="center" vertical="center" wrapText="1"/>
    </xf>
    <xf numFmtId="0" fontId="120" fillId="0" borderId="6" xfId="16" quotePrefix="1" applyFont="1" applyFill="1" applyBorder="1" applyAlignment="1">
      <alignment horizontal="center" vertical="center"/>
    </xf>
    <xf numFmtId="176" fontId="120" fillId="0" borderId="11" xfId="16" applyNumberFormat="1" applyFont="1" applyFill="1" applyBorder="1" applyAlignment="1">
      <alignment horizontal="center" vertical="center"/>
    </xf>
    <xf numFmtId="183" fontId="120" fillId="0" borderId="59" xfId="16" applyNumberFormat="1" applyFont="1" applyFill="1" applyBorder="1" applyAlignment="1">
      <alignment horizontal="right" vertical="center"/>
    </xf>
    <xf numFmtId="0" fontId="120" fillId="0" borderId="23" xfId="16" applyFont="1" applyFill="1" applyBorder="1" applyAlignment="1">
      <alignment horizontal="left" vertical="center"/>
    </xf>
    <xf numFmtId="0" fontId="120" fillId="0" borderId="0" xfId="16" applyFont="1" applyFill="1" applyBorder="1">
      <alignment vertical="center"/>
    </xf>
    <xf numFmtId="1" fontId="120" fillId="0" borderId="11" xfId="16" applyNumberFormat="1" applyFont="1" applyFill="1" applyBorder="1" applyAlignment="1">
      <alignment horizontal="center" vertical="center"/>
    </xf>
    <xf numFmtId="0" fontId="120" fillId="0" borderId="43" xfId="16" applyFont="1" applyFill="1" applyBorder="1" applyAlignment="1">
      <alignment horizontal="center" vertical="center" wrapText="1"/>
    </xf>
    <xf numFmtId="0" fontId="120" fillId="0" borderId="61" xfId="16" applyFont="1" applyFill="1" applyBorder="1" applyAlignment="1">
      <alignment horizontal="center" vertical="center"/>
    </xf>
    <xf numFmtId="182" fontId="120" fillId="0" borderId="59" xfId="16" applyNumberFormat="1" applyFont="1" applyFill="1" applyBorder="1" applyAlignment="1">
      <alignment horizontal="right" vertical="center"/>
    </xf>
    <xf numFmtId="0" fontId="135" fillId="0" borderId="0" xfId="16" applyFont="1" applyFill="1" applyAlignment="1">
      <alignment vertical="center"/>
    </xf>
    <xf numFmtId="0" fontId="136" fillId="0" borderId="0" xfId="16" applyFont="1" applyFill="1" applyBorder="1">
      <alignment vertical="center"/>
    </xf>
    <xf numFmtId="0" fontId="125" fillId="0" borderId="0" xfId="16" applyFont="1" applyFill="1" applyAlignment="1"/>
    <xf numFmtId="183" fontId="120" fillId="0" borderId="11" xfId="16" applyNumberFormat="1" applyFont="1" applyFill="1" applyBorder="1" applyAlignment="1">
      <alignment horizontal="center" vertical="center"/>
    </xf>
    <xf numFmtId="0" fontId="120" fillId="0" borderId="43" xfId="16" applyFont="1" applyFill="1" applyBorder="1" applyAlignment="1">
      <alignment horizontal="center" vertical="center"/>
    </xf>
    <xf numFmtId="0" fontId="120" fillId="0" borderId="31" xfId="16" applyFont="1" applyFill="1" applyBorder="1" applyAlignment="1">
      <alignment horizontal="center" vertical="center"/>
    </xf>
    <xf numFmtId="0" fontId="120" fillId="0" borderId="32" xfId="16" applyFont="1" applyFill="1" applyBorder="1" applyAlignment="1">
      <alignment horizontal="center" vertical="center" wrapText="1"/>
    </xf>
    <xf numFmtId="0" fontId="120" fillId="0" borderId="52" xfId="16" applyFont="1" applyFill="1" applyBorder="1" applyAlignment="1">
      <alignment horizontal="center" vertical="center"/>
    </xf>
    <xf numFmtId="180" fontId="120" fillId="0" borderId="53" xfId="16" applyNumberFormat="1" applyFont="1" applyFill="1" applyBorder="1" applyAlignment="1">
      <alignment horizontal="center" vertical="center"/>
    </xf>
    <xf numFmtId="183" fontId="120" fillId="0" borderId="63" xfId="16" applyNumberFormat="1" applyFont="1" applyFill="1" applyBorder="1" applyAlignment="1">
      <alignment horizontal="right" vertical="center"/>
    </xf>
    <xf numFmtId="0" fontId="120" fillId="0" borderId="62" xfId="16" applyFont="1" applyFill="1" applyBorder="1" applyAlignment="1">
      <alignment horizontal="left" vertical="center"/>
    </xf>
    <xf numFmtId="0" fontId="120" fillId="0" borderId="34" xfId="16" applyFont="1" applyFill="1" applyBorder="1" applyAlignment="1">
      <alignment horizontal="center" vertical="center"/>
    </xf>
    <xf numFmtId="0" fontId="123" fillId="0" borderId="0" xfId="16" applyFont="1" applyFill="1" applyAlignment="1">
      <alignment horizontal="center" vertical="center"/>
    </xf>
    <xf numFmtId="0" fontId="130" fillId="0" borderId="0" xfId="16" applyFont="1" applyFill="1" applyAlignment="1">
      <alignment horizontal="center" vertical="center"/>
    </xf>
    <xf numFmtId="0" fontId="130" fillId="0" borderId="82" xfId="16" applyFont="1" applyFill="1" applyBorder="1" applyAlignment="1">
      <alignment horizontal="center" vertical="center"/>
    </xf>
    <xf numFmtId="0" fontId="120" fillId="0" borderId="97" xfId="16" applyFont="1" applyFill="1" applyBorder="1" applyAlignment="1">
      <alignment horizontal="center" vertical="center" wrapText="1"/>
    </xf>
    <xf numFmtId="195" fontId="120" fillId="0" borderId="97" xfId="16" applyNumberFormat="1" applyFont="1" applyFill="1" applyBorder="1" applyAlignment="1">
      <alignment horizontal="center" vertical="center" wrapText="1"/>
    </xf>
    <xf numFmtId="235" fontId="120" fillId="0" borderId="97" xfId="16" applyNumberFormat="1" applyFont="1" applyFill="1" applyBorder="1" applyAlignment="1">
      <alignment horizontal="center" vertical="center" wrapText="1"/>
    </xf>
    <xf numFmtId="0" fontId="120" fillId="0" borderId="91" xfId="16" applyFont="1" applyFill="1" applyBorder="1" applyAlignment="1">
      <alignment horizontal="center" vertical="center" wrapText="1"/>
    </xf>
    <xf numFmtId="0" fontId="120" fillId="0" borderId="3" xfId="16" applyFont="1" applyFill="1" applyBorder="1" applyAlignment="1">
      <alignment horizontal="center" vertical="center" wrapText="1"/>
    </xf>
    <xf numFmtId="0" fontId="130" fillId="0" borderId="96" xfId="16" applyFont="1" applyFill="1" applyBorder="1" applyAlignment="1">
      <alignment horizontal="center" vertical="center"/>
    </xf>
    <xf numFmtId="0" fontId="120" fillId="0" borderId="1" xfId="16" applyFont="1" applyFill="1" applyBorder="1" applyAlignment="1">
      <alignment horizontal="center" vertical="center"/>
    </xf>
    <xf numFmtId="0" fontId="120" fillId="0" borderId="91" xfId="29" applyFont="1" applyFill="1" applyBorder="1" applyAlignment="1">
      <alignment horizontal="center" vertical="center"/>
    </xf>
    <xf numFmtId="183" fontId="120" fillId="0" borderId="91" xfId="16" applyNumberFormat="1" applyFont="1" applyFill="1" applyBorder="1" applyAlignment="1">
      <alignment horizontal="center" vertical="center"/>
    </xf>
    <xf numFmtId="41" fontId="120" fillId="0" borderId="91" xfId="27" applyFont="1" applyFill="1" applyBorder="1" applyAlignment="1">
      <alignment horizontal="center" vertical="center"/>
    </xf>
    <xf numFmtId="193" fontId="120" fillId="0" borderId="91" xfId="16" applyNumberFormat="1" applyFont="1" applyFill="1" applyBorder="1" applyAlignment="1">
      <alignment horizontal="center" vertical="center"/>
    </xf>
    <xf numFmtId="177" fontId="120" fillId="0" borderId="91" xfId="16" applyNumberFormat="1" applyFont="1" applyFill="1" applyBorder="1" applyAlignment="1">
      <alignment horizontal="center" vertical="center"/>
    </xf>
    <xf numFmtId="43" fontId="123" fillId="0" borderId="0" xfId="16" applyNumberFormat="1" applyFont="1" applyFill="1" applyAlignment="1">
      <alignment horizontal="center" vertical="center"/>
    </xf>
    <xf numFmtId="183" fontId="123" fillId="0" borderId="0" xfId="16" applyNumberFormat="1" applyFont="1" applyFill="1" applyAlignment="1">
      <alignment horizontal="center" vertical="center"/>
    </xf>
    <xf numFmtId="0" fontId="120" fillId="0" borderId="91" xfId="16" applyFont="1" applyFill="1" applyBorder="1" applyAlignment="1">
      <alignment horizontal="center" vertical="center"/>
    </xf>
    <xf numFmtId="0" fontId="120" fillId="0" borderId="48" xfId="16" applyFont="1" applyFill="1" applyBorder="1" applyAlignment="1">
      <alignment horizontal="center" vertical="center"/>
    </xf>
    <xf numFmtId="0" fontId="120" fillId="0" borderId="48" xfId="29" applyFont="1" applyFill="1" applyBorder="1" applyAlignment="1">
      <alignment horizontal="center" vertical="center"/>
    </xf>
    <xf numFmtId="183" fontId="120" fillId="0" borderId="48" xfId="16" applyNumberFormat="1" applyFont="1" applyFill="1" applyBorder="1" applyAlignment="1">
      <alignment horizontal="center" vertical="center"/>
    </xf>
    <xf numFmtId="41" fontId="120" fillId="0" borderId="48" xfId="27" applyFont="1" applyFill="1" applyBorder="1" applyAlignment="1">
      <alignment horizontal="center" vertical="center"/>
    </xf>
    <xf numFmtId="193" fontId="120" fillId="0" borderId="48" xfId="16" applyNumberFormat="1" applyFont="1" applyFill="1" applyBorder="1" applyAlignment="1">
      <alignment horizontal="center" vertical="center"/>
    </xf>
    <xf numFmtId="177" fontId="120" fillId="0" borderId="48" xfId="16" applyNumberFormat="1" applyFont="1" applyFill="1" applyBorder="1" applyAlignment="1">
      <alignment horizontal="center" vertical="center"/>
    </xf>
    <xf numFmtId="196" fontId="121" fillId="0" borderId="115" xfId="16" applyNumberFormat="1" applyFont="1" applyFill="1" applyBorder="1" applyAlignment="1">
      <alignment horizontal="center" vertical="center"/>
    </xf>
    <xf numFmtId="183" fontId="121" fillId="0" borderId="115" xfId="16" applyNumberFormat="1" applyFont="1" applyFill="1" applyBorder="1" applyAlignment="1">
      <alignment horizontal="center" vertical="center"/>
    </xf>
    <xf numFmtId="182" fontId="121" fillId="0" borderId="115" xfId="16" applyNumberFormat="1" applyFont="1" applyFill="1" applyBorder="1" applyAlignment="1">
      <alignment horizontal="center" vertical="center"/>
    </xf>
    <xf numFmtId="0" fontId="121" fillId="0" borderId="103" xfId="16" applyFont="1" applyFill="1" applyBorder="1" applyAlignment="1">
      <alignment horizontal="center" vertical="center"/>
    </xf>
    <xf numFmtId="0" fontId="120" fillId="0" borderId="0" xfId="16" applyFont="1" applyFill="1" applyAlignment="1">
      <alignment horizontal="center" vertical="center"/>
    </xf>
    <xf numFmtId="181" fontId="121" fillId="0" borderId="1" xfId="16" applyNumberFormat="1" applyFont="1" applyFill="1" applyBorder="1" applyAlignment="1">
      <alignment horizontal="center" vertical="center"/>
    </xf>
    <xf numFmtId="183" fontId="120" fillId="0" borderId="0" xfId="16" applyNumberFormat="1" applyFont="1" applyFill="1" applyAlignment="1">
      <alignment horizontal="center" vertical="center"/>
    </xf>
    <xf numFmtId="182" fontId="120" fillId="0" borderId="0" xfId="16" applyNumberFormat="1" applyFont="1" applyFill="1" applyAlignment="1">
      <alignment horizontal="center" vertical="center"/>
    </xf>
    <xf numFmtId="195" fontId="120" fillId="0" borderId="91" xfId="16" applyNumberFormat="1" applyFont="1" applyFill="1" applyBorder="1" applyAlignment="1">
      <alignment horizontal="center" vertical="center" wrapText="1"/>
    </xf>
    <xf numFmtId="235" fontId="120" fillId="0" borderId="91" xfId="16" applyNumberFormat="1" applyFont="1" applyFill="1" applyBorder="1" applyAlignment="1">
      <alignment horizontal="center" vertical="center" wrapText="1"/>
    </xf>
    <xf numFmtId="0" fontId="120" fillId="0" borderId="1" xfId="29" applyFont="1" applyFill="1" applyBorder="1" applyAlignment="1">
      <alignment horizontal="center" vertical="center"/>
    </xf>
    <xf numFmtId="183" fontId="120" fillId="0" borderId="1" xfId="16" applyNumberFormat="1" applyFont="1" applyFill="1" applyBorder="1" applyAlignment="1">
      <alignment horizontal="center" vertical="center"/>
    </xf>
    <xf numFmtId="41" fontId="120" fillId="0" borderId="1" xfId="27" applyFont="1" applyFill="1" applyBorder="1" applyAlignment="1">
      <alignment horizontal="center" vertical="center"/>
    </xf>
    <xf numFmtId="193" fontId="120" fillId="0" borderId="1" xfId="16" applyNumberFormat="1" applyFont="1" applyFill="1" applyBorder="1" applyAlignment="1">
      <alignment horizontal="center" vertical="center"/>
    </xf>
    <xf numFmtId="177" fontId="120" fillId="0" borderId="1" xfId="16" applyNumberFormat="1" applyFont="1" applyFill="1" applyBorder="1" applyAlignment="1">
      <alignment horizontal="center" vertical="center"/>
    </xf>
    <xf numFmtId="41" fontId="123" fillId="0" borderId="0" xfId="0" applyNumberFormat="1" applyFont="1" applyFill="1" applyAlignment="1">
      <alignment vertical="center"/>
    </xf>
    <xf numFmtId="41" fontId="130" fillId="0" borderId="0" xfId="0" applyNumberFormat="1" applyFont="1" applyFill="1" applyAlignment="1">
      <alignment vertical="center"/>
    </xf>
    <xf numFmtId="183" fontId="123" fillId="0" borderId="79" xfId="16" applyNumberFormat="1" applyFont="1" applyFill="1" applyBorder="1" applyAlignment="1">
      <alignment horizontal="center" vertical="center"/>
    </xf>
    <xf numFmtId="0" fontId="123" fillId="0" borderId="79" xfId="0" applyFont="1" applyFill="1" applyBorder="1" applyAlignment="1">
      <alignment vertical="center"/>
    </xf>
    <xf numFmtId="0" fontId="123" fillId="0" borderId="79" xfId="16" applyFont="1" applyFill="1" applyBorder="1" applyAlignment="1">
      <alignment horizontal="center" vertical="center"/>
    </xf>
    <xf numFmtId="177" fontId="121" fillId="0" borderId="115" xfId="16" applyNumberFormat="1" applyFont="1" applyFill="1" applyBorder="1" applyAlignment="1">
      <alignment horizontal="center" vertical="center"/>
    </xf>
    <xf numFmtId="0" fontId="130" fillId="0" borderId="1" xfId="16" applyFont="1" applyFill="1" applyBorder="1" applyAlignment="1">
      <alignment horizontal="center" vertical="center"/>
    </xf>
    <xf numFmtId="182" fontId="123" fillId="0" borderId="0" xfId="16" applyNumberFormat="1" applyFont="1" applyFill="1" applyAlignment="1">
      <alignment horizontal="center" vertical="center"/>
    </xf>
    <xf numFmtId="1" fontId="123" fillId="0" borderId="0" xfId="0" applyNumberFormat="1" applyFont="1" applyFill="1" applyAlignment="1">
      <alignment vertical="center"/>
    </xf>
    <xf numFmtId="0" fontId="120" fillId="0" borderId="91" xfId="0" applyNumberFormat="1" applyFont="1" applyFill="1" applyBorder="1" applyAlignment="1">
      <alignment horizontal="center" vertical="center" wrapText="1"/>
    </xf>
    <xf numFmtId="176" fontId="120" fillId="0" borderId="91" xfId="0" applyNumberFormat="1" applyFont="1" applyFill="1" applyBorder="1" applyAlignment="1">
      <alignment horizontal="left" vertical="center"/>
    </xf>
    <xf numFmtId="2" fontId="120" fillId="0" borderId="119" xfId="0" applyNumberFormat="1" applyFont="1" applyFill="1" applyBorder="1" applyAlignment="1">
      <alignment vertical="center"/>
    </xf>
    <xf numFmtId="2" fontId="120" fillId="0" borderId="91" xfId="0" applyNumberFormat="1" applyFont="1" applyFill="1" applyBorder="1" applyAlignment="1">
      <alignment vertical="center"/>
    </xf>
    <xf numFmtId="0" fontId="120" fillId="0" borderId="91" xfId="0" applyFont="1" applyFill="1" applyBorder="1" applyAlignment="1">
      <alignment horizontal="left" vertical="center"/>
    </xf>
    <xf numFmtId="182" fontId="120" fillId="0" borderId="119" xfId="0" applyNumberFormat="1" applyFont="1" applyFill="1" applyBorder="1" applyAlignment="1">
      <alignment vertical="center"/>
    </xf>
    <xf numFmtId="182" fontId="120" fillId="0" borderId="91" xfId="0" applyNumberFormat="1" applyFont="1" applyFill="1" applyBorder="1" applyAlignment="1">
      <alignment horizontal="left" vertical="center"/>
    </xf>
    <xf numFmtId="0" fontId="120" fillId="0" borderId="91" xfId="0" applyNumberFormat="1" applyFont="1" applyFill="1" applyBorder="1" applyAlignment="1">
      <alignment vertical="center"/>
    </xf>
    <xf numFmtId="1" fontId="120" fillId="0" borderId="91" xfId="0" applyNumberFormat="1" applyFont="1" applyFill="1" applyBorder="1" applyAlignment="1">
      <alignment vertical="center"/>
    </xf>
    <xf numFmtId="182" fontId="120" fillId="0" borderId="91" xfId="0" applyNumberFormat="1" applyFont="1" applyFill="1" applyBorder="1" applyAlignment="1">
      <alignment vertical="center"/>
    </xf>
    <xf numFmtId="176" fontId="120" fillId="0" borderId="119" xfId="0" applyNumberFormat="1" applyFont="1" applyFill="1" applyBorder="1" applyAlignment="1">
      <alignment vertical="center"/>
    </xf>
    <xf numFmtId="1" fontId="121" fillId="0" borderId="91" xfId="0" applyNumberFormat="1" applyFont="1" applyFill="1" applyBorder="1" applyAlignment="1">
      <alignment horizontal="center" vertical="center"/>
    </xf>
    <xf numFmtId="2" fontId="121" fillId="0" borderId="91" xfId="0" applyNumberFormat="1" applyFont="1" applyFill="1" applyBorder="1" applyAlignment="1">
      <alignment horizontal="center" vertical="center"/>
    </xf>
    <xf numFmtId="0" fontId="137" fillId="0" borderId="0" xfId="0" applyFont="1" applyAlignment="1">
      <alignment horizontal="center" vertical="center"/>
    </xf>
    <xf numFmtId="0" fontId="137" fillId="0" borderId="0" xfId="0" applyFont="1" applyFill="1" applyAlignment="1">
      <alignment horizontal="center" vertical="center"/>
    </xf>
    <xf numFmtId="0" fontId="138" fillId="0" borderId="0" xfId="0" applyFont="1" applyFill="1" applyAlignment="1">
      <alignment horizontal="left" vertical="center"/>
    </xf>
    <xf numFmtId="0" fontId="136" fillId="0" borderId="0" xfId="0" applyFont="1" applyFill="1" applyAlignment="1">
      <alignment horizontal="center" vertical="center"/>
    </xf>
    <xf numFmtId="232" fontId="120" fillId="0" borderId="0" xfId="0" applyNumberFormat="1" applyFont="1" applyFill="1" applyAlignment="1">
      <alignment horizontal="center" vertical="center"/>
    </xf>
    <xf numFmtId="0" fontId="120" fillId="0" borderId="0" xfId="0" applyFont="1" applyFill="1" applyAlignment="1">
      <alignment horizontal="center" vertical="center" shrinkToFit="1"/>
    </xf>
    <xf numFmtId="1" fontId="120" fillId="0" borderId="0" xfId="0" applyNumberFormat="1" applyFont="1" applyFill="1" applyAlignment="1">
      <alignment horizontal="center" vertical="center"/>
    </xf>
    <xf numFmtId="0" fontId="119" fillId="0" borderId="0" xfId="0" applyNumberFormat="1" applyFont="1" applyFill="1" applyBorder="1" applyAlignment="1">
      <alignment vertical="center"/>
    </xf>
    <xf numFmtId="0" fontId="119" fillId="0" borderId="0" xfId="0" applyNumberFormat="1" applyFont="1" applyFill="1" applyBorder="1" applyAlignment="1">
      <alignment horizontal="center" vertical="center"/>
    </xf>
    <xf numFmtId="0" fontId="139" fillId="0" borderId="0" xfId="0" applyNumberFormat="1" applyFont="1" applyFill="1" applyBorder="1" applyAlignment="1">
      <alignment vertical="center"/>
    </xf>
    <xf numFmtId="0" fontId="122" fillId="0" borderId="0" xfId="0" applyNumberFormat="1" applyFont="1" applyFill="1" applyBorder="1" applyAlignment="1">
      <alignment vertical="center"/>
    </xf>
    <xf numFmtId="0" fontId="132" fillId="0" borderId="0" xfId="0" applyFont="1" applyFill="1" applyAlignment="1">
      <alignment horizontal="center" vertical="center"/>
    </xf>
    <xf numFmtId="0" fontId="140" fillId="0" borderId="0" xfId="0" applyFont="1" applyFill="1" applyAlignment="1">
      <alignment horizontal="center" vertical="center"/>
    </xf>
    <xf numFmtId="0" fontId="121" fillId="0" borderId="107" xfId="0" applyNumberFormat="1" applyFont="1" applyFill="1" applyBorder="1" applyAlignment="1">
      <alignment horizontal="center" vertical="center"/>
    </xf>
    <xf numFmtId="0" fontId="121" fillId="0" borderId="108" xfId="0" applyNumberFormat="1" applyFont="1" applyFill="1" applyBorder="1" applyAlignment="1">
      <alignment horizontal="center" vertical="center"/>
    </xf>
    <xf numFmtId="0" fontId="121" fillId="0" borderId="91" xfId="0" applyNumberFormat="1" applyFont="1" applyFill="1" applyBorder="1" applyAlignment="1">
      <alignment horizontal="center" vertical="center"/>
    </xf>
    <xf numFmtId="0" fontId="121" fillId="0" borderId="91" xfId="0" applyNumberFormat="1" applyFont="1" applyFill="1" applyBorder="1" applyAlignment="1">
      <alignment horizontal="center" vertical="center" wrapText="1"/>
    </xf>
    <xf numFmtId="0" fontId="121" fillId="0" borderId="2" xfId="0" applyNumberFormat="1" applyFont="1" applyFill="1" applyBorder="1" applyAlignment="1">
      <alignment horizontal="center" vertical="center"/>
    </xf>
    <xf numFmtId="0" fontId="121" fillId="0" borderId="2" xfId="0" applyFont="1" applyFill="1" applyBorder="1" applyAlignment="1">
      <alignment horizontal="center" vertical="center"/>
    </xf>
    <xf numFmtId="0" fontId="121" fillId="0" borderId="2" xfId="0" applyFont="1" applyBorder="1" applyAlignment="1">
      <alignment horizontal="center" vertical="center" wrapText="1"/>
    </xf>
    <xf numFmtId="0" fontId="121" fillId="0" borderId="91" xfId="0" applyFont="1" applyBorder="1" applyAlignment="1">
      <alignment horizontal="center" vertical="center" wrapText="1"/>
    </xf>
    <xf numFmtId="0" fontId="121" fillId="0" borderId="91" xfId="0" applyFont="1" applyBorder="1" applyAlignment="1">
      <alignment horizontal="center" vertical="center"/>
    </xf>
    <xf numFmtId="0" fontId="121" fillId="0" borderId="2" xfId="0" applyNumberFormat="1" applyFont="1" applyFill="1" applyBorder="1" applyAlignment="1">
      <alignment horizontal="center" vertical="center" wrapText="1" shrinkToFit="1"/>
    </xf>
    <xf numFmtId="2" fontId="120" fillId="0" borderId="91" xfId="0" applyNumberFormat="1" applyFont="1" applyFill="1" applyBorder="1" applyAlignment="1">
      <alignment horizontal="center" vertical="center"/>
    </xf>
    <xf numFmtId="176" fontId="120" fillId="0" borderId="91" xfId="0" applyNumberFormat="1" applyFont="1" applyFill="1" applyBorder="1" applyAlignment="1">
      <alignment horizontal="center" vertical="center"/>
    </xf>
    <xf numFmtId="1" fontId="120" fillId="0" borderId="91" xfId="0" applyNumberFormat="1" applyFont="1" applyFill="1" applyBorder="1" applyAlignment="1">
      <alignment horizontal="center" vertical="center"/>
    </xf>
    <xf numFmtId="1" fontId="120" fillId="0" borderId="90" xfId="0" applyNumberFormat="1" applyFont="1" applyFill="1" applyBorder="1" applyAlignment="1">
      <alignment vertical="center"/>
    </xf>
    <xf numFmtId="1" fontId="120" fillId="0" borderId="2" xfId="0" applyNumberFormat="1" applyFont="1" applyFill="1" applyBorder="1" applyAlignment="1">
      <alignment horizontal="center" vertical="center"/>
    </xf>
    <xf numFmtId="1" fontId="120" fillId="0" borderId="91" xfId="0" applyNumberFormat="1" applyFont="1" applyFill="1" applyBorder="1" applyAlignment="1">
      <alignment horizontal="center" vertical="center" wrapText="1" shrinkToFit="1"/>
    </xf>
    <xf numFmtId="0" fontId="120" fillId="0" borderId="2" xfId="0" applyNumberFormat="1" applyFont="1" applyFill="1" applyBorder="1" applyAlignment="1">
      <alignment horizontal="center" vertical="center" wrapText="1" shrinkToFit="1"/>
    </xf>
    <xf numFmtId="0" fontId="120" fillId="0" borderId="91" xfId="0" applyNumberFormat="1" applyFont="1" applyFill="1" applyBorder="1" applyAlignment="1">
      <alignment horizontal="center" vertical="center" wrapText="1" shrinkToFit="1"/>
    </xf>
    <xf numFmtId="177" fontId="120" fillId="0" borderId="91" xfId="0" applyNumberFormat="1" applyFont="1" applyFill="1" applyBorder="1" applyAlignment="1">
      <alignment horizontal="center" vertical="center"/>
    </xf>
    <xf numFmtId="43" fontId="120" fillId="0" borderId="91" xfId="0" applyNumberFormat="1" applyFont="1" applyFill="1" applyBorder="1" applyAlignment="1">
      <alignment horizontal="center" vertical="center" wrapText="1" shrinkToFit="1"/>
    </xf>
    <xf numFmtId="252" fontId="120" fillId="0" borderId="91" xfId="0" applyNumberFormat="1" applyFont="1" applyFill="1" applyBorder="1" applyAlignment="1">
      <alignment horizontal="center" vertical="center" wrapText="1" shrinkToFit="1"/>
    </xf>
    <xf numFmtId="0" fontId="121" fillId="0" borderId="31" xfId="0" applyNumberFormat="1" applyFont="1" applyFill="1" applyBorder="1" applyAlignment="1">
      <alignment horizontal="center" vertical="center"/>
    </xf>
    <xf numFmtId="2" fontId="121" fillId="0" borderId="3" xfId="0" applyNumberFormat="1" applyFont="1" applyFill="1" applyBorder="1" applyAlignment="1">
      <alignment horizontal="center" vertical="center"/>
    </xf>
    <xf numFmtId="176" fontId="121" fillId="0" borderId="3" xfId="0" applyNumberFormat="1" applyFont="1" applyFill="1" applyBorder="1" applyAlignment="1">
      <alignment horizontal="center" vertical="center"/>
    </xf>
    <xf numFmtId="1" fontId="121" fillId="0" borderId="3" xfId="0" applyNumberFormat="1" applyFont="1" applyFill="1" applyBorder="1" applyAlignment="1">
      <alignment horizontal="center" vertical="center"/>
    </xf>
    <xf numFmtId="1" fontId="121" fillId="0" borderId="32" xfId="0" applyNumberFormat="1" applyFont="1" applyFill="1" applyBorder="1" applyAlignment="1">
      <alignment vertical="center"/>
    </xf>
    <xf numFmtId="1" fontId="121" fillId="0" borderId="31" xfId="0" applyNumberFormat="1" applyFont="1" applyFill="1" applyBorder="1" applyAlignment="1">
      <alignment horizontal="center" vertical="center"/>
    </xf>
    <xf numFmtId="43" fontId="121" fillId="0" borderId="3" xfId="0" applyNumberFormat="1" applyFont="1" applyFill="1" applyBorder="1" applyAlignment="1">
      <alignment horizontal="center" vertical="center" wrapText="1" shrinkToFit="1"/>
    </xf>
    <xf numFmtId="252" fontId="121" fillId="0" borderId="31" xfId="0" applyNumberFormat="1" applyFont="1" applyFill="1" applyBorder="1" applyAlignment="1">
      <alignment horizontal="center" vertical="center" wrapText="1" shrinkToFit="1"/>
    </xf>
    <xf numFmtId="252" fontId="121" fillId="0" borderId="3" xfId="0" applyNumberFormat="1" applyFont="1" applyFill="1" applyBorder="1" applyAlignment="1">
      <alignment horizontal="center" vertical="center" wrapText="1" shrinkToFit="1"/>
    </xf>
    <xf numFmtId="0" fontId="123" fillId="0" borderId="0" xfId="824" applyFont="1" applyAlignment="1">
      <alignment vertical="center"/>
    </xf>
    <xf numFmtId="0" fontId="123" fillId="0" borderId="0" xfId="824" applyFont="1">
      <alignment vertical="center"/>
    </xf>
    <xf numFmtId="0" fontId="120" fillId="0" borderId="3" xfId="0" applyFont="1" applyBorder="1" applyAlignment="1">
      <alignment horizontal="center" vertical="center"/>
    </xf>
    <xf numFmtId="0" fontId="120" fillId="0" borderId="91" xfId="16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horizontal="center" vertical="center"/>
    </xf>
    <xf numFmtId="0" fontId="120" fillId="0" borderId="0" xfId="0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horizontal="center" vertical="center"/>
    </xf>
    <xf numFmtId="0" fontId="120" fillId="0" borderId="91" xfId="16" applyFont="1" applyFill="1" applyBorder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20" fillId="0" borderId="91" xfId="0" applyFont="1" applyFill="1" applyBorder="1" applyAlignment="1">
      <alignment horizontal="centerContinuous" vertical="center"/>
    </xf>
    <xf numFmtId="0" fontId="123" fillId="0" borderId="0" xfId="0" applyFont="1" applyFill="1" applyAlignment="1">
      <alignment horizontal="center" vertical="center"/>
    </xf>
    <xf numFmtId="0" fontId="123" fillId="0" borderId="0" xfId="0" applyFont="1" applyFill="1" applyAlignment="1">
      <alignment horizontal="center" vertical="center"/>
    </xf>
    <xf numFmtId="0" fontId="120" fillId="0" borderId="48" xfId="0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vertical="center"/>
    </xf>
    <xf numFmtId="181" fontId="120" fillId="0" borderId="91" xfId="820" applyNumberFormat="1" applyFont="1" applyFill="1" applyBorder="1" applyAlignment="1">
      <alignment horizontal="center" vertical="center"/>
    </xf>
    <xf numFmtId="183" fontId="120" fillId="0" borderId="91" xfId="2" applyNumberFormat="1" applyFont="1" applyFill="1" applyBorder="1" applyAlignment="1">
      <alignment horizontal="center" vertical="center"/>
    </xf>
    <xf numFmtId="0" fontId="124" fillId="0" borderId="0" xfId="835" applyFont="1" applyFill="1">
      <alignment vertical="center"/>
    </xf>
    <xf numFmtId="0" fontId="125" fillId="0" borderId="0" xfId="0" applyFont="1" applyFill="1" applyAlignment="1">
      <alignment horizontal="center" vertical="center"/>
    </xf>
    <xf numFmtId="0" fontId="121" fillId="0" borderId="107" xfId="0" applyFont="1" applyFill="1" applyBorder="1" applyAlignment="1">
      <alignment horizontal="center" vertical="center" shrinkToFit="1"/>
    </xf>
    <xf numFmtId="182" fontId="121" fillId="0" borderId="107" xfId="0" applyNumberFormat="1" applyFont="1" applyFill="1" applyBorder="1" applyAlignment="1">
      <alignment horizontal="center" vertical="center"/>
    </xf>
    <xf numFmtId="182" fontId="121" fillId="0" borderId="112" xfId="0" applyNumberFormat="1" applyFont="1" applyFill="1" applyBorder="1" applyAlignment="1">
      <alignment horizontal="center" vertical="center"/>
    </xf>
    <xf numFmtId="182" fontId="120" fillId="0" borderId="79" xfId="0" applyNumberFormat="1" applyFont="1" applyFill="1" applyBorder="1" applyAlignment="1">
      <alignment horizontal="center" vertical="center"/>
    </xf>
    <xf numFmtId="0" fontId="120" fillId="0" borderId="79" xfId="0" applyFont="1" applyFill="1" applyBorder="1" applyAlignment="1">
      <alignment horizontal="center" vertical="center"/>
    </xf>
    <xf numFmtId="41" fontId="121" fillId="0" borderId="107" xfId="27" applyFont="1" applyFill="1" applyBorder="1" applyAlignment="1">
      <alignment horizontal="center" vertical="center"/>
    </xf>
    <xf numFmtId="0" fontId="121" fillId="0" borderId="91" xfId="0" applyFont="1" applyFill="1" applyBorder="1" applyAlignment="1">
      <alignment horizontal="center" vertical="center" shrinkToFit="1"/>
    </xf>
    <xf numFmtId="183" fontId="121" fillId="0" borderId="91" xfId="0" applyNumberFormat="1" applyFont="1" applyFill="1" applyBorder="1" applyAlignment="1">
      <alignment horizontal="center" vertical="center"/>
    </xf>
    <xf numFmtId="184" fontId="121" fillId="0" borderId="90" xfId="0" applyNumberFormat="1" applyFont="1" applyFill="1" applyBorder="1" applyAlignment="1">
      <alignment horizontal="center" vertical="center"/>
    </xf>
    <xf numFmtId="0" fontId="121" fillId="0" borderId="3" xfId="0" applyFont="1" applyFill="1" applyBorder="1" applyAlignment="1">
      <alignment horizontal="center" vertical="center" wrapText="1" shrinkToFit="1"/>
    </xf>
    <xf numFmtId="183" fontId="121" fillId="0" borderId="3" xfId="0" applyNumberFormat="1" applyFont="1" applyFill="1" applyBorder="1" applyAlignment="1">
      <alignment horizontal="center" vertical="center"/>
    </xf>
    <xf numFmtId="0" fontId="121" fillId="0" borderId="32" xfId="0" quotePrefix="1" applyFont="1" applyFill="1" applyBorder="1" applyAlignment="1">
      <alignment horizontal="center" vertical="center"/>
    </xf>
    <xf numFmtId="0" fontId="120" fillId="0" borderId="96" xfId="0" applyFont="1" applyFill="1" applyBorder="1" applyAlignment="1">
      <alignment horizontal="center" vertical="center"/>
    </xf>
    <xf numFmtId="0" fontId="120" fillId="0" borderId="1" xfId="0" applyFont="1" applyFill="1" applyBorder="1" applyAlignment="1">
      <alignment vertical="center"/>
    </xf>
    <xf numFmtId="181" fontId="120" fillId="0" borderId="1" xfId="820" applyNumberFormat="1" applyFont="1" applyFill="1" applyBorder="1" applyAlignment="1">
      <alignment horizontal="center" vertical="center"/>
    </xf>
    <xf numFmtId="182" fontId="120" fillId="0" borderId="0" xfId="0" applyNumberFormat="1" applyFont="1" applyFill="1" applyAlignment="1">
      <alignment horizontal="center" vertical="center"/>
    </xf>
    <xf numFmtId="0" fontId="120" fillId="0" borderId="0" xfId="0" applyFont="1" applyFill="1" applyAlignment="1">
      <alignment horizontal="center"/>
    </xf>
    <xf numFmtId="41" fontId="120" fillId="0" borderId="0" xfId="0" applyNumberFormat="1" applyFont="1" applyFill="1" applyAlignment="1">
      <alignment horizontal="center"/>
    </xf>
    <xf numFmtId="0" fontId="37" fillId="0" borderId="0" xfId="15">
      <alignment vertical="center"/>
    </xf>
    <xf numFmtId="0" fontId="37" fillId="0" borderId="0" xfId="15">
      <alignment vertical="center"/>
    </xf>
    <xf numFmtId="0" fontId="37" fillId="0" borderId="0" xfId="15">
      <alignment vertical="center"/>
    </xf>
    <xf numFmtId="0" fontId="37" fillId="0" borderId="0" xfId="15" applyAlignment="1">
      <alignment horizontal="center" vertical="center"/>
    </xf>
    <xf numFmtId="0" fontId="123" fillId="0" borderId="0" xfId="0" applyFont="1" applyFill="1" applyAlignment="1">
      <alignment vertical="top"/>
    </xf>
    <xf numFmtId="0" fontId="120" fillId="0" borderId="91" xfId="0" applyNumberFormat="1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horizontal="center" vertical="center"/>
    </xf>
    <xf numFmtId="0" fontId="120" fillId="0" borderId="0" xfId="0" applyFont="1" applyFill="1" applyBorder="1" applyAlignment="1">
      <alignment horizontal="center" vertical="center"/>
    </xf>
    <xf numFmtId="242" fontId="120" fillId="0" borderId="91" xfId="0" applyNumberFormat="1" applyFont="1" applyFill="1" applyBorder="1" applyAlignment="1">
      <alignment horizontal="center" vertical="center"/>
    </xf>
    <xf numFmtId="0" fontId="123" fillId="0" borderId="0" xfId="0" applyFont="1" applyFill="1" applyAlignment="1">
      <alignment horizontal="center" vertical="center"/>
    </xf>
    <xf numFmtId="0" fontId="130" fillId="0" borderId="0" xfId="0" applyFont="1" applyFill="1" applyAlignment="1">
      <alignment vertical="center"/>
    </xf>
    <xf numFmtId="0" fontId="120" fillId="0" borderId="91" xfId="0" applyFont="1" applyFill="1" applyBorder="1" applyAlignment="1">
      <alignment horizontal="center" vertical="center"/>
    </xf>
    <xf numFmtId="0" fontId="120" fillId="0" borderId="91" xfId="0" applyNumberFormat="1" applyFont="1" applyFill="1" applyBorder="1" applyAlignment="1">
      <alignment horizontal="center" vertical="center"/>
    </xf>
    <xf numFmtId="0" fontId="120" fillId="0" borderId="91" xfId="16" applyFont="1" applyFill="1" applyBorder="1" applyAlignment="1">
      <alignment horizontal="center" vertical="center"/>
    </xf>
    <xf numFmtId="242" fontId="120" fillId="0" borderId="91" xfId="0" applyNumberFormat="1" applyFont="1" applyFill="1" applyBorder="1" applyAlignment="1">
      <alignment horizontal="center" vertical="center"/>
    </xf>
    <xf numFmtId="0" fontId="123" fillId="0" borderId="0" xfId="0" applyFont="1" applyFill="1" applyAlignment="1">
      <alignment horizontal="center" vertical="center"/>
    </xf>
    <xf numFmtId="0" fontId="3" fillId="0" borderId="0" xfId="837">
      <alignment vertical="center"/>
    </xf>
    <xf numFmtId="0" fontId="3" fillId="0" borderId="0" xfId="837">
      <alignment vertical="center"/>
    </xf>
    <xf numFmtId="189" fontId="120" fillId="0" borderId="91" xfId="2" applyNumberFormat="1" applyFont="1" applyFill="1" applyBorder="1" applyAlignment="1">
      <alignment horizontal="center" vertical="center"/>
    </xf>
    <xf numFmtId="0" fontId="123" fillId="0" borderId="91" xfId="0" applyFont="1" applyFill="1" applyBorder="1" applyAlignment="1">
      <alignment vertical="center"/>
    </xf>
    <xf numFmtId="0" fontId="123" fillId="0" borderId="0" xfId="0" applyFont="1" applyFill="1" applyBorder="1" applyAlignment="1">
      <alignment vertical="center"/>
    </xf>
    <xf numFmtId="0" fontId="3" fillId="0" borderId="0" xfId="837">
      <alignment vertical="center"/>
    </xf>
    <xf numFmtId="0" fontId="3" fillId="0" borderId="0" xfId="837" applyAlignment="1">
      <alignment horizontal="center" vertical="center"/>
    </xf>
    <xf numFmtId="0" fontId="120" fillId="0" borderId="48" xfId="0" applyNumberFormat="1" applyFont="1" applyFill="1" applyBorder="1" applyAlignment="1">
      <alignment horizontal="center" vertical="center"/>
    </xf>
    <xf numFmtId="41" fontId="120" fillId="0" borderId="48" xfId="0" applyNumberFormat="1" applyFont="1" applyFill="1" applyBorder="1" applyAlignment="1">
      <alignment horizontal="center" vertical="center"/>
    </xf>
    <xf numFmtId="242" fontId="120" fillId="0" borderId="48" xfId="0" applyNumberFormat="1" applyFont="1" applyFill="1" applyBorder="1" applyAlignment="1">
      <alignment horizontal="center" vertical="center"/>
    </xf>
    <xf numFmtId="0" fontId="120" fillId="0" borderId="1" xfId="0" applyNumberFormat="1" applyFont="1" applyFill="1" applyBorder="1" applyAlignment="1">
      <alignment horizontal="center" vertical="center"/>
    </xf>
    <xf numFmtId="41" fontId="120" fillId="0" borderId="1" xfId="0" applyNumberFormat="1" applyFont="1" applyFill="1" applyBorder="1" applyAlignment="1">
      <alignment horizontal="center" vertical="center"/>
    </xf>
    <xf numFmtId="242" fontId="120" fillId="0" borderId="1" xfId="0" applyNumberFormat="1" applyFont="1" applyFill="1" applyBorder="1" applyAlignment="1">
      <alignment horizontal="center" vertical="center"/>
    </xf>
    <xf numFmtId="0" fontId="121" fillId="0" borderId="107" xfId="0" applyFont="1" applyFill="1" applyBorder="1" applyAlignment="1">
      <alignment horizontal="center" vertical="center" wrapText="1"/>
    </xf>
    <xf numFmtId="242" fontId="121" fillId="0" borderId="107" xfId="0" applyNumberFormat="1" applyFont="1" applyFill="1" applyBorder="1" applyAlignment="1">
      <alignment horizontal="center" vertical="center"/>
    </xf>
    <xf numFmtId="41" fontId="121" fillId="0" borderId="112" xfId="0" applyNumberFormat="1" applyFont="1" applyFill="1" applyBorder="1" applyAlignment="1">
      <alignment horizontal="center" vertical="center"/>
    </xf>
    <xf numFmtId="0" fontId="121" fillId="0" borderId="3" xfId="0" applyFont="1" applyFill="1" applyBorder="1" applyAlignment="1">
      <alignment horizontal="center" vertical="center" wrapText="1"/>
    </xf>
    <xf numFmtId="242" fontId="121" fillId="0" borderId="3" xfId="0" applyNumberFormat="1" applyFont="1" applyFill="1" applyBorder="1" applyAlignment="1">
      <alignment horizontal="center" vertical="center"/>
    </xf>
    <xf numFmtId="41" fontId="121" fillId="0" borderId="32" xfId="0" applyNumberFormat="1" applyFont="1" applyFill="1" applyBorder="1" applyAlignment="1">
      <alignment horizontal="center" vertical="center"/>
    </xf>
    <xf numFmtId="0" fontId="121" fillId="0" borderId="115" xfId="0" applyFont="1" applyFill="1" applyBorder="1" applyAlignment="1">
      <alignment horizontal="center" vertical="center"/>
    </xf>
    <xf numFmtId="242" fontId="121" fillId="0" borderId="115" xfId="0" applyNumberFormat="1" applyFont="1" applyFill="1" applyBorder="1" applyAlignment="1">
      <alignment horizontal="center" vertical="center"/>
    </xf>
    <xf numFmtId="41" fontId="121" fillId="0" borderId="103" xfId="0" applyNumberFormat="1" applyFont="1" applyFill="1" applyBorder="1" applyAlignment="1">
      <alignment horizontal="center" vertical="center"/>
    </xf>
    <xf numFmtId="0" fontId="2" fillId="0" borderId="0" xfId="837" applyFont="1">
      <alignment vertical="center"/>
    </xf>
    <xf numFmtId="0" fontId="143" fillId="0" borderId="91" xfId="0" applyNumberFormat="1" applyFont="1" applyFill="1" applyBorder="1" applyAlignment="1">
      <alignment horizontal="center" vertical="center"/>
    </xf>
    <xf numFmtId="181" fontId="143" fillId="0" borderId="91" xfId="820" applyNumberFormat="1" applyFont="1" applyFill="1" applyBorder="1" applyAlignment="1">
      <alignment horizontal="center" vertical="center"/>
    </xf>
    <xf numFmtId="0" fontId="142" fillId="0" borderId="0" xfId="836" applyFont="1" applyAlignment="1">
      <alignment horizontal="center" vertical="center"/>
    </xf>
    <xf numFmtId="0" fontId="120" fillId="0" borderId="91" xfId="0" applyNumberFormat="1" applyFont="1" applyFill="1" applyBorder="1" applyAlignment="1">
      <alignment horizontal="center" vertical="center" wrapText="1" shrinkToFit="1"/>
    </xf>
    <xf numFmtId="0" fontId="120" fillId="0" borderId="91" xfId="0" applyNumberFormat="1" applyFont="1" applyFill="1" applyBorder="1" applyAlignment="1">
      <alignment horizontal="center" vertical="center" shrinkToFit="1"/>
    </xf>
    <xf numFmtId="1" fontId="120" fillId="0" borderId="91" xfId="0" applyNumberFormat="1" applyFont="1" applyFill="1" applyBorder="1" applyAlignment="1">
      <alignment horizontal="center" vertical="center"/>
    </xf>
    <xf numFmtId="0" fontId="120" fillId="0" borderId="91" xfId="0" applyNumberFormat="1" applyFont="1" applyFill="1" applyBorder="1" applyAlignment="1">
      <alignment horizontal="center" vertical="center"/>
    </xf>
    <xf numFmtId="0" fontId="120" fillId="0" borderId="91" xfId="0" applyNumberFormat="1" applyFont="1" applyFill="1" applyBorder="1" applyAlignment="1">
      <alignment horizontal="center" vertical="center" wrapText="1"/>
    </xf>
    <xf numFmtId="0" fontId="120" fillId="0" borderId="91" xfId="0" applyFont="1" applyFill="1" applyBorder="1" applyAlignment="1">
      <alignment horizontal="center" vertical="center"/>
    </xf>
    <xf numFmtId="0" fontId="120" fillId="0" borderId="95" xfId="0" applyNumberFormat="1" applyFont="1" applyFill="1" applyBorder="1" applyAlignment="1">
      <alignment horizontal="center" vertical="center"/>
    </xf>
    <xf numFmtId="0" fontId="120" fillId="0" borderId="58" xfId="0" applyNumberFormat="1" applyFont="1" applyFill="1" applyBorder="1" applyAlignment="1">
      <alignment horizontal="center" vertical="center"/>
    </xf>
    <xf numFmtId="0" fontId="120" fillId="0" borderId="48" xfId="0" applyNumberFormat="1" applyFont="1" applyFill="1" applyBorder="1" applyAlignment="1">
      <alignment horizontal="center" vertical="center" wrapText="1" shrinkToFit="1"/>
    </xf>
    <xf numFmtId="0" fontId="120" fillId="0" borderId="97" xfId="0" applyNumberFormat="1" applyFont="1" applyFill="1" applyBorder="1" applyAlignment="1">
      <alignment horizontal="center" vertical="center" wrapText="1" shrinkToFit="1"/>
    </xf>
    <xf numFmtId="0" fontId="120" fillId="0" borderId="1" xfId="0" applyNumberFormat="1" applyFont="1" applyFill="1" applyBorder="1" applyAlignment="1">
      <alignment horizontal="center" vertical="center" wrapText="1" shrinkToFit="1"/>
    </xf>
    <xf numFmtId="1" fontId="120" fillId="0" borderId="48" xfId="0" applyNumberFormat="1" applyFont="1" applyFill="1" applyBorder="1" applyAlignment="1">
      <alignment horizontal="center" vertical="center"/>
    </xf>
    <xf numFmtId="1" fontId="120" fillId="0" borderId="1" xfId="0" applyNumberFormat="1" applyFont="1" applyFill="1" applyBorder="1" applyAlignment="1">
      <alignment horizontal="center" vertical="center"/>
    </xf>
    <xf numFmtId="1" fontId="120" fillId="0" borderId="0" xfId="0" applyNumberFormat="1" applyFont="1" applyFill="1" applyBorder="1" applyAlignment="1">
      <alignment horizontal="center" vertical="center"/>
    </xf>
    <xf numFmtId="0" fontId="120" fillId="0" borderId="0" xfId="0" applyFont="1" applyFill="1" applyBorder="1" applyAlignment="1">
      <alignment horizontal="center" vertical="center"/>
    </xf>
    <xf numFmtId="193" fontId="121" fillId="0" borderId="91" xfId="0" applyNumberFormat="1" applyFont="1" applyFill="1" applyBorder="1" applyAlignment="1">
      <alignment horizontal="center" vertical="center"/>
    </xf>
    <xf numFmtId="0" fontId="121" fillId="0" borderId="91" xfId="0" applyNumberFormat="1" applyFont="1" applyFill="1" applyBorder="1" applyAlignment="1">
      <alignment horizontal="center" vertical="center"/>
    </xf>
    <xf numFmtId="0" fontId="120" fillId="0" borderId="91" xfId="0" applyFont="1" applyFill="1" applyBorder="1" applyAlignment="1">
      <alignment horizontal="center" vertical="center" wrapText="1"/>
    </xf>
    <xf numFmtId="177" fontId="121" fillId="0" borderId="95" xfId="0" applyNumberFormat="1" applyFont="1" applyFill="1" applyBorder="1" applyAlignment="1">
      <alignment horizontal="center" vertical="center"/>
    </xf>
    <xf numFmtId="177" fontId="121" fillId="0" borderId="114" xfId="0" applyNumberFormat="1" applyFont="1" applyFill="1" applyBorder="1" applyAlignment="1">
      <alignment horizontal="center" vertical="center"/>
    </xf>
    <xf numFmtId="0" fontId="120" fillId="0" borderId="58" xfId="0" applyNumberFormat="1" applyFont="1" applyFill="1" applyBorder="1" applyAlignment="1">
      <alignment horizontal="center" vertical="center" wrapText="1"/>
    </xf>
    <xf numFmtId="0" fontId="120" fillId="0" borderId="114" xfId="0" applyNumberFormat="1" applyFont="1" applyFill="1" applyBorder="1" applyAlignment="1">
      <alignment horizontal="center" vertical="center" wrapText="1"/>
    </xf>
    <xf numFmtId="0" fontId="120" fillId="0" borderId="0" xfId="0" applyFont="1" applyFill="1" applyAlignment="1">
      <alignment horizontal="center" vertical="center" shrinkToFit="1"/>
    </xf>
    <xf numFmtId="0" fontId="120" fillId="0" borderId="114" xfId="0" applyNumberFormat="1" applyFont="1" applyFill="1" applyBorder="1" applyAlignment="1">
      <alignment horizontal="center" vertical="center"/>
    </xf>
    <xf numFmtId="0" fontId="120" fillId="0" borderId="95" xfId="0" applyNumberFormat="1" applyFont="1" applyFill="1" applyBorder="1" applyAlignment="1">
      <alignment horizontal="center" vertical="center" wrapText="1"/>
    </xf>
    <xf numFmtId="0" fontId="126" fillId="0" borderId="91" xfId="0" applyNumberFormat="1" applyFont="1" applyFill="1" applyBorder="1" applyAlignment="1">
      <alignment horizontal="center" vertical="center" wrapText="1"/>
    </xf>
    <xf numFmtId="0" fontId="126" fillId="0" borderId="91" xfId="0" applyNumberFormat="1" applyFont="1" applyFill="1" applyBorder="1" applyAlignment="1">
      <alignment horizontal="center" vertical="center"/>
    </xf>
    <xf numFmtId="0" fontId="121" fillId="0" borderId="40" xfId="0" applyNumberFormat="1" applyFont="1" applyFill="1" applyBorder="1" applyAlignment="1">
      <alignment horizontal="center" vertical="center"/>
    </xf>
    <xf numFmtId="0" fontId="121" fillId="0" borderId="41" xfId="0" applyNumberFormat="1" applyFont="1" applyFill="1" applyBorder="1" applyAlignment="1">
      <alignment horizontal="center" vertical="center"/>
    </xf>
    <xf numFmtId="0" fontId="121" fillId="0" borderId="76" xfId="0" applyNumberFormat="1" applyFont="1" applyFill="1" applyBorder="1" applyAlignment="1">
      <alignment horizontal="center" vertical="center"/>
    </xf>
    <xf numFmtId="0" fontId="121" fillId="0" borderId="43" xfId="0" applyNumberFormat="1" applyFont="1" applyFill="1" applyBorder="1" applyAlignment="1">
      <alignment horizontal="center" vertical="center" wrapText="1"/>
    </xf>
    <xf numFmtId="0" fontId="121" fillId="0" borderId="58" xfId="0" applyNumberFormat="1" applyFont="1" applyFill="1" applyBorder="1" applyAlignment="1">
      <alignment horizontal="center" vertical="center" wrapText="1"/>
    </xf>
    <xf numFmtId="0" fontId="121" fillId="0" borderId="114" xfId="0" applyNumberFormat="1" applyFont="1" applyFill="1" applyBorder="1" applyAlignment="1">
      <alignment horizontal="center" vertical="center" wrapText="1"/>
    </xf>
    <xf numFmtId="0" fontId="121" fillId="0" borderId="43" xfId="0" applyFont="1" applyFill="1" applyBorder="1" applyAlignment="1">
      <alignment horizontal="center" vertical="center" wrapText="1"/>
    </xf>
    <xf numFmtId="0" fontId="121" fillId="0" borderId="58" xfId="0" applyFont="1" applyFill="1" applyBorder="1" applyAlignment="1">
      <alignment horizontal="center" vertical="center" wrapText="1"/>
    </xf>
    <xf numFmtId="0" fontId="121" fillId="0" borderId="114" xfId="0" applyFont="1" applyFill="1" applyBorder="1" applyAlignment="1">
      <alignment horizontal="center" vertical="center" wrapText="1"/>
    </xf>
    <xf numFmtId="0" fontId="121" fillId="0" borderId="91" xfId="0" applyNumberFormat="1" applyFont="1" applyFill="1" applyBorder="1" applyAlignment="1">
      <alignment horizontal="center" vertical="center" wrapText="1"/>
    </xf>
    <xf numFmtId="0" fontId="121" fillId="0" borderId="95" xfId="0" applyNumberFormat="1" applyFont="1" applyFill="1" applyBorder="1" applyAlignment="1">
      <alignment horizontal="center" vertical="center" wrapText="1"/>
    </xf>
    <xf numFmtId="0" fontId="121" fillId="0" borderId="108" xfId="0" applyNumberFormat="1" applyFont="1" applyFill="1" applyBorder="1" applyAlignment="1">
      <alignment horizontal="center" vertical="center"/>
    </xf>
    <xf numFmtId="0" fontId="121" fillId="0" borderId="112" xfId="0" applyNumberFormat="1" applyFont="1" applyFill="1" applyBorder="1" applyAlignment="1">
      <alignment horizontal="center" vertical="center"/>
    </xf>
    <xf numFmtId="0" fontId="121" fillId="0" borderId="90" xfId="0" applyNumberFormat="1" applyFont="1" applyFill="1" applyBorder="1" applyAlignment="1">
      <alignment horizontal="center" vertical="center"/>
    </xf>
    <xf numFmtId="0" fontId="121" fillId="0" borderId="95" xfId="0" applyFont="1" applyFill="1" applyBorder="1" applyAlignment="1">
      <alignment horizontal="center" vertical="center" wrapText="1"/>
    </xf>
    <xf numFmtId="0" fontId="121" fillId="0" borderId="2" xfId="0" applyNumberFormat="1" applyFont="1" applyFill="1" applyBorder="1" applyAlignment="1">
      <alignment horizontal="center" vertical="center"/>
    </xf>
    <xf numFmtId="0" fontId="121" fillId="0" borderId="91" xfId="0" applyFont="1" applyBorder="1" applyAlignment="1">
      <alignment horizontal="center" vertical="center" wrapText="1"/>
    </xf>
    <xf numFmtId="0" fontId="121" fillId="0" borderId="28" xfId="0" applyNumberFormat="1" applyFont="1" applyFill="1" applyBorder="1" applyAlignment="1">
      <alignment horizontal="center" vertical="center" shrinkToFit="1"/>
    </xf>
    <xf numFmtId="0" fontId="121" fillId="0" borderId="2" xfId="0" applyNumberFormat="1" applyFont="1" applyFill="1" applyBorder="1" applyAlignment="1">
      <alignment horizontal="center" vertical="center" shrinkToFit="1"/>
    </xf>
    <xf numFmtId="0" fontId="121" fillId="0" borderId="91" xfId="0" applyFont="1" applyFill="1" applyBorder="1" applyAlignment="1">
      <alignment horizontal="center" vertical="center" wrapText="1"/>
    </xf>
    <xf numFmtId="0" fontId="121" fillId="0" borderId="91" xfId="0" quotePrefix="1" applyNumberFormat="1" applyFont="1" applyFill="1" applyBorder="1" applyAlignment="1">
      <alignment horizontal="center" vertical="center"/>
    </xf>
    <xf numFmtId="0" fontId="121" fillId="0" borderId="48" xfId="0" applyNumberFormat="1" applyFont="1" applyFill="1" applyBorder="1" applyAlignment="1">
      <alignment horizontal="center" vertical="center" wrapText="1"/>
    </xf>
    <xf numFmtId="0" fontId="121" fillId="0" borderId="1" xfId="0" applyNumberFormat="1" applyFont="1" applyFill="1" applyBorder="1" applyAlignment="1">
      <alignment horizontal="center" vertical="center" wrapText="1"/>
    </xf>
    <xf numFmtId="0" fontId="121" fillId="0" borderId="108" xfId="0" applyNumberFormat="1" applyFont="1" applyFill="1" applyBorder="1" applyAlignment="1">
      <alignment horizontal="center" vertical="center" wrapText="1"/>
    </xf>
    <xf numFmtId="0" fontId="121" fillId="0" borderId="41" xfId="0" applyNumberFormat="1" applyFont="1" applyFill="1" applyBorder="1" applyAlignment="1">
      <alignment horizontal="center" vertical="center" wrapText="1"/>
    </xf>
    <xf numFmtId="0" fontId="121" fillId="0" borderId="76" xfId="0" applyNumberFormat="1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0" fontId="28" fillId="0" borderId="65" xfId="0" applyFont="1" applyFill="1" applyBorder="1" applyAlignment="1">
      <alignment horizontal="center" vertical="center" wrapText="1"/>
    </xf>
    <xf numFmtId="0" fontId="28" fillId="0" borderId="84" xfId="0" applyFont="1" applyFill="1" applyBorder="1" applyAlignment="1">
      <alignment horizontal="center" vertical="center" wrapText="1"/>
    </xf>
    <xf numFmtId="0" fontId="28" fillId="0" borderId="22" xfId="0" applyFont="1" applyBorder="1" applyAlignment="1">
      <alignment horizontal="left" vertical="center"/>
    </xf>
    <xf numFmtId="0" fontId="28" fillId="0" borderId="27" xfId="0" applyFont="1" applyFill="1" applyBorder="1" applyAlignment="1">
      <alignment horizontal="center" vertical="center"/>
    </xf>
    <xf numFmtId="0" fontId="28" fillId="0" borderId="68" xfId="0" applyFont="1" applyFill="1" applyBorder="1" applyAlignment="1">
      <alignment horizontal="center" vertical="center"/>
    </xf>
    <xf numFmtId="0" fontId="28" fillId="0" borderId="14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33" fillId="0" borderId="65" xfId="0" applyFont="1" applyFill="1" applyBorder="1" applyAlignment="1">
      <alignment horizontal="center" vertical="center" wrapText="1"/>
    </xf>
    <xf numFmtId="0" fontId="33" fillId="0" borderId="7" xfId="0" applyFont="1" applyFill="1" applyBorder="1" applyAlignment="1">
      <alignment horizontal="center" vertical="center"/>
    </xf>
    <xf numFmtId="0" fontId="33" fillId="0" borderId="37" xfId="0" applyFont="1" applyFill="1" applyBorder="1" applyAlignment="1">
      <alignment horizontal="center" vertical="center"/>
    </xf>
    <xf numFmtId="0" fontId="28" fillId="0" borderId="43" xfId="0" applyFont="1" applyFill="1" applyBorder="1" applyAlignment="1">
      <alignment horizontal="center" vertical="center"/>
    </xf>
    <xf numFmtId="0" fontId="28" fillId="0" borderId="63" xfId="0" applyFont="1" applyFill="1" applyBorder="1" applyAlignment="1">
      <alignment horizontal="center" vertical="center"/>
    </xf>
    <xf numFmtId="0" fontId="28" fillId="0" borderId="40" xfId="0" applyFont="1" applyFill="1" applyBorder="1" applyAlignment="1">
      <alignment horizontal="center" vertical="center"/>
    </xf>
    <xf numFmtId="0" fontId="28" fillId="0" borderId="43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1" xfId="0" applyFont="1" applyFill="1" applyBorder="1" applyAlignment="1">
      <alignment horizontal="center" vertical="center"/>
    </xf>
    <xf numFmtId="0" fontId="28" fillId="0" borderId="37" xfId="0" applyFont="1" applyFill="1" applyBorder="1" applyAlignment="1">
      <alignment horizontal="center" vertical="center"/>
    </xf>
    <xf numFmtId="0" fontId="28" fillId="0" borderId="39" xfId="0" applyFont="1" applyFill="1" applyBorder="1" applyAlignment="1">
      <alignment horizontal="center" vertical="center"/>
    </xf>
    <xf numFmtId="0" fontId="28" fillId="0" borderId="16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121" fillId="0" borderId="1" xfId="16" applyFont="1" applyFill="1" applyBorder="1" applyAlignment="1">
      <alignment horizontal="center" vertical="center"/>
    </xf>
    <xf numFmtId="0" fontId="120" fillId="0" borderId="107" xfId="16" applyFont="1" applyFill="1" applyBorder="1" applyAlignment="1">
      <alignment horizontal="center" vertical="center" wrapText="1"/>
    </xf>
    <xf numFmtId="0" fontId="120" fillId="0" borderId="91" xfId="16" applyFont="1" applyFill="1" applyBorder="1" applyAlignment="1">
      <alignment horizontal="center" vertical="center" wrapText="1"/>
    </xf>
    <xf numFmtId="0" fontId="120" fillId="0" borderId="91" xfId="16" applyFont="1" applyFill="1" applyBorder="1" applyAlignment="1">
      <alignment horizontal="center" vertical="center"/>
    </xf>
    <xf numFmtId="0" fontId="120" fillId="0" borderId="3" xfId="16" applyFont="1" applyFill="1" applyBorder="1" applyAlignment="1">
      <alignment horizontal="center" vertical="center"/>
    </xf>
    <xf numFmtId="0" fontId="120" fillId="0" borderId="112" xfId="16" applyFont="1" applyFill="1" applyBorder="1" applyAlignment="1">
      <alignment horizontal="center" vertical="center"/>
    </xf>
    <xf numFmtId="0" fontId="120" fillId="0" borderId="90" xfId="16" applyFont="1" applyFill="1" applyBorder="1" applyAlignment="1">
      <alignment horizontal="center" vertical="center"/>
    </xf>
    <xf numFmtId="0" fontId="120" fillId="0" borderId="32" xfId="16" applyFont="1" applyFill="1" applyBorder="1" applyAlignment="1">
      <alignment horizontal="center" vertical="center"/>
    </xf>
    <xf numFmtId="0" fontId="121" fillId="0" borderId="72" xfId="16" applyFont="1" applyFill="1" applyBorder="1" applyAlignment="1">
      <alignment horizontal="center" vertical="center"/>
    </xf>
    <xf numFmtId="0" fontId="121" fillId="0" borderId="115" xfId="16" applyFont="1" applyFill="1" applyBorder="1" applyAlignment="1">
      <alignment horizontal="center" vertical="center"/>
    </xf>
    <xf numFmtId="178" fontId="119" fillId="0" borderId="0" xfId="16" applyNumberFormat="1" applyFont="1" applyFill="1" applyBorder="1" applyAlignment="1">
      <alignment horizontal="center" vertical="center"/>
    </xf>
    <xf numFmtId="0" fontId="120" fillId="0" borderId="28" xfId="16" applyFont="1" applyFill="1" applyBorder="1" applyAlignment="1">
      <alignment horizontal="center" vertical="center"/>
    </xf>
    <xf numFmtId="0" fontId="120" fillId="0" borderId="2" xfId="16" applyFont="1" applyFill="1" applyBorder="1" applyAlignment="1">
      <alignment horizontal="center" vertical="center"/>
    </xf>
    <xf numFmtId="0" fontId="120" fillId="0" borderId="31" xfId="16" applyFont="1" applyFill="1" applyBorder="1" applyAlignment="1">
      <alignment horizontal="center" vertical="center"/>
    </xf>
    <xf numFmtId="0" fontId="120" fillId="0" borderId="107" xfId="16" applyFont="1" applyFill="1" applyBorder="1" applyAlignment="1">
      <alignment horizontal="center" vertical="center"/>
    </xf>
    <xf numFmtId="183" fontId="120" fillId="0" borderId="107" xfId="16" applyNumberFormat="1" applyFont="1" applyFill="1" applyBorder="1" applyAlignment="1">
      <alignment horizontal="center" vertical="center" wrapText="1"/>
    </xf>
    <xf numFmtId="183" fontId="120" fillId="0" borderId="91" xfId="16" applyNumberFormat="1" applyFont="1" applyFill="1" applyBorder="1" applyAlignment="1">
      <alignment horizontal="center" vertical="center" wrapText="1"/>
    </xf>
    <xf numFmtId="183" fontId="120" fillId="0" borderId="3" xfId="16" applyNumberFormat="1" applyFont="1" applyFill="1" applyBorder="1" applyAlignment="1">
      <alignment horizontal="center" vertical="center" wrapText="1"/>
    </xf>
    <xf numFmtId="0" fontId="120" fillId="0" borderId="108" xfId="16" applyFont="1" applyFill="1" applyBorder="1" applyAlignment="1">
      <alignment horizontal="center" vertical="center" wrapText="1"/>
    </xf>
    <xf numFmtId="0" fontId="120" fillId="0" borderId="41" xfId="16" applyFont="1" applyFill="1" applyBorder="1" applyAlignment="1">
      <alignment horizontal="center" vertical="center" wrapText="1"/>
    </xf>
    <xf numFmtId="0" fontId="120" fillId="0" borderId="76" xfId="16" applyFont="1" applyFill="1" applyBorder="1" applyAlignment="1">
      <alignment horizontal="center" vertical="center" wrapText="1"/>
    </xf>
    <xf numFmtId="0" fontId="120" fillId="0" borderId="69" xfId="16" applyFont="1" applyFill="1" applyBorder="1" applyAlignment="1">
      <alignment horizontal="center" vertical="center" wrapText="1"/>
    </xf>
    <xf numFmtId="0" fontId="120" fillId="0" borderId="1" xfId="16" applyFont="1" applyFill="1" applyBorder="1" applyAlignment="1">
      <alignment horizontal="center" vertical="center" wrapText="1"/>
    </xf>
    <xf numFmtId="0" fontId="88" fillId="0" borderId="42" xfId="16" applyFont="1" applyFill="1" applyBorder="1" applyAlignment="1">
      <alignment horizontal="center" vertical="center"/>
    </xf>
    <xf numFmtId="0" fontId="88" fillId="0" borderId="61" xfId="16" applyFont="1" applyFill="1" applyBorder="1" applyAlignment="1">
      <alignment horizontal="center" vertical="center"/>
    </xf>
    <xf numFmtId="0" fontId="88" fillId="0" borderId="62" xfId="16" applyFont="1" applyFill="1" applyBorder="1" applyAlignment="1">
      <alignment horizontal="center" vertical="center"/>
    </xf>
    <xf numFmtId="0" fontId="89" fillId="0" borderId="72" xfId="16" applyFont="1" applyFill="1" applyBorder="1" applyAlignment="1">
      <alignment horizontal="center" vertical="center"/>
    </xf>
    <xf numFmtId="0" fontId="89" fillId="0" borderId="115" xfId="16" applyFont="1" applyFill="1" applyBorder="1" applyAlignment="1">
      <alignment horizontal="center" vertical="center"/>
    </xf>
    <xf numFmtId="178" fontId="90" fillId="0" borderId="15" xfId="16" applyNumberFormat="1" applyFont="1" applyFill="1" applyBorder="1" applyAlignment="1">
      <alignment horizontal="center" vertical="center"/>
    </xf>
    <xf numFmtId="178" fontId="90" fillId="0" borderId="93" xfId="16" applyNumberFormat="1" applyFont="1" applyFill="1" applyBorder="1" applyAlignment="1">
      <alignment horizontal="center" vertical="center"/>
    </xf>
    <xf numFmtId="0" fontId="88" fillId="0" borderId="28" xfId="16" applyFont="1" applyFill="1" applyBorder="1" applyAlignment="1">
      <alignment horizontal="center" vertical="center"/>
    </xf>
    <xf numFmtId="0" fontId="88" fillId="0" borderId="2" xfId="16" applyFont="1" applyFill="1" applyBorder="1" applyAlignment="1">
      <alignment horizontal="center" vertical="center"/>
    </xf>
    <xf numFmtId="0" fontId="88" fillId="0" borderId="31" xfId="16" applyFont="1" applyFill="1" applyBorder="1" applyAlignment="1">
      <alignment horizontal="center" vertical="center"/>
    </xf>
    <xf numFmtId="0" fontId="88" fillId="0" borderId="107" xfId="16" applyFont="1" applyFill="1" applyBorder="1" applyAlignment="1">
      <alignment horizontal="center" vertical="center"/>
    </xf>
    <xf numFmtId="0" fontId="88" fillId="0" borderId="8" xfId="16" applyFont="1" applyFill="1" applyBorder="1" applyAlignment="1">
      <alignment horizontal="center" vertical="center"/>
    </xf>
    <xf numFmtId="0" fontId="88" fillId="0" borderId="3" xfId="16" applyFont="1" applyFill="1" applyBorder="1" applyAlignment="1">
      <alignment horizontal="center" vertical="center"/>
    </xf>
    <xf numFmtId="183" fontId="88" fillId="0" borderId="107" xfId="16" applyNumberFormat="1" applyFont="1" applyFill="1" applyBorder="1" applyAlignment="1">
      <alignment horizontal="center" vertical="center" wrapText="1"/>
    </xf>
    <xf numFmtId="183" fontId="88" fillId="0" borderId="8" xfId="16" applyNumberFormat="1" applyFont="1" applyFill="1" applyBorder="1" applyAlignment="1">
      <alignment horizontal="center" vertical="center" wrapText="1"/>
    </xf>
    <xf numFmtId="183" fontId="88" fillId="0" borderId="3" xfId="16" applyNumberFormat="1" applyFont="1" applyFill="1" applyBorder="1" applyAlignment="1">
      <alignment horizontal="center" vertical="center" wrapText="1"/>
    </xf>
    <xf numFmtId="0" fontId="88" fillId="0" borderId="107" xfId="16" applyFont="1" applyFill="1" applyBorder="1" applyAlignment="1">
      <alignment horizontal="center" vertical="center" wrapText="1"/>
    </xf>
    <xf numFmtId="0" fontId="14" fillId="0" borderId="70" xfId="16" applyFont="1" applyFill="1" applyBorder="1" applyAlignment="1">
      <alignment horizontal="center" vertical="center"/>
    </xf>
    <xf numFmtId="0" fontId="14" fillId="0" borderId="121" xfId="16" applyFont="1" applyFill="1" applyBorder="1" applyAlignment="1">
      <alignment horizontal="center" vertical="center"/>
    </xf>
    <xf numFmtId="0" fontId="14" fillId="0" borderId="56" xfId="16" applyFont="1" applyFill="1" applyBorder="1" applyAlignment="1">
      <alignment horizontal="center" vertical="center"/>
    </xf>
    <xf numFmtId="0" fontId="16" fillId="0" borderId="72" xfId="16" applyFont="1" applyFill="1" applyBorder="1" applyAlignment="1">
      <alignment horizontal="center" vertical="center"/>
    </xf>
    <xf numFmtId="0" fontId="16" fillId="0" borderId="115" xfId="16" applyFont="1" applyFill="1" applyBorder="1" applyAlignment="1">
      <alignment horizontal="center" vertical="center"/>
    </xf>
    <xf numFmtId="0" fontId="16" fillId="0" borderId="6" xfId="16" applyFont="1" applyFill="1" applyBorder="1" applyAlignment="1">
      <alignment horizontal="center" vertical="center"/>
    </xf>
    <xf numFmtId="0" fontId="16" fillId="0" borderId="1" xfId="16" applyFont="1" applyFill="1" applyBorder="1" applyAlignment="1">
      <alignment horizontal="center" vertical="center"/>
    </xf>
    <xf numFmtId="0" fontId="14" fillId="0" borderId="69" xfId="16" applyFont="1" applyFill="1" applyBorder="1" applyAlignment="1">
      <alignment horizontal="center" vertical="center" wrapText="1"/>
    </xf>
    <xf numFmtId="178" fontId="20" fillId="0" borderId="0" xfId="16" applyNumberFormat="1" applyFont="1" applyFill="1" applyBorder="1" applyAlignment="1">
      <alignment horizontal="center" vertical="center"/>
    </xf>
    <xf numFmtId="0" fontId="14" fillId="0" borderId="35" xfId="16" applyFont="1" applyFill="1" applyBorder="1" applyAlignment="1">
      <alignment horizontal="center" vertical="center"/>
    </xf>
    <xf numFmtId="0" fontId="14" fillId="0" borderId="13" xfId="16" applyFont="1" applyFill="1" applyBorder="1" applyAlignment="1">
      <alignment horizontal="center" vertical="center"/>
    </xf>
    <xf numFmtId="0" fontId="14" fillId="0" borderId="36" xfId="16" applyFont="1" applyFill="1" applyBorder="1" applyAlignment="1">
      <alignment horizontal="center" vertical="center"/>
    </xf>
    <xf numFmtId="0" fontId="14" fillId="0" borderId="69" xfId="16" applyFont="1" applyFill="1" applyBorder="1" applyAlignment="1">
      <alignment horizontal="center" vertical="center"/>
    </xf>
    <xf numFmtId="0" fontId="14" fillId="0" borderId="97" xfId="16" applyFont="1" applyFill="1" applyBorder="1" applyAlignment="1">
      <alignment horizontal="center" vertical="center"/>
    </xf>
    <xf numFmtId="0" fontId="14" fillId="0" borderId="55" xfId="16" applyFont="1" applyFill="1" applyBorder="1" applyAlignment="1">
      <alignment horizontal="center" vertical="center"/>
    </xf>
    <xf numFmtId="183" fontId="14" fillId="0" borderId="69" xfId="16" applyNumberFormat="1" applyFont="1" applyFill="1" applyBorder="1" applyAlignment="1">
      <alignment horizontal="center" vertical="center" wrapText="1"/>
    </xf>
    <xf numFmtId="183" fontId="14" fillId="0" borderId="97" xfId="16" applyNumberFormat="1" applyFont="1" applyFill="1" applyBorder="1" applyAlignment="1">
      <alignment horizontal="center" vertical="center" wrapText="1"/>
    </xf>
    <xf numFmtId="183" fontId="14" fillId="0" borderId="55" xfId="16" applyNumberFormat="1" applyFont="1" applyFill="1" applyBorder="1" applyAlignment="1">
      <alignment horizontal="center" vertical="center" wrapText="1"/>
    </xf>
    <xf numFmtId="0" fontId="14" fillId="0" borderId="97" xfId="16" applyFont="1" applyFill="1" applyBorder="1" applyAlignment="1">
      <alignment horizontal="center" vertical="center" wrapText="1"/>
    </xf>
    <xf numFmtId="0" fontId="121" fillId="0" borderId="6" xfId="16" applyFont="1" applyFill="1" applyBorder="1" applyAlignment="1">
      <alignment horizontal="center" vertical="center"/>
    </xf>
    <xf numFmtId="0" fontId="120" fillId="0" borderId="58" xfId="16" applyFont="1" applyFill="1" applyBorder="1" applyAlignment="1">
      <alignment horizontal="center" vertical="center" wrapText="1"/>
    </xf>
    <xf numFmtId="0" fontId="120" fillId="0" borderId="58" xfId="16" applyFont="1" applyFill="1" applyBorder="1" applyAlignment="1">
      <alignment horizontal="center" vertical="center"/>
    </xf>
    <xf numFmtId="0" fontId="120" fillId="0" borderId="89" xfId="16" applyFont="1" applyFill="1" applyBorder="1" applyAlignment="1">
      <alignment horizontal="center" vertical="center"/>
    </xf>
    <xf numFmtId="196" fontId="120" fillId="0" borderId="53" xfId="16" applyNumberFormat="1" applyFont="1" applyFill="1" applyBorder="1" applyAlignment="1">
      <alignment horizontal="center" vertical="center"/>
    </xf>
    <xf numFmtId="196" fontId="120" fillId="0" borderId="53" xfId="16" quotePrefix="1" applyNumberFormat="1" applyFont="1" applyFill="1" applyBorder="1" applyAlignment="1">
      <alignment horizontal="center" vertical="center"/>
    </xf>
    <xf numFmtId="196" fontId="120" fillId="0" borderId="52" xfId="16" quotePrefix="1" applyNumberFormat="1" applyFont="1" applyFill="1" applyBorder="1" applyAlignment="1">
      <alignment horizontal="center" vertical="center"/>
    </xf>
    <xf numFmtId="0" fontId="120" fillId="0" borderId="67" xfId="16" applyFont="1" applyFill="1" applyBorder="1" applyAlignment="1">
      <alignment horizontal="left" vertical="center" indent="1"/>
    </xf>
    <xf numFmtId="0" fontId="120" fillId="0" borderId="0" xfId="16" applyFont="1" applyFill="1" applyBorder="1" applyAlignment="1">
      <alignment horizontal="left" vertical="center" indent="1"/>
    </xf>
    <xf numFmtId="0" fontId="120" fillId="0" borderId="81" xfId="16" applyFont="1" applyFill="1" applyBorder="1" applyAlignment="1">
      <alignment horizontal="center" vertical="center"/>
    </xf>
    <xf numFmtId="0" fontId="120" fillId="0" borderId="94" xfId="16" applyFont="1" applyFill="1" applyBorder="1" applyAlignment="1">
      <alignment horizontal="center" vertical="center"/>
    </xf>
    <xf numFmtId="0" fontId="120" fillId="0" borderId="71" xfId="16" applyFont="1" applyFill="1" applyBorder="1" applyAlignment="1">
      <alignment horizontal="center" vertical="center"/>
    </xf>
    <xf numFmtId="0" fontId="120" fillId="0" borderId="43" xfId="16" applyFont="1" applyFill="1" applyBorder="1" applyAlignment="1">
      <alignment horizontal="center" vertical="center"/>
    </xf>
    <xf numFmtId="0" fontId="120" fillId="0" borderId="87" xfId="16" applyFont="1" applyFill="1" applyBorder="1" applyAlignment="1">
      <alignment horizontal="center" vertical="center"/>
    </xf>
    <xf numFmtId="0" fontId="120" fillId="0" borderId="35" xfId="16" applyFont="1" applyFill="1" applyBorder="1" applyAlignment="1">
      <alignment horizontal="center" vertical="center" wrapText="1"/>
    </xf>
    <xf numFmtId="0" fontId="120" fillId="0" borderId="13" xfId="16" applyFont="1" applyFill="1" applyBorder="1" applyAlignment="1">
      <alignment horizontal="center" vertical="center" wrapText="1"/>
    </xf>
    <xf numFmtId="0" fontId="120" fillId="0" borderId="33" xfId="16" applyFont="1" applyFill="1" applyBorder="1" applyAlignment="1">
      <alignment horizontal="center" vertical="center" wrapText="1"/>
    </xf>
    <xf numFmtId="182" fontId="120" fillId="0" borderId="78" xfId="16" applyNumberFormat="1" applyFont="1" applyFill="1" applyBorder="1" applyAlignment="1">
      <alignment horizontal="center" vertical="center" wrapText="1"/>
    </xf>
    <xf numFmtId="182" fontId="120" fillId="0" borderId="80" xfId="16" applyNumberFormat="1" applyFont="1" applyFill="1" applyBorder="1" applyAlignment="1">
      <alignment horizontal="center" vertical="center" wrapText="1"/>
    </xf>
    <xf numFmtId="182" fontId="120" fillId="0" borderId="67" xfId="16" applyNumberFormat="1" applyFont="1" applyFill="1" applyBorder="1" applyAlignment="1">
      <alignment horizontal="center" vertical="center" wrapText="1"/>
    </xf>
    <xf numFmtId="182" fontId="120" fillId="0" borderId="9" xfId="16" applyNumberFormat="1" applyFont="1" applyFill="1" applyBorder="1" applyAlignment="1">
      <alignment horizontal="center" vertical="center" wrapText="1"/>
    </xf>
    <xf numFmtId="182" fontId="120" fillId="0" borderId="59" xfId="16" applyNumberFormat="1" applyFont="1" applyFill="1" applyBorder="1" applyAlignment="1">
      <alignment horizontal="center" vertical="center" wrapText="1"/>
    </xf>
    <xf numFmtId="182" fontId="120" fillId="0" borderId="23" xfId="16" applyNumberFormat="1" applyFont="1" applyFill="1" applyBorder="1" applyAlignment="1">
      <alignment horizontal="center" vertical="center" wrapText="1"/>
    </xf>
    <xf numFmtId="0" fontId="119" fillId="0" borderId="15" xfId="16" applyFont="1" applyFill="1" applyBorder="1" applyAlignment="1">
      <alignment horizontal="center" vertical="center"/>
    </xf>
    <xf numFmtId="0" fontId="88" fillId="0" borderId="58" xfId="16" applyFont="1" applyFill="1" applyBorder="1" applyAlignment="1">
      <alignment horizontal="center" vertical="center" wrapText="1"/>
    </xf>
    <xf numFmtId="0" fontId="88" fillId="0" borderId="58" xfId="16" applyFont="1" applyFill="1" applyBorder="1" applyAlignment="1">
      <alignment horizontal="center" vertical="center"/>
    </xf>
    <xf numFmtId="0" fontId="88" fillId="0" borderId="89" xfId="16" applyFont="1" applyFill="1" applyBorder="1" applyAlignment="1">
      <alignment horizontal="center" vertical="center"/>
    </xf>
    <xf numFmtId="0" fontId="88" fillId="0" borderId="43" xfId="16" applyFont="1" applyFill="1" applyBorder="1" applyAlignment="1">
      <alignment horizontal="center" vertical="center"/>
    </xf>
    <xf numFmtId="0" fontId="95" fillId="0" borderId="58" xfId="16" applyFont="1" applyFill="1" applyBorder="1" applyAlignment="1">
      <alignment horizontal="center" vertical="center"/>
    </xf>
    <xf numFmtId="0" fontId="95" fillId="0" borderId="89" xfId="16" applyFont="1" applyFill="1" applyBorder="1" applyAlignment="1">
      <alignment horizontal="center" vertical="center"/>
    </xf>
    <xf numFmtId="196" fontId="88" fillId="0" borderId="53" xfId="16" applyNumberFormat="1" applyFont="1" applyFill="1" applyBorder="1" applyAlignment="1">
      <alignment horizontal="center" vertical="center"/>
    </xf>
    <xf numFmtId="196" fontId="88" fillId="0" borderId="53" xfId="16" quotePrefix="1" applyNumberFormat="1" applyFont="1" applyFill="1" applyBorder="1" applyAlignment="1">
      <alignment horizontal="center" vertical="center"/>
    </xf>
    <xf numFmtId="196" fontId="88" fillId="0" borderId="52" xfId="16" quotePrefix="1" applyNumberFormat="1" applyFont="1" applyFill="1" applyBorder="1" applyAlignment="1">
      <alignment horizontal="center" vertical="center"/>
    </xf>
    <xf numFmtId="0" fontId="88" fillId="0" borderId="67" xfId="16" applyFont="1" applyFill="1" applyBorder="1" applyAlignment="1">
      <alignment horizontal="left" vertical="center" indent="1"/>
    </xf>
    <xf numFmtId="0" fontId="88" fillId="0" borderId="0" xfId="16" applyFont="1" applyFill="1" applyBorder="1" applyAlignment="1">
      <alignment horizontal="left" vertical="center" indent="1"/>
    </xf>
    <xf numFmtId="0" fontId="88" fillId="0" borderId="81" xfId="16" applyFont="1" applyFill="1" applyBorder="1" applyAlignment="1">
      <alignment horizontal="center" vertical="center"/>
    </xf>
    <xf numFmtId="0" fontId="88" fillId="0" borderId="94" xfId="16" applyFont="1" applyFill="1" applyBorder="1" applyAlignment="1">
      <alignment horizontal="center" vertical="center"/>
    </xf>
    <xf numFmtId="0" fontId="88" fillId="0" borderId="71" xfId="16" applyFont="1" applyFill="1" applyBorder="1" applyAlignment="1">
      <alignment horizontal="center" vertical="center"/>
    </xf>
    <xf numFmtId="0" fontId="88" fillId="0" borderId="87" xfId="16" applyFont="1" applyFill="1" applyBorder="1" applyAlignment="1">
      <alignment horizontal="center" vertical="center"/>
    </xf>
    <xf numFmtId="0" fontId="88" fillId="0" borderId="35" xfId="16" applyFont="1" applyFill="1" applyBorder="1" applyAlignment="1">
      <alignment horizontal="center" vertical="center" wrapText="1"/>
    </xf>
    <xf numFmtId="0" fontId="88" fillId="0" borderId="13" xfId="16" applyFont="1" applyFill="1" applyBorder="1" applyAlignment="1">
      <alignment horizontal="center" vertical="center" wrapText="1"/>
    </xf>
    <xf numFmtId="0" fontId="88" fillId="0" borderId="33" xfId="16" applyFont="1" applyFill="1" applyBorder="1" applyAlignment="1">
      <alignment horizontal="center" vertical="center" wrapText="1"/>
    </xf>
    <xf numFmtId="182" fontId="88" fillId="0" borderId="78" xfId="16" applyNumberFormat="1" applyFont="1" applyFill="1" applyBorder="1" applyAlignment="1">
      <alignment horizontal="center" vertical="center" wrapText="1"/>
    </xf>
    <xf numFmtId="182" fontId="88" fillId="0" borderId="80" xfId="16" applyNumberFormat="1" applyFont="1" applyFill="1" applyBorder="1" applyAlignment="1">
      <alignment horizontal="center" vertical="center" wrapText="1"/>
    </xf>
    <xf numFmtId="182" fontId="88" fillId="0" borderId="67" xfId="16" applyNumberFormat="1" applyFont="1" applyFill="1" applyBorder="1" applyAlignment="1">
      <alignment horizontal="center" vertical="center" wrapText="1"/>
    </xf>
    <xf numFmtId="182" fontId="88" fillId="0" borderId="9" xfId="16" applyNumberFormat="1" applyFont="1" applyFill="1" applyBorder="1" applyAlignment="1">
      <alignment horizontal="center" vertical="center" wrapText="1"/>
    </xf>
    <xf numFmtId="182" fontId="88" fillId="0" borderId="59" xfId="16" applyNumberFormat="1" applyFont="1" applyFill="1" applyBorder="1" applyAlignment="1">
      <alignment horizontal="center" vertical="center" wrapText="1"/>
    </xf>
    <xf numFmtId="182" fontId="88" fillId="0" borderId="23" xfId="16" applyNumberFormat="1" applyFont="1" applyFill="1" applyBorder="1" applyAlignment="1">
      <alignment horizontal="center" vertical="center" wrapText="1"/>
    </xf>
    <xf numFmtId="0" fontId="90" fillId="0" borderId="15" xfId="16" applyFont="1" applyFill="1" applyBorder="1" applyAlignment="1">
      <alignment horizontal="center" vertical="center"/>
    </xf>
    <xf numFmtId="0" fontId="26" fillId="0" borderId="21" xfId="0" applyFont="1" applyFill="1" applyBorder="1" applyAlignment="1">
      <alignment horizontal="center" vertical="center"/>
    </xf>
    <xf numFmtId="0" fontId="28" fillId="0" borderId="27" xfId="0" applyFont="1" applyFill="1" applyBorder="1" applyAlignment="1">
      <alignment horizontal="center" vertical="center" wrapText="1"/>
    </xf>
    <xf numFmtId="0" fontId="28" fillId="0" borderId="22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  <xf numFmtId="0" fontId="28" fillId="0" borderId="67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8" fillId="0" borderId="9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186" fontId="28" fillId="0" borderId="83" xfId="0" applyNumberFormat="1" applyFont="1" applyFill="1" applyBorder="1" applyAlignment="1">
      <alignment horizontal="right" vertical="center"/>
    </xf>
    <xf numFmtId="186" fontId="28" fillId="0" borderId="7" xfId="0" applyNumberFormat="1" applyFont="1" applyFill="1" applyBorder="1" applyAlignment="1">
      <alignment horizontal="right" vertical="center"/>
    </xf>
    <xf numFmtId="2" fontId="28" fillId="0" borderId="21" xfId="0" applyNumberFormat="1" applyFont="1" applyFill="1" applyBorder="1" applyAlignment="1">
      <alignment horizontal="center" vertical="center"/>
    </xf>
    <xf numFmtId="9" fontId="28" fillId="0" borderId="21" xfId="0" applyNumberFormat="1" applyFont="1" applyFill="1" applyBorder="1" applyAlignment="1">
      <alignment horizontal="center" vertical="center"/>
    </xf>
    <xf numFmtId="41" fontId="28" fillId="0" borderId="83" xfId="0" applyNumberFormat="1" applyFont="1" applyFill="1" applyBorder="1" applyAlignment="1">
      <alignment horizontal="right" vertical="center"/>
    </xf>
    <xf numFmtId="41" fontId="28" fillId="0" borderId="7" xfId="0" applyNumberFormat="1" applyFont="1" applyFill="1" applyBorder="1" applyAlignment="1">
      <alignment horizontal="right" vertical="center"/>
    </xf>
    <xf numFmtId="2" fontId="35" fillId="0" borderId="21" xfId="0" applyNumberFormat="1" applyFont="1" applyFill="1" applyBorder="1" applyAlignment="1">
      <alignment horizontal="center" vertical="center"/>
    </xf>
    <xf numFmtId="0" fontId="35" fillId="0" borderId="21" xfId="0" applyFont="1" applyFill="1" applyBorder="1" applyAlignment="1">
      <alignment horizontal="center" vertical="center"/>
    </xf>
    <xf numFmtId="0" fontId="28" fillId="0" borderId="21" xfId="0" applyFont="1" applyFill="1" applyBorder="1" applyAlignment="1">
      <alignment horizontal="center" vertical="center" wrapText="1"/>
    </xf>
    <xf numFmtId="0" fontId="24" fillId="0" borderId="21" xfId="0" applyFont="1" applyFill="1" applyBorder="1" applyAlignment="1">
      <alignment horizontal="center" vertical="center" wrapText="1"/>
    </xf>
    <xf numFmtId="0" fontId="26" fillId="0" borderId="65" xfId="0" applyFont="1" applyFill="1" applyBorder="1" applyAlignment="1">
      <alignment horizontal="center" vertical="center"/>
    </xf>
    <xf numFmtId="0" fontId="26" fillId="0" borderId="16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0" fontId="26" fillId="0" borderId="65" xfId="0" applyFont="1" applyFill="1" applyBorder="1" applyAlignment="1">
      <alignment horizontal="center" vertical="center" wrapText="1"/>
    </xf>
    <xf numFmtId="0" fontId="26" fillId="0" borderId="16" xfId="0" applyFont="1" applyFill="1" applyBorder="1" applyAlignment="1">
      <alignment horizontal="center" vertical="center" wrapText="1"/>
    </xf>
    <xf numFmtId="0" fontId="26" fillId="0" borderId="7" xfId="0" applyFont="1" applyFill="1" applyBorder="1" applyAlignment="1">
      <alignment horizontal="center" vertical="center" wrapText="1"/>
    </xf>
    <xf numFmtId="0" fontId="26" fillId="0" borderId="21" xfId="0" applyFont="1" applyFill="1" applyBorder="1" applyAlignment="1">
      <alignment horizontal="center" vertical="center" wrapText="1"/>
    </xf>
    <xf numFmtId="0" fontId="27" fillId="0" borderId="37" xfId="0" applyFont="1" applyFill="1" applyBorder="1" applyAlignment="1">
      <alignment horizontal="center" vertical="center"/>
    </xf>
    <xf numFmtId="0" fontId="27" fillId="0" borderId="38" xfId="0" applyFont="1" applyFill="1" applyBorder="1" applyAlignment="1">
      <alignment horizontal="center" vertical="center"/>
    </xf>
    <xf numFmtId="0" fontId="27" fillId="0" borderId="39" xfId="0" applyFont="1" applyFill="1" applyBorder="1" applyAlignment="1">
      <alignment horizontal="center" vertical="center"/>
    </xf>
    <xf numFmtId="0" fontId="26" fillId="0" borderId="27" xfId="0" applyFont="1" applyFill="1" applyBorder="1" applyAlignment="1">
      <alignment horizontal="center" vertical="center" wrapText="1"/>
    </xf>
    <xf numFmtId="0" fontId="26" fillId="0" borderId="22" xfId="0" applyFont="1" applyFill="1" applyBorder="1" applyAlignment="1">
      <alignment horizontal="center" vertical="center" wrapText="1"/>
    </xf>
    <xf numFmtId="0" fontId="26" fillId="0" borderId="26" xfId="0" applyFont="1" applyFill="1" applyBorder="1" applyAlignment="1">
      <alignment horizontal="center" vertical="center" wrapText="1"/>
    </xf>
    <xf numFmtId="0" fontId="26" fillId="0" borderId="67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 vertical="center" wrapText="1"/>
    </xf>
    <xf numFmtId="0" fontId="26" fillId="0" borderId="9" xfId="0" applyFont="1" applyFill="1" applyBorder="1" applyAlignment="1">
      <alignment horizontal="center" vertical="center" wrapText="1"/>
    </xf>
    <xf numFmtId="0" fontId="26" fillId="0" borderId="14" xfId="0" applyFont="1" applyFill="1" applyBorder="1" applyAlignment="1">
      <alignment horizontal="center" vertical="center" wrapText="1"/>
    </xf>
    <xf numFmtId="0" fontId="26" fillId="0" borderId="15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186" fontId="26" fillId="0" borderId="83" xfId="0" applyNumberFormat="1" applyFont="1" applyFill="1" applyBorder="1" applyAlignment="1">
      <alignment horizontal="right" vertical="center"/>
    </xf>
    <xf numFmtId="186" fontId="26" fillId="0" borderId="7" xfId="0" applyNumberFormat="1" applyFont="1" applyFill="1" applyBorder="1" applyAlignment="1">
      <alignment horizontal="right" vertical="center"/>
    </xf>
    <xf numFmtId="2" fontId="26" fillId="0" borderId="21" xfId="0" applyNumberFormat="1" applyFont="1" applyFill="1" applyBorder="1" applyAlignment="1">
      <alignment horizontal="center" vertical="center"/>
    </xf>
    <xf numFmtId="41" fontId="26" fillId="0" borderId="83" xfId="0" applyNumberFormat="1" applyFont="1" applyFill="1" applyBorder="1" applyAlignment="1">
      <alignment horizontal="right" vertical="center"/>
    </xf>
    <xf numFmtId="41" fontId="26" fillId="0" borderId="7" xfId="0" applyNumberFormat="1" applyFont="1" applyFill="1" applyBorder="1" applyAlignment="1">
      <alignment horizontal="right" vertical="center"/>
    </xf>
    <xf numFmtId="0" fontId="19" fillId="0" borderId="21" xfId="0" applyFont="1" applyFill="1" applyBorder="1" applyAlignment="1">
      <alignment horizontal="center" vertical="center"/>
    </xf>
    <xf numFmtId="0" fontId="0" fillId="0" borderId="16" xfId="0" applyFill="1" applyBorder="1"/>
    <xf numFmtId="0" fontId="0" fillId="0" borderId="7" xfId="0" applyFill="1" applyBorder="1"/>
    <xf numFmtId="2" fontId="32" fillId="0" borderId="21" xfId="0" applyNumberFormat="1" applyFont="1" applyFill="1" applyBorder="1" applyAlignment="1">
      <alignment horizontal="center" vertical="center"/>
    </xf>
    <xf numFmtId="0" fontId="32" fillId="0" borderId="21" xfId="0" applyFont="1" applyFill="1" applyBorder="1" applyAlignment="1">
      <alignment horizontal="center" vertical="center"/>
    </xf>
    <xf numFmtId="186" fontId="26" fillId="0" borderId="21" xfId="0" applyNumberFormat="1" applyFont="1" applyFill="1" applyBorder="1" applyAlignment="1">
      <alignment horizontal="right" vertical="center"/>
    </xf>
    <xf numFmtId="0" fontId="26" fillId="0" borderId="21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67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37" xfId="0" applyFont="1" applyBorder="1" applyAlignment="1">
      <alignment horizontal="center" vertical="center" wrapText="1"/>
    </xf>
    <xf numFmtId="0" fontId="26" fillId="0" borderId="38" xfId="0" applyFont="1" applyBorder="1" applyAlignment="1">
      <alignment horizontal="center" vertical="center" wrapText="1"/>
    </xf>
    <xf numFmtId="0" fontId="26" fillId="0" borderId="39" xfId="0" applyFont="1" applyBorder="1" applyAlignment="1">
      <alignment horizontal="center" vertical="center" wrapText="1"/>
    </xf>
    <xf numFmtId="0" fontId="28" fillId="0" borderId="65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 wrapText="1"/>
    </xf>
    <xf numFmtId="0" fontId="27" fillId="0" borderId="21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93" fillId="0" borderId="43" xfId="814" applyFont="1" applyBorder="1" applyAlignment="1">
      <alignment horizontal="center" vertical="center"/>
    </xf>
    <xf numFmtId="0" fontId="93" fillId="0" borderId="58" xfId="814" applyFont="1" applyBorder="1" applyAlignment="1">
      <alignment horizontal="center" vertical="center"/>
    </xf>
    <xf numFmtId="0" fontId="93" fillId="0" borderId="114" xfId="814" applyFont="1" applyBorder="1" applyAlignment="1">
      <alignment horizontal="center" vertical="center"/>
    </xf>
    <xf numFmtId="0" fontId="93" fillId="0" borderId="31" xfId="814" applyFont="1" applyBorder="1" applyAlignment="1">
      <alignment horizontal="center" vertical="center"/>
    </xf>
    <xf numFmtId="0" fontId="93" fillId="0" borderId="3" xfId="814" applyFont="1" applyBorder="1" applyAlignment="1">
      <alignment horizontal="center" vertical="center"/>
    </xf>
    <xf numFmtId="2" fontId="93" fillId="0" borderId="8" xfId="814" applyNumberFormat="1" applyFont="1" applyBorder="1" applyAlignment="1">
      <alignment horizontal="center" vertical="center"/>
    </xf>
    <xf numFmtId="189" fontId="93" fillId="0" borderId="8" xfId="813" applyNumberFormat="1" applyFont="1" applyBorder="1" applyAlignment="1">
      <alignment horizontal="right" vertical="center"/>
    </xf>
    <xf numFmtId="0" fontId="93" fillId="0" borderId="2" xfId="814" applyFont="1" applyBorder="1" applyAlignment="1">
      <alignment horizontal="center" vertical="center"/>
    </xf>
    <xf numFmtId="0" fontId="93" fillId="0" borderId="8" xfId="814" applyFont="1" applyBorder="1" applyAlignment="1">
      <alignment horizontal="center" vertical="center"/>
    </xf>
    <xf numFmtId="0" fontId="93" fillId="0" borderId="2" xfId="814" applyFont="1" applyBorder="1" applyAlignment="1">
      <alignment horizontal="center" vertical="center" wrapText="1"/>
    </xf>
    <xf numFmtId="0" fontId="93" fillId="0" borderId="8" xfId="814" applyFont="1" applyBorder="1" applyAlignment="1">
      <alignment horizontal="center" vertical="center" wrapText="1"/>
    </xf>
    <xf numFmtId="0" fontId="93" fillId="0" borderId="12" xfId="814" applyFont="1" applyBorder="1" applyAlignment="1">
      <alignment horizontal="center" vertical="center"/>
    </xf>
    <xf numFmtId="0" fontId="95" fillId="0" borderId="112" xfId="814" applyFont="1" applyBorder="1" applyAlignment="1">
      <alignment horizontal="center" vertical="center"/>
    </xf>
    <xf numFmtId="0" fontId="95" fillId="0" borderId="12" xfId="814" applyFont="1" applyBorder="1" applyAlignment="1">
      <alignment horizontal="center" vertical="center"/>
    </xf>
    <xf numFmtId="0" fontId="95" fillId="0" borderId="49" xfId="814" applyFont="1" applyBorder="1" applyAlignment="1">
      <alignment horizontal="center" vertical="center"/>
    </xf>
    <xf numFmtId="0" fontId="95" fillId="0" borderId="34" xfId="814" applyFont="1" applyBorder="1" applyAlignment="1">
      <alignment horizontal="center" vertical="center"/>
    </xf>
    <xf numFmtId="0" fontId="93" fillId="0" borderId="28" xfId="814" applyFont="1" applyBorder="1" applyAlignment="1">
      <alignment horizontal="center" vertical="center"/>
    </xf>
    <xf numFmtId="0" fontId="93" fillId="0" borderId="107" xfId="814" applyFont="1" applyBorder="1" applyAlignment="1">
      <alignment horizontal="center" vertical="center"/>
    </xf>
    <xf numFmtId="2" fontId="93" fillId="0" borderId="107" xfId="814" applyNumberFormat="1" applyFont="1" applyBorder="1" applyAlignment="1">
      <alignment horizontal="center" vertical="center"/>
    </xf>
    <xf numFmtId="41" fontId="93" fillId="0" borderId="107" xfId="813" applyFont="1" applyBorder="1" applyAlignment="1">
      <alignment horizontal="right" vertical="center"/>
    </xf>
    <xf numFmtId="41" fontId="93" fillId="0" borderId="8" xfId="813" applyFont="1" applyBorder="1" applyAlignment="1">
      <alignment horizontal="right" vertical="center"/>
    </xf>
    <xf numFmtId="186" fontId="93" fillId="0" borderId="8" xfId="813" applyNumberFormat="1" applyFont="1" applyBorder="1" applyAlignment="1">
      <alignment horizontal="right" vertical="center"/>
    </xf>
    <xf numFmtId="0" fontId="93" fillId="0" borderId="47" xfId="814" applyFont="1" applyBorder="1" applyAlignment="1">
      <alignment horizontal="center" vertical="center" wrapText="1"/>
    </xf>
    <xf numFmtId="0" fontId="93" fillId="0" borderId="13" xfId="814" applyFont="1" applyBorder="1" applyAlignment="1">
      <alignment horizontal="center" vertical="center" wrapText="1"/>
    </xf>
    <xf numFmtId="0" fontId="91" fillId="0" borderId="36" xfId="814" applyFont="1" applyBorder="1" applyAlignment="1">
      <alignment horizontal="center" vertical="center" wrapText="1"/>
    </xf>
    <xf numFmtId="0" fontId="93" fillId="0" borderId="48" xfId="814" applyFont="1" applyBorder="1" applyAlignment="1">
      <alignment horizontal="center" vertical="center"/>
    </xf>
    <xf numFmtId="0" fontId="93" fillId="0" borderId="97" xfId="814" applyFont="1" applyBorder="1" applyAlignment="1">
      <alignment horizontal="center" vertical="center"/>
    </xf>
    <xf numFmtId="0" fontId="93" fillId="0" borderId="1" xfId="814" applyFont="1" applyBorder="1" applyAlignment="1">
      <alignment horizontal="center" vertical="center"/>
    </xf>
    <xf numFmtId="0" fontId="91" fillId="0" borderId="97" xfId="814" applyFont="1" applyBorder="1" applyAlignment="1">
      <alignment horizontal="center" vertical="center"/>
    </xf>
    <xf numFmtId="0" fontId="91" fillId="0" borderId="55" xfId="814" applyFont="1" applyBorder="1" applyAlignment="1">
      <alignment horizontal="center" vertical="center"/>
    </xf>
    <xf numFmtId="0" fontId="88" fillId="0" borderId="48" xfId="814" applyFont="1" applyBorder="1" applyAlignment="1">
      <alignment horizontal="center" vertical="center" wrapText="1"/>
    </xf>
    <xf numFmtId="0" fontId="91" fillId="0" borderId="1" xfId="814" applyFont="1" applyBorder="1" applyAlignment="1">
      <alignment horizontal="center" vertical="center"/>
    </xf>
    <xf numFmtId="0" fontId="99" fillId="0" borderId="0" xfId="814" applyFont="1" applyAlignment="1">
      <alignment horizontal="center" vertical="center"/>
    </xf>
    <xf numFmtId="0" fontId="94" fillId="0" borderId="72" xfId="814" applyFont="1" applyBorder="1" applyAlignment="1">
      <alignment horizontal="center" vertical="center"/>
    </xf>
    <xf numFmtId="0" fontId="94" fillId="0" borderId="115" xfId="814" applyFont="1" applyBorder="1" applyAlignment="1">
      <alignment horizontal="center" vertical="center"/>
    </xf>
    <xf numFmtId="0" fontId="93" fillId="0" borderId="35" xfId="814" applyFont="1" applyBorder="1" applyAlignment="1">
      <alignment horizontal="center" vertical="center" wrapText="1"/>
    </xf>
    <xf numFmtId="0" fontId="93" fillId="0" borderId="43" xfId="16" applyFont="1" applyBorder="1" applyAlignment="1">
      <alignment horizontal="center" vertical="center"/>
    </xf>
    <xf numFmtId="0" fontId="93" fillId="0" borderId="58" xfId="16" applyFont="1" applyBorder="1" applyAlignment="1">
      <alignment horizontal="center" vertical="center"/>
    </xf>
    <xf numFmtId="0" fontId="93" fillId="0" borderId="114" xfId="16" applyFont="1" applyBorder="1" applyAlignment="1">
      <alignment horizontal="center" vertical="center"/>
    </xf>
    <xf numFmtId="0" fontId="93" fillId="0" borderId="63" xfId="16" applyFont="1" applyBorder="1" applyAlignment="1">
      <alignment horizontal="center" vertical="center"/>
    </xf>
    <xf numFmtId="0" fontId="93" fillId="0" borderId="53" xfId="16" applyFont="1" applyBorder="1" applyAlignment="1">
      <alignment horizontal="center" vertical="center"/>
    </xf>
    <xf numFmtId="0" fontId="93" fillId="0" borderId="52" xfId="16" applyFont="1" applyBorder="1" applyAlignment="1">
      <alignment horizontal="center" vertical="center"/>
    </xf>
    <xf numFmtId="0" fontId="93" fillId="0" borderId="3" xfId="16" applyFont="1" applyBorder="1" applyAlignment="1">
      <alignment horizontal="center" vertical="center"/>
    </xf>
    <xf numFmtId="0" fontId="93" fillId="0" borderId="32" xfId="16" applyFont="1" applyBorder="1" applyAlignment="1">
      <alignment horizontal="center" vertical="center"/>
    </xf>
    <xf numFmtId="0" fontId="93" fillId="0" borderId="2" xfId="16" applyFont="1" applyBorder="1" applyAlignment="1">
      <alignment horizontal="center" vertical="center"/>
    </xf>
    <xf numFmtId="0" fontId="93" fillId="0" borderId="8" xfId="16" applyFont="1" applyBorder="1" applyAlignment="1">
      <alignment horizontal="center" vertical="center"/>
    </xf>
    <xf numFmtId="0" fontId="93" fillId="0" borderId="8" xfId="16" applyFont="1" applyBorder="1" applyAlignment="1">
      <alignment horizontal="center" vertical="center" wrapText="1"/>
    </xf>
    <xf numFmtId="0" fontId="93" fillId="0" borderId="12" xfId="16" applyFont="1" applyBorder="1" applyAlignment="1">
      <alignment horizontal="center" vertical="center" wrapText="1"/>
    </xf>
    <xf numFmtId="0" fontId="93" fillId="0" borderId="2" xfId="16" applyFont="1" applyBorder="1" applyAlignment="1">
      <alignment horizontal="center" vertical="center" wrapText="1"/>
    </xf>
    <xf numFmtId="0" fontId="93" fillId="0" borderId="98" xfId="16" applyFont="1" applyBorder="1" applyAlignment="1">
      <alignment horizontal="center" vertical="center" wrapText="1"/>
    </xf>
    <xf numFmtId="0" fontId="93" fillId="0" borderId="113" xfId="16" applyFont="1" applyBorder="1" applyAlignment="1">
      <alignment horizontal="center" vertical="center" wrapText="1"/>
    </xf>
    <xf numFmtId="0" fontId="93" fillId="0" borderId="118" xfId="16" applyFont="1" applyBorder="1" applyAlignment="1">
      <alignment horizontal="center" vertical="center" wrapText="1"/>
    </xf>
    <xf numFmtId="0" fontId="93" fillId="0" borderId="46" xfId="16" applyFont="1" applyBorder="1" applyAlignment="1">
      <alignment horizontal="center" vertical="center"/>
    </xf>
    <xf numFmtId="0" fontId="93" fillId="0" borderId="11" xfId="16" applyFont="1" applyBorder="1" applyAlignment="1">
      <alignment horizontal="center" vertical="center"/>
    </xf>
    <xf numFmtId="0" fontId="93" fillId="0" borderId="23" xfId="16" applyFont="1" applyBorder="1" applyAlignment="1">
      <alignment horizontal="center" vertical="center"/>
    </xf>
    <xf numFmtId="0" fontId="93" fillId="0" borderId="12" xfId="16" applyFont="1" applyBorder="1" applyAlignment="1">
      <alignment horizontal="center" vertical="center"/>
    </xf>
    <xf numFmtId="0" fontId="93" fillId="0" borderId="47" xfId="16" applyFont="1" applyBorder="1" applyAlignment="1">
      <alignment horizontal="center" vertical="center" wrapText="1"/>
    </xf>
    <xf numFmtId="0" fontId="93" fillId="0" borderId="13" xfId="16" applyFont="1" applyBorder="1" applyAlignment="1">
      <alignment horizontal="center" vertical="center" wrapText="1"/>
    </xf>
    <xf numFmtId="0" fontId="93" fillId="0" borderId="33" xfId="16" applyFont="1" applyBorder="1" applyAlignment="1">
      <alignment horizontal="center" vertical="center" wrapText="1"/>
    </xf>
    <xf numFmtId="0" fontId="93" fillId="0" borderId="48" xfId="16" applyFont="1" applyBorder="1" applyAlignment="1">
      <alignment horizontal="center" vertical="center" wrapText="1"/>
    </xf>
    <xf numFmtId="0" fontId="93" fillId="0" borderId="97" xfId="16" applyFont="1" applyBorder="1" applyAlignment="1">
      <alignment horizontal="center" vertical="center" wrapText="1"/>
    </xf>
    <xf numFmtId="0" fontId="93" fillId="0" borderId="1" xfId="16" applyFont="1" applyBorder="1" applyAlignment="1">
      <alignment horizontal="center" vertical="center" wrapText="1"/>
    </xf>
    <xf numFmtId="0" fontId="91" fillId="0" borderId="1" xfId="16" applyFont="1" applyBorder="1" applyAlignment="1">
      <alignment horizontal="center" vertical="center" wrapText="1"/>
    </xf>
    <xf numFmtId="0" fontId="99" fillId="0" borderId="0" xfId="16" applyFont="1" applyAlignment="1">
      <alignment horizontal="center" vertical="center"/>
    </xf>
    <xf numFmtId="0" fontId="94" fillId="0" borderId="72" xfId="16" applyFont="1" applyBorder="1" applyAlignment="1">
      <alignment horizontal="center" vertical="center"/>
    </xf>
    <xf numFmtId="0" fontId="94" fillId="0" borderId="115" xfId="16" applyFont="1" applyBorder="1" applyAlignment="1">
      <alignment horizontal="center" vertical="center"/>
    </xf>
    <xf numFmtId="0" fontId="94" fillId="0" borderId="103" xfId="16" applyFont="1" applyBorder="1" applyAlignment="1">
      <alignment horizontal="center" vertical="center"/>
    </xf>
    <xf numFmtId="0" fontId="93" fillId="0" borderId="1" xfId="16" applyFont="1" applyBorder="1" applyAlignment="1">
      <alignment horizontal="center" vertical="center"/>
    </xf>
    <xf numFmtId="0" fontId="93" fillId="0" borderId="34" xfId="16" applyFont="1" applyBorder="1" applyAlignment="1">
      <alignment horizontal="center" vertical="center"/>
    </xf>
    <xf numFmtId="0" fontId="93" fillId="0" borderId="43" xfId="815" applyFont="1" applyBorder="1" applyAlignment="1">
      <alignment horizontal="center" vertical="center"/>
    </xf>
    <xf numFmtId="0" fontId="93" fillId="0" borderId="58" xfId="815" applyFont="1" applyBorder="1" applyAlignment="1">
      <alignment horizontal="center" vertical="center"/>
    </xf>
    <xf numFmtId="0" fontId="93" fillId="0" borderId="114" xfId="815" applyFont="1" applyBorder="1" applyAlignment="1">
      <alignment horizontal="center" vertical="center"/>
    </xf>
    <xf numFmtId="0" fontId="93" fillId="0" borderId="31" xfId="815" applyFont="1" applyBorder="1" applyAlignment="1">
      <alignment horizontal="center" vertical="center"/>
    </xf>
    <xf numFmtId="0" fontId="93" fillId="0" borderId="3" xfId="815" applyFont="1" applyBorder="1" applyAlignment="1">
      <alignment horizontal="center" vertical="center"/>
    </xf>
    <xf numFmtId="0" fontId="93" fillId="0" borderId="91" xfId="815" applyFont="1" applyBorder="1" applyAlignment="1">
      <alignment horizontal="center" vertical="center"/>
    </xf>
    <xf numFmtId="186" fontId="93" fillId="0" borderId="91" xfId="816" applyNumberFormat="1" applyFont="1" applyBorder="1" applyAlignment="1">
      <alignment horizontal="right" vertical="center"/>
    </xf>
    <xf numFmtId="0" fontId="93" fillId="0" borderId="2" xfId="815" applyFont="1" applyBorder="1" applyAlignment="1">
      <alignment horizontal="center" vertical="center"/>
    </xf>
    <xf numFmtId="0" fontId="93" fillId="0" borderId="2" xfId="815" applyFont="1" applyBorder="1" applyAlignment="1">
      <alignment horizontal="center" vertical="center" wrapText="1"/>
    </xf>
    <xf numFmtId="0" fontId="93" fillId="0" borderId="91" xfId="815" applyFont="1" applyBorder="1" applyAlignment="1">
      <alignment horizontal="center" vertical="center" wrapText="1"/>
    </xf>
    <xf numFmtId="0" fontId="93" fillId="0" borderId="90" xfId="815" applyFont="1" applyBorder="1" applyAlignment="1">
      <alignment horizontal="center" vertical="center"/>
    </xf>
    <xf numFmtId="0" fontId="95" fillId="0" borderId="90" xfId="815" applyFont="1" applyBorder="1" applyAlignment="1">
      <alignment horizontal="center" vertical="center"/>
    </xf>
    <xf numFmtId="2" fontId="93" fillId="0" borderId="91" xfId="815" applyNumberFormat="1" applyFont="1" applyBorder="1" applyAlignment="1">
      <alignment horizontal="center" vertical="center"/>
    </xf>
    <xf numFmtId="0" fontId="95" fillId="0" borderId="49" xfId="815" applyFont="1" applyBorder="1" applyAlignment="1">
      <alignment horizontal="center" vertical="center"/>
    </xf>
    <xf numFmtId="0" fontId="95" fillId="0" borderId="34" xfId="815" applyFont="1" applyBorder="1" applyAlignment="1">
      <alignment horizontal="center" vertical="center"/>
    </xf>
    <xf numFmtId="41" fontId="93" fillId="0" borderId="91" xfId="816" applyFont="1" applyBorder="1" applyAlignment="1">
      <alignment horizontal="right" vertical="center"/>
    </xf>
    <xf numFmtId="0" fontId="93" fillId="0" borderId="47" xfId="815" applyFont="1" applyBorder="1" applyAlignment="1">
      <alignment horizontal="center" vertical="center" wrapText="1"/>
    </xf>
    <xf numFmtId="0" fontId="93" fillId="0" borderId="13" xfId="815" applyFont="1" applyBorder="1" applyAlignment="1">
      <alignment horizontal="center" vertical="center" wrapText="1"/>
    </xf>
    <xf numFmtId="0" fontId="91" fillId="0" borderId="33" xfId="815" applyFont="1" applyBorder="1" applyAlignment="1">
      <alignment horizontal="center" vertical="center" wrapText="1"/>
    </xf>
    <xf numFmtId="0" fontId="93" fillId="0" borderId="48" xfId="815" applyFont="1" applyBorder="1" applyAlignment="1">
      <alignment horizontal="center" vertical="center"/>
    </xf>
    <xf numFmtId="0" fontId="93" fillId="0" borderId="97" xfId="815" applyFont="1" applyBorder="1" applyAlignment="1">
      <alignment horizontal="center" vertical="center"/>
    </xf>
    <xf numFmtId="0" fontId="93" fillId="0" borderId="1" xfId="815" applyFont="1" applyBorder="1" applyAlignment="1">
      <alignment horizontal="center" vertical="center"/>
    </xf>
    <xf numFmtId="0" fontId="91" fillId="0" borderId="97" xfId="815" applyFont="1" applyBorder="1" applyAlignment="1">
      <alignment horizontal="center" vertical="center"/>
    </xf>
    <xf numFmtId="0" fontId="91" fillId="0" borderId="1" xfId="815" applyFont="1" applyBorder="1" applyAlignment="1">
      <alignment horizontal="center" vertical="center"/>
    </xf>
    <xf numFmtId="0" fontId="88" fillId="0" borderId="48" xfId="815" applyFont="1" applyBorder="1" applyAlignment="1">
      <alignment horizontal="center" vertical="center" wrapText="1"/>
    </xf>
    <xf numFmtId="0" fontId="100" fillId="0" borderId="0" xfId="815" applyFont="1" applyAlignment="1">
      <alignment horizontal="center" vertical="center"/>
    </xf>
    <xf numFmtId="0" fontId="94" fillId="0" borderId="72" xfId="815" applyFont="1" applyBorder="1" applyAlignment="1">
      <alignment horizontal="center" vertical="center"/>
    </xf>
    <xf numFmtId="0" fontId="94" fillId="0" borderId="102" xfId="815" applyFont="1" applyBorder="1" applyAlignment="1">
      <alignment horizontal="center" vertical="center"/>
    </xf>
    <xf numFmtId="0" fontId="93" fillId="0" borderId="35" xfId="815" applyFont="1" applyBorder="1" applyAlignment="1">
      <alignment horizontal="center" vertical="center" wrapText="1"/>
    </xf>
    <xf numFmtId="0" fontId="93" fillId="0" borderId="63" xfId="815" applyFont="1" applyBorder="1" applyAlignment="1">
      <alignment horizontal="center" vertical="center"/>
    </xf>
    <xf numFmtId="0" fontId="93" fillId="0" borderId="53" xfId="815" applyFont="1" applyBorder="1" applyAlignment="1">
      <alignment horizontal="center" vertical="center"/>
    </xf>
    <xf numFmtId="0" fontId="93" fillId="0" borderId="52" xfId="815" applyFont="1" applyBorder="1" applyAlignment="1">
      <alignment horizontal="center" vertical="center"/>
    </xf>
    <xf numFmtId="0" fontId="93" fillId="0" borderId="32" xfId="815" applyFont="1" applyBorder="1" applyAlignment="1">
      <alignment horizontal="center" vertical="center"/>
    </xf>
    <xf numFmtId="0" fontId="93" fillId="0" borderId="90" xfId="815" applyFont="1" applyBorder="1" applyAlignment="1">
      <alignment horizontal="center" vertical="center" wrapText="1"/>
    </xf>
    <xf numFmtId="0" fontId="93" fillId="0" borderId="98" xfId="815" applyFont="1" applyBorder="1" applyAlignment="1">
      <alignment horizontal="center" vertical="center" wrapText="1"/>
    </xf>
    <xf numFmtId="0" fontId="93" fillId="0" borderId="113" xfId="815" applyFont="1" applyBorder="1" applyAlignment="1">
      <alignment horizontal="center" vertical="center" wrapText="1"/>
    </xf>
    <xf numFmtId="0" fontId="93" fillId="0" borderId="118" xfId="815" applyFont="1" applyBorder="1" applyAlignment="1">
      <alignment horizontal="center" vertical="center" wrapText="1"/>
    </xf>
    <xf numFmtId="0" fontId="93" fillId="0" borderId="46" xfId="815" applyFont="1" applyBorder="1" applyAlignment="1">
      <alignment horizontal="center" vertical="center"/>
    </xf>
    <xf numFmtId="0" fontId="93" fillId="0" borderId="11" xfId="815" applyFont="1" applyBorder="1" applyAlignment="1">
      <alignment horizontal="center" vertical="center"/>
    </xf>
    <xf numFmtId="0" fontId="93" fillId="0" borderId="23" xfId="815" applyFont="1" applyBorder="1" applyAlignment="1">
      <alignment horizontal="center" vertical="center"/>
    </xf>
    <xf numFmtId="0" fontId="93" fillId="0" borderId="33" xfId="815" applyFont="1" applyBorder="1" applyAlignment="1">
      <alignment horizontal="center" vertical="center" wrapText="1"/>
    </xf>
    <xf numFmtId="0" fontId="93" fillId="0" borderId="48" xfId="815" applyFont="1" applyBorder="1" applyAlignment="1">
      <alignment horizontal="center" vertical="center" wrapText="1"/>
    </xf>
    <xf numFmtId="0" fontId="93" fillId="0" borderId="97" xfId="815" applyFont="1" applyBorder="1" applyAlignment="1">
      <alignment horizontal="center" vertical="center" wrapText="1"/>
    </xf>
    <xf numFmtId="0" fontId="93" fillId="0" borderId="1" xfId="815" applyFont="1" applyBorder="1" applyAlignment="1">
      <alignment horizontal="center" vertical="center" wrapText="1"/>
    </xf>
    <xf numFmtId="0" fontId="91" fillId="0" borderId="1" xfId="815" applyFont="1" applyBorder="1" applyAlignment="1">
      <alignment horizontal="center" vertical="center" wrapText="1"/>
    </xf>
    <xf numFmtId="0" fontId="94" fillId="0" borderId="103" xfId="815" applyFont="1" applyBorder="1" applyAlignment="1">
      <alignment horizontal="center" vertical="center"/>
    </xf>
    <xf numFmtId="0" fontId="93" fillId="0" borderId="34" xfId="815" applyFont="1" applyBorder="1" applyAlignment="1">
      <alignment horizontal="center" vertical="center"/>
    </xf>
    <xf numFmtId="0" fontId="90" fillId="0" borderId="0" xfId="16" applyFont="1" applyFill="1" applyBorder="1" applyAlignment="1">
      <alignment horizontal="center" vertical="center"/>
    </xf>
    <xf numFmtId="0" fontId="114" fillId="0" borderId="72" xfId="822" applyFont="1" applyBorder="1" applyAlignment="1">
      <alignment horizontal="center" vertical="center"/>
    </xf>
    <xf numFmtId="0" fontId="114" fillId="0" borderId="115" xfId="822" applyFont="1" applyBorder="1" applyAlignment="1">
      <alignment horizontal="center" vertical="center"/>
    </xf>
    <xf numFmtId="0" fontId="77" fillId="0" borderId="33" xfId="822" applyFont="1" applyBorder="1" applyAlignment="1">
      <alignment horizontal="center" vertical="center" wrapText="1"/>
    </xf>
    <xf numFmtId="0" fontId="77" fillId="0" borderId="2" xfId="822" applyFont="1" applyBorder="1" applyAlignment="1">
      <alignment horizontal="center" vertical="center" wrapText="1"/>
    </xf>
    <xf numFmtId="0" fontId="77" fillId="0" borderId="1" xfId="822" applyFont="1" applyBorder="1" applyAlignment="1">
      <alignment horizontal="center" vertical="center"/>
    </xf>
    <xf numFmtId="0" fontId="77" fillId="0" borderId="91" xfId="822" applyFont="1" applyBorder="1" applyAlignment="1">
      <alignment horizontal="center" vertical="center"/>
    </xf>
    <xf numFmtId="0" fontId="77" fillId="0" borderId="91" xfId="822" applyFont="1" applyBorder="1" applyAlignment="1">
      <alignment horizontal="center" vertical="center" wrapText="1"/>
    </xf>
    <xf numFmtId="2" fontId="77" fillId="0" borderId="91" xfId="822" applyNumberFormat="1" applyFont="1" applyBorder="1" applyAlignment="1">
      <alignment horizontal="center" vertical="center"/>
    </xf>
    <xf numFmtId="176" fontId="77" fillId="0" borderId="91" xfId="822" applyNumberFormat="1" applyFont="1" applyFill="1" applyBorder="1" applyAlignment="1">
      <alignment horizontal="right" vertical="center"/>
    </xf>
    <xf numFmtId="0" fontId="77" fillId="0" borderId="91" xfId="822" applyFont="1" applyFill="1" applyBorder="1" applyAlignment="1">
      <alignment horizontal="right" vertical="center"/>
    </xf>
    <xf numFmtId="0" fontId="77" fillId="0" borderId="90" xfId="822" applyFont="1" applyFill="1" applyBorder="1" applyAlignment="1">
      <alignment horizontal="center" vertical="center"/>
    </xf>
    <xf numFmtId="0" fontId="77" fillId="0" borderId="2" xfId="822" applyFont="1" applyBorder="1" applyAlignment="1">
      <alignment horizontal="center" vertical="center"/>
    </xf>
    <xf numFmtId="0" fontId="77" fillId="0" borderId="47" xfId="822" applyFont="1" applyBorder="1" applyAlignment="1">
      <alignment horizontal="center" vertical="center" wrapText="1"/>
    </xf>
    <xf numFmtId="0" fontId="77" fillId="0" borderId="13" xfId="822" applyFont="1" applyBorder="1" applyAlignment="1">
      <alignment horizontal="center" vertical="center" wrapText="1"/>
    </xf>
    <xf numFmtId="0" fontId="77" fillId="0" borderId="48" xfId="822" applyFont="1" applyBorder="1" applyAlignment="1">
      <alignment horizontal="center" vertical="center"/>
    </xf>
    <xf numFmtId="0" fontId="77" fillId="0" borderId="97" xfId="822" applyFont="1" applyBorder="1" applyAlignment="1">
      <alignment horizontal="center" vertical="center"/>
    </xf>
    <xf numFmtId="1" fontId="77" fillId="0" borderId="91" xfId="822" applyNumberFormat="1" applyFont="1" applyFill="1" applyBorder="1" applyAlignment="1">
      <alignment horizontal="right" vertical="center"/>
    </xf>
    <xf numFmtId="0" fontId="77" fillId="0" borderId="49" xfId="822" applyFont="1" applyFill="1" applyBorder="1" applyAlignment="1">
      <alignment horizontal="center" vertical="center"/>
    </xf>
    <xf numFmtId="0" fontId="77" fillId="0" borderId="34" xfId="822" applyFont="1" applyFill="1" applyBorder="1" applyAlignment="1">
      <alignment horizontal="center" vertical="center"/>
    </xf>
    <xf numFmtId="0" fontId="77" fillId="0" borderId="43" xfId="822" applyFont="1" applyBorder="1" applyAlignment="1">
      <alignment horizontal="center" vertical="center"/>
    </xf>
    <xf numFmtId="0" fontId="77" fillId="0" borderId="58" xfId="822" applyFont="1" applyBorder="1" applyAlignment="1">
      <alignment horizontal="center" vertical="center"/>
    </xf>
    <xf numFmtId="0" fontId="77" fillId="0" borderId="114" xfId="822" applyFont="1" applyBorder="1" applyAlignment="1">
      <alignment horizontal="center" vertical="center"/>
    </xf>
    <xf numFmtId="0" fontId="77" fillId="0" borderId="36" xfId="822" applyFont="1" applyBorder="1" applyAlignment="1">
      <alignment horizontal="center" vertical="center"/>
    </xf>
    <xf numFmtId="0" fontId="77" fillId="0" borderId="55" xfId="822" applyFont="1" applyBorder="1" applyAlignment="1">
      <alignment horizontal="center" vertical="center"/>
    </xf>
    <xf numFmtId="0" fontId="77" fillId="0" borderId="2" xfId="820" applyFont="1" applyBorder="1" applyAlignment="1">
      <alignment horizontal="center" vertical="center"/>
    </xf>
    <xf numFmtId="0" fontId="77" fillId="0" borderId="91" xfId="820" applyFont="1" applyBorder="1" applyAlignment="1">
      <alignment horizontal="center" vertical="center"/>
    </xf>
    <xf numFmtId="0" fontId="77" fillId="0" borderId="90" xfId="820" applyFont="1" applyBorder="1" applyAlignment="1">
      <alignment horizontal="center" vertical="center"/>
    </xf>
    <xf numFmtId="0" fontId="114" fillId="0" borderId="72" xfId="820" applyFont="1" applyBorder="1" applyAlignment="1">
      <alignment horizontal="center" vertical="center"/>
    </xf>
    <xf numFmtId="0" fontId="114" fillId="0" borderId="115" xfId="820" applyFont="1" applyBorder="1" applyAlignment="1">
      <alignment horizontal="center" vertical="center"/>
    </xf>
    <xf numFmtId="0" fontId="114" fillId="0" borderId="103" xfId="820" applyFont="1" applyBorder="1" applyAlignment="1">
      <alignment horizontal="center" vertical="center"/>
    </xf>
    <xf numFmtId="0" fontId="77" fillId="0" borderId="33" xfId="820" applyFont="1" applyBorder="1" applyAlignment="1">
      <alignment horizontal="center" vertical="center" wrapText="1"/>
    </xf>
    <xf numFmtId="0" fontId="77" fillId="0" borderId="1" xfId="820" applyFont="1" applyBorder="1" applyAlignment="1">
      <alignment horizontal="center" vertical="center" wrapText="1"/>
    </xf>
    <xf numFmtId="0" fontId="77" fillId="0" borderId="1" xfId="820" applyFont="1" applyBorder="1" applyAlignment="1">
      <alignment horizontal="center" vertical="center"/>
    </xf>
    <xf numFmtId="0" fontId="77" fillId="0" borderId="34" xfId="820" applyFont="1" applyBorder="1" applyAlignment="1">
      <alignment horizontal="center" vertical="center"/>
    </xf>
    <xf numFmtId="0" fontId="77" fillId="0" borderId="91" xfId="820" applyFont="1" applyBorder="1" applyAlignment="1">
      <alignment horizontal="center" vertical="center" wrapText="1"/>
    </xf>
    <xf numFmtId="0" fontId="77" fillId="0" borderId="2" xfId="820" applyFont="1" applyBorder="1" applyAlignment="1">
      <alignment horizontal="center" vertical="center" wrapText="1"/>
    </xf>
    <xf numFmtId="0" fontId="77" fillId="0" borderId="47" xfId="820" applyFont="1" applyBorder="1" applyAlignment="1">
      <alignment horizontal="center" vertical="center" wrapText="1"/>
    </xf>
    <xf numFmtId="0" fontId="77" fillId="0" borderId="13" xfId="820" applyFont="1" applyBorder="1" applyAlignment="1">
      <alignment horizontal="center" vertical="center" wrapText="1"/>
    </xf>
    <xf numFmtId="0" fontId="77" fillId="0" borderId="90" xfId="820" applyFont="1" applyBorder="1" applyAlignment="1">
      <alignment horizontal="center" vertical="center" wrapText="1"/>
    </xf>
    <xf numFmtId="0" fontId="77" fillId="0" borderId="92" xfId="820" applyFont="1" applyBorder="1" applyAlignment="1">
      <alignment horizontal="center" vertical="center"/>
    </xf>
    <xf numFmtId="0" fontId="77" fillId="0" borderId="96" xfId="820" applyFont="1" applyBorder="1" applyAlignment="1">
      <alignment horizontal="center" vertical="center"/>
    </xf>
    <xf numFmtId="0" fontId="77" fillId="0" borderId="66" xfId="820" applyFont="1" applyBorder="1" applyAlignment="1">
      <alignment horizontal="center" vertical="center"/>
    </xf>
    <xf numFmtId="0" fontId="77" fillId="0" borderId="55" xfId="820" applyFont="1" applyBorder="1" applyAlignment="1">
      <alignment horizontal="center" vertical="center"/>
    </xf>
    <xf numFmtId="0" fontId="77" fillId="0" borderId="56" xfId="820" applyFont="1" applyBorder="1" applyAlignment="1">
      <alignment horizontal="center" vertical="center"/>
    </xf>
    <xf numFmtId="0" fontId="77" fillId="0" borderId="46" xfId="820" applyFont="1" applyBorder="1" applyAlignment="1">
      <alignment horizontal="center" vertical="center"/>
    </xf>
    <xf numFmtId="0" fontId="77" fillId="0" borderId="11" xfId="820" applyFont="1" applyBorder="1" applyAlignment="1">
      <alignment horizontal="center" vertical="center"/>
    </xf>
    <xf numFmtId="0" fontId="77" fillId="0" borderId="23" xfId="820" applyFont="1" applyBorder="1" applyAlignment="1">
      <alignment horizontal="center" vertical="center"/>
    </xf>
    <xf numFmtId="0" fontId="77" fillId="0" borderId="43" xfId="820" applyFont="1" applyBorder="1" applyAlignment="1">
      <alignment horizontal="center" vertical="center"/>
    </xf>
    <xf numFmtId="0" fontId="77" fillId="0" borderId="58" xfId="820" applyFont="1" applyBorder="1" applyAlignment="1">
      <alignment horizontal="center" vertical="center"/>
    </xf>
    <xf numFmtId="0" fontId="77" fillId="0" borderId="114" xfId="820" applyFont="1" applyBorder="1" applyAlignment="1">
      <alignment horizontal="center" vertical="center"/>
    </xf>
    <xf numFmtId="0" fontId="116" fillId="0" borderId="78" xfId="820" applyFont="1" applyBorder="1" applyAlignment="1">
      <alignment horizontal="center"/>
    </xf>
    <xf numFmtId="0" fontId="116" fillId="0" borderId="79" xfId="820" applyFont="1" applyBorder="1" applyAlignment="1">
      <alignment horizontal="center"/>
    </xf>
    <xf numFmtId="0" fontId="116" fillId="0" borderId="80" xfId="820" applyFont="1" applyBorder="1" applyAlignment="1">
      <alignment horizontal="center"/>
    </xf>
    <xf numFmtId="0" fontId="90" fillId="0" borderId="67" xfId="16" applyFont="1" applyFill="1" applyBorder="1" applyAlignment="1">
      <alignment horizontal="center" vertical="center"/>
    </xf>
    <xf numFmtId="0" fontId="90" fillId="0" borderId="9" xfId="16" applyFont="1" applyFill="1" applyBorder="1" applyAlignment="1">
      <alignment horizontal="center" vertical="center"/>
    </xf>
    <xf numFmtId="0" fontId="75" fillId="0" borderId="96" xfId="820" applyFont="1" applyBorder="1" applyAlignment="1">
      <alignment horizontal="right"/>
    </xf>
    <xf numFmtId="0" fontId="75" fillId="0" borderId="4" xfId="820" applyFont="1" applyBorder="1" applyAlignment="1">
      <alignment horizontal="right"/>
    </xf>
    <xf numFmtId="0" fontId="113" fillId="0" borderId="0" xfId="820" applyFont="1" applyAlignment="1">
      <alignment horizontal="center" vertical="center"/>
    </xf>
    <xf numFmtId="0" fontId="77" fillId="0" borderId="28" xfId="820" applyFont="1" applyBorder="1" applyAlignment="1">
      <alignment horizontal="center" vertical="center" wrapText="1"/>
    </xf>
    <xf numFmtId="0" fontId="77" fillId="0" borderId="107" xfId="820" applyFont="1" applyBorder="1" applyAlignment="1">
      <alignment horizontal="center" vertical="center"/>
    </xf>
    <xf numFmtId="2" fontId="77" fillId="0" borderId="91" xfId="820" applyNumberFormat="1" applyFont="1" applyBorder="1" applyAlignment="1">
      <alignment horizontal="center" vertical="center"/>
    </xf>
    <xf numFmtId="176" fontId="77" fillId="0" borderId="91" xfId="820" applyNumberFormat="1" applyFont="1" applyBorder="1" applyAlignment="1">
      <alignment horizontal="right" vertical="center"/>
    </xf>
    <xf numFmtId="0" fontId="77" fillId="0" borderId="91" xfId="820" applyFont="1" applyBorder="1" applyAlignment="1">
      <alignment horizontal="right" vertical="center"/>
    </xf>
    <xf numFmtId="0" fontId="77" fillId="0" borderId="48" xfId="820" applyFont="1" applyBorder="1" applyAlignment="1">
      <alignment horizontal="center" vertical="center"/>
    </xf>
    <xf numFmtId="0" fontId="77" fillId="0" borderId="97" xfId="820" applyFont="1" applyBorder="1" applyAlignment="1">
      <alignment horizontal="center" vertical="center"/>
    </xf>
    <xf numFmtId="1" fontId="77" fillId="0" borderId="91" xfId="820" applyNumberFormat="1" applyFont="1" applyBorder="1" applyAlignment="1">
      <alignment horizontal="right" vertical="center"/>
    </xf>
    <xf numFmtId="0" fontId="77" fillId="0" borderId="49" xfId="820" applyFont="1" applyBorder="1" applyAlignment="1">
      <alignment horizontal="center" vertical="center"/>
    </xf>
    <xf numFmtId="0" fontId="77" fillId="0" borderId="36" xfId="820" applyFont="1" applyBorder="1" applyAlignment="1">
      <alignment horizontal="center" vertical="center"/>
    </xf>
    <xf numFmtId="0" fontId="77" fillId="0" borderId="2" xfId="820" applyFont="1" applyBorder="1" applyAlignment="1">
      <alignment horizontal="distributed" vertical="center"/>
    </xf>
    <xf numFmtId="0" fontId="77" fillId="0" borderId="91" xfId="820" applyFont="1" applyBorder="1" applyAlignment="1">
      <alignment horizontal="distributed" vertical="center"/>
    </xf>
    <xf numFmtId="0" fontId="113" fillId="0" borderId="67" xfId="820" applyFont="1" applyBorder="1" applyAlignment="1">
      <alignment horizontal="center"/>
    </xf>
    <xf numFmtId="0" fontId="113" fillId="0" borderId="0" xfId="820" applyFont="1" applyBorder="1" applyAlignment="1">
      <alignment horizontal="center"/>
    </xf>
    <xf numFmtId="0" fontId="113" fillId="0" borderId="9" xfId="820" applyFont="1" applyBorder="1" applyAlignment="1">
      <alignment horizontal="center"/>
    </xf>
    <xf numFmtId="180" fontId="16" fillId="0" borderId="31" xfId="0" applyNumberFormat="1" applyFont="1" applyBorder="1" applyAlignment="1">
      <alignment horizontal="center" vertical="center"/>
    </xf>
    <xf numFmtId="180" fontId="16" fillId="0" borderId="3" xfId="0" applyNumberFormat="1" applyFont="1" applyBorder="1" applyAlignment="1">
      <alignment horizontal="center" vertical="center"/>
    </xf>
    <xf numFmtId="180" fontId="14" fillId="0" borderId="2" xfId="0" applyNumberFormat="1" applyFont="1" applyBorder="1" applyAlignment="1">
      <alignment horizontal="center" vertical="center"/>
    </xf>
    <xf numFmtId="180" fontId="14" fillId="0" borderId="91" xfId="0" applyNumberFormat="1" applyFont="1" applyBorder="1" applyAlignment="1">
      <alignment horizontal="center" vertical="center"/>
    </xf>
    <xf numFmtId="234" fontId="14" fillId="0" borderId="90" xfId="0" applyNumberFormat="1" applyFont="1" applyBorder="1" applyAlignment="1">
      <alignment horizontal="center" vertical="center"/>
    </xf>
    <xf numFmtId="180" fontId="14" fillId="0" borderId="47" xfId="0" applyNumberFormat="1" applyFont="1" applyBorder="1" applyAlignment="1">
      <alignment horizontal="center" vertical="center" wrapText="1"/>
    </xf>
    <xf numFmtId="180" fontId="14" fillId="0" borderId="13" xfId="0" applyNumberFormat="1" applyFont="1" applyBorder="1" applyAlignment="1">
      <alignment horizontal="center" vertical="center" wrapText="1"/>
    </xf>
    <xf numFmtId="180" fontId="14" fillId="0" borderId="33" xfId="0" applyNumberFormat="1" applyFont="1" applyBorder="1" applyAlignment="1">
      <alignment horizontal="center" vertical="center" wrapText="1"/>
    </xf>
    <xf numFmtId="180" fontId="14" fillId="0" borderId="48" xfId="0" applyNumberFormat="1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178" fontId="14" fillId="0" borderId="91" xfId="0" applyNumberFormat="1" applyFont="1" applyBorder="1" applyAlignment="1">
      <alignment horizontal="center" vertical="center"/>
    </xf>
    <xf numFmtId="180" fontId="90" fillId="0" borderId="96" xfId="819" applyNumberFormat="1" applyFont="1" applyBorder="1" applyAlignment="1">
      <alignment horizontal="center" vertical="center"/>
    </xf>
    <xf numFmtId="180" fontId="14" fillId="0" borderId="28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vertical="center"/>
    </xf>
    <xf numFmtId="0" fontId="14" fillId="0" borderId="107" xfId="0" applyFont="1" applyBorder="1" applyAlignment="1">
      <alignment horizontal="center" vertical="center"/>
    </xf>
    <xf numFmtId="0" fontId="14" fillId="0" borderId="91" xfId="0" applyFont="1" applyBorder="1" applyAlignment="1">
      <alignment vertical="center"/>
    </xf>
    <xf numFmtId="0" fontId="14" fillId="0" borderId="91" xfId="0" applyFont="1" applyBorder="1" applyAlignment="1">
      <alignment horizontal="center" vertical="center"/>
    </xf>
    <xf numFmtId="180" fontId="14" fillId="0" borderId="107" xfId="0" applyNumberFormat="1" applyFont="1" applyBorder="1" applyAlignment="1">
      <alignment horizontal="center" vertical="center"/>
    </xf>
    <xf numFmtId="0" fontId="14" fillId="0" borderId="112" xfId="0" applyFont="1" applyBorder="1" applyAlignment="1">
      <alignment horizontal="center" vertical="center"/>
    </xf>
    <xf numFmtId="0" fontId="14" fillId="0" borderId="90" xfId="0" applyFont="1" applyBorder="1" applyAlignment="1">
      <alignment horizontal="center" vertical="center"/>
    </xf>
    <xf numFmtId="176" fontId="14" fillId="0" borderId="81" xfId="0" applyNumberFormat="1" applyFont="1" applyBorder="1" applyAlignment="1">
      <alignment horizontal="center" vertical="center"/>
    </xf>
    <xf numFmtId="176" fontId="14" fillId="0" borderId="71" xfId="0" applyNumberFormat="1" applyFont="1" applyBorder="1" applyAlignment="1">
      <alignment horizontal="center" vertical="center"/>
    </xf>
    <xf numFmtId="176" fontId="14" fillId="0" borderId="94" xfId="0" applyNumberFormat="1" applyFont="1" applyBorder="1" applyAlignment="1">
      <alignment horizontal="center" vertical="center"/>
    </xf>
    <xf numFmtId="2" fontId="14" fillId="0" borderId="96" xfId="0" applyNumberFormat="1" applyFont="1" applyBorder="1" applyAlignment="1">
      <alignment horizontal="right" vertical="top"/>
    </xf>
    <xf numFmtId="0" fontId="14" fillId="0" borderId="71" xfId="0" applyFont="1" applyBorder="1" applyAlignment="1">
      <alignment horizontal="center" vertical="center"/>
    </xf>
    <xf numFmtId="0" fontId="14" fillId="0" borderId="94" xfId="0" applyFont="1" applyBorder="1" applyAlignment="1">
      <alignment horizontal="center" vertical="center"/>
    </xf>
    <xf numFmtId="176" fontId="14" fillId="0" borderId="0" xfId="0" applyNumberFormat="1" applyFont="1" applyBorder="1" applyAlignment="1">
      <alignment horizontal="center" vertical="center"/>
    </xf>
    <xf numFmtId="176" fontId="14" fillId="0" borderId="9" xfId="0" applyNumberFormat="1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76" fontId="35" fillId="0" borderId="81" xfId="0" applyNumberFormat="1" applyFont="1" applyBorder="1" applyAlignment="1">
      <alignment horizontal="center" vertical="center"/>
    </xf>
    <xf numFmtId="176" fontId="35" fillId="0" borderId="71" xfId="0" applyNumberFormat="1" applyFont="1" applyBorder="1" applyAlignment="1">
      <alignment horizontal="center" vertical="center"/>
    </xf>
    <xf numFmtId="176" fontId="35" fillId="0" borderId="94" xfId="0" applyNumberFormat="1" applyFont="1" applyBorder="1" applyAlignment="1">
      <alignment horizontal="center" vertical="center"/>
    </xf>
    <xf numFmtId="176" fontId="28" fillId="0" borderId="81" xfId="0" applyNumberFormat="1" applyFont="1" applyBorder="1" applyAlignment="1">
      <alignment horizontal="center" vertical="center"/>
    </xf>
    <xf numFmtId="176" fontId="28" fillId="0" borderId="71" xfId="0" applyNumberFormat="1" applyFont="1" applyBorder="1" applyAlignment="1">
      <alignment horizontal="center" vertical="center"/>
    </xf>
    <xf numFmtId="176" fontId="28" fillId="0" borderId="9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92" xfId="0" applyFont="1" applyBorder="1" applyAlignment="1">
      <alignment horizontal="left" vertical="center"/>
    </xf>
    <xf numFmtId="0" fontId="14" fillId="0" borderId="96" xfId="0" applyFont="1" applyBorder="1" applyAlignment="1">
      <alignment horizontal="left" vertical="center"/>
    </xf>
    <xf numFmtId="0" fontId="14" fillId="0" borderId="0" xfId="0" applyFont="1" applyBorder="1" applyAlignment="1">
      <alignment horizontal="center"/>
    </xf>
    <xf numFmtId="0" fontId="14" fillId="0" borderId="79" xfId="0" applyFont="1" applyBorder="1" applyAlignment="1">
      <alignment horizontal="right" vertical="center"/>
    </xf>
    <xf numFmtId="0" fontId="14" fillId="0" borderId="80" xfId="0" applyFont="1" applyBorder="1" applyAlignment="1">
      <alignment horizontal="right" vertical="center"/>
    </xf>
    <xf numFmtId="0" fontId="112" fillId="0" borderId="71" xfId="0" applyFont="1" applyBorder="1" applyAlignment="1">
      <alignment horizontal="left" vertical="center"/>
    </xf>
    <xf numFmtId="0" fontId="112" fillId="0" borderId="94" xfId="0" applyFont="1" applyBorder="1" applyAlignment="1">
      <alignment horizontal="left" vertical="center"/>
    </xf>
    <xf numFmtId="0" fontId="14" fillId="0" borderId="71" xfId="0" applyFont="1" applyBorder="1" applyAlignment="1">
      <alignment horizontal="left" vertical="center"/>
    </xf>
    <xf numFmtId="0" fontId="14" fillId="0" borderId="94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176" fontId="28" fillId="0" borderId="67" xfId="0" applyNumberFormat="1" applyFont="1" applyBorder="1" applyAlignment="1">
      <alignment horizontal="center" vertical="center"/>
    </xf>
    <xf numFmtId="176" fontId="28" fillId="0" borderId="0" xfId="0" applyNumberFormat="1" applyFont="1" applyBorder="1" applyAlignment="1">
      <alignment horizontal="center" vertical="center"/>
    </xf>
    <xf numFmtId="176" fontId="28" fillId="0" borderId="9" xfId="0" applyNumberFormat="1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0" fontId="28" fillId="0" borderId="94" xfId="0" applyFont="1" applyBorder="1" applyAlignment="1">
      <alignment horizontal="center" vertical="center"/>
    </xf>
    <xf numFmtId="2" fontId="28" fillId="0" borderId="96" xfId="0" applyNumberFormat="1" applyFont="1" applyBorder="1" applyAlignment="1">
      <alignment horizontal="right" vertical="center"/>
    </xf>
    <xf numFmtId="0" fontId="28" fillId="0" borderId="0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78" xfId="0" applyFont="1" applyBorder="1" applyAlignment="1">
      <alignment horizontal="center" vertical="center" wrapText="1"/>
    </xf>
    <xf numFmtId="0" fontId="28" fillId="0" borderId="79" xfId="0" applyFont="1" applyBorder="1" applyAlignment="1">
      <alignment horizontal="center" vertical="center" wrapText="1"/>
    </xf>
    <xf numFmtId="0" fontId="28" fillId="0" borderId="80" xfId="0" applyFont="1" applyBorder="1" applyAlignment="1">
      <alignment horizontal="center" vertical="center" wrapText="1"/>
    </xf>
    <xf numFmtId="0" fontId="28" fillId="0" borderId="92" xfId="0" applyFont="1" applyBorder="1" applyAlignment="1">
      <alignment horizontal="center" vertical="center" wrapText="1"/>
    </xf>
    <xf numFmtId="0" fontId="28" fillId="0" borderId="96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35" fillId="0" borderId="71" xfId="0" applyFont="1" applyBorder="1" applyAlignment="1">
      <alignment horizontal="left" vertical="center"/>
    </xf>
    <xf numFmtId="0" fontId="35" fillId="0" borderId="94" xfId="0" applyFont="1" applyBorder="1" applyAlignment="1">
      <alignment horizontal="left" vertical="center"/>
    </xf>
    <xf numFmtId="0" fontId="28" fillId="0" borderId="71" xfId="0" applyFont="1" applyBorder="1" applyAlignment="1">
      <alignment horizontal="left" vertical="center"/>
    </xf>
    <xf numFmtId="0" fontId="28" fillId="0" borderId="94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28" fillId="0" borderId="9" xfId="0" applyFont="1" applyBorder="1" applyAlignment="1">
      <alignment horizontal="left" vertical="center"/>
    </xf>
    <xf numFmtId="0" fontId="28" fillId="0" borderId="92" xfId="0" applyFont="1" applyBorder="1" applyAlignment="1">
      <alignment horizontal="left" vertical="center"/>
    </xf>
    <xf numFmtId="0" fontId="28" fillId="0" borderId="96" xfId="0" applyFont="1" applyBorder="1" applyAlignment="1">
      <alignment horizontal="left" vertical="center"/>
    </xf>
    <xf numFmtId="0" fontId="24" fillId="0" borderId="0" xfId="0" applyFont="1" applyBorder="1" applyAlignment="1">
      <alignment horizontal="center"/>
    </xf>
    <xf numFmtId="0" fontId="28" fillId="0" borderId="79" xfId="0" applyFont="1" applyBorder="1" applyAlignment="1">
      <alignment horizontal="right" vertical="center"/>
    </xf>
    <xf numFmtId="0" fontId="28" fillId="0" borderId="80" xfId="0" applyFont="1" applyBorder="1" applyAlignment="1">
      <alignment horizontal="right" vertical="center"/>
    </xf>
    <xf numFmtId="2" fontId="19" fillId="0" borderId="0" xfId="0" applyNumberFormat="1" applyFont="1" applyBorder="1" applyAlignment="1">
      <alignment horizontal="center" textRotation="90"/>
    </xf>
    <xf numFmtId="0" fontId="26" fillId="0" borderId="0" xfId="0" quotePrefix="1" applyFont="1" applyBorder="1" applyAlignment="1">
      <alignment horizontal="center"/>
    </xf>
    <xf numFmtId="180" fontId="88" fillId="0" borderId="46" xfId="817" applyNumberFormat="1" applyFont="1" applyBorder="1" applyAlignment="1">
      <alignment horizontal="center" vertical="center"/>
    </xf>
    <xf numFmtId="180" fontId="88" fillId="0" borderId="11" xfId="817" applyNumberFormat="1" applyFont="1" applyBorder="1" applyAlignment="1">
      <alignment horizontal="center" vertical="center"/>
    </xf>
    <xf numFmtId="0" fontId="88" fillId="0" borderId="11" xfId="817" applyFont="1" applyBorder="1" applyAlignment="1">
      <alignment horizontal="left" vertical="center"/>
    </xf>
    <xf numFmtId="0" fontId="88" fillId="0" borderId="23" xfId="817" applyFont="1" applyBorder="1" applyAlignment="1">
      <alignment horizontal="left" vertical="center"/>
    </xf>
    <xf numFmtId="0" fontId="88" fillId="0" borderId="101" xfId="817" applyFont="1" applyBorder="1" applyAlignment="1">
      <alignment horizontal="center" vertical="center"/>
    </xf>
    <xf numFmtId="0" fontId="88" fillId="0" borderId="96" xfId="817" applyFont="1" applyBorder="1" applyAlignment="1">
      <alignment horizontal="center" vertical="center"/>
    </xf>
    <xf numFmtId="0" fontId="88" fillId="0" borderId="96" xfId="817" applyFont="1" applyBorder="1" applyAlignment="1">
      <alignment horizontal="left" vertical="center"/>
    </xf>
    <xf numFmtId="0" fontId="88" fillId="0" borderId="4" xfId="817" applyFont="1" applyBorder="1" applyAlignment="1">
      <alignment horizontal="left" vertical="center"/>
    </xf>
    <xf numFmtId="185" fontId="95" fillId="0" borderId="0" xfId="818" applyNumberFormat="1" applyFont="1" applyBorder="1" applyAlignment="1">
      <alignment horizontal="center" vertical="center"/>
    </xf>
    <xf numFmtId="0" fontId="95" fillId="0" borderId="0" xfId="817" applyFont="1" applyAlignment="1">
      <alignment horizontal="center" vertical="center"/>
    </xf>
    <xf numFmtId="0" fontId="88" fillId="0" borderId="0" xfId="817" applyFont="1" applyAlignment="1">
      <alignment vertical="center"/>
    </xf>
    <xf numFmtId="184" fontId="95" fillId="0" borderId="0" xfId="817" applyNumberFormat="1" applyFont="1" applyAlignment="1">
      <alignment horizontal="center" vertical="center"/>
    </xf>
    <xf numFmtId="185" fontId="95" fillId="0" borderId="0" xfId="817" applyNumberFormat="1" applyFont="1" applyAlignment="1">
      <alignment horizontal="center" vertical="center"/>
    </xf>
    <xf numFmtId="184" fontId="95" fillId="0" borderId="0" xfId="817" applyNumberFormat="1" applyFont="1" applyAlignment="1">
      <alignment horizontal="left" vertical="center" textRotation="90"/>
    </xf>
    <xf numFmtId="41" fontId="88" fillId="0" borderId="0" xfId="817" applyNumberFormat="1" applyFont="1" applyAlignment="1">
      <alignment vertical="center"/>
    </xf>
    <xf numFmtId="0" fontId="87" fillId="0" borderId="0" xfId="817" applyFont="1" applyAlignment="1">
      <alignment horizontal="center" vertical="center"/>
    </xf>
    <xf numFmtId="185" fontId="95" fillId="0" borderId="0" xfId="818" applyNumberFormat="1" applyFont="1" applyBorder="1" applyAlignment="1">
      <alignment horizontal="center" vertical="center" textRotation="90"/>
    </xf>
    <xf numFmtId="185" fontId="95" fillId="0" borderId="0" xfId="817" applyNumberFormat="1" applyFont="1" applyAlignment="1">
      <alignment horizontal="center" vertical="center" textRotation="90"/>
    </xf>
    <xf numFmtId="0" fontId="87" fillId="0" borderId="0" xfId="817" applyFont="1" applyBorder="1" applyAlignment="1">
      <alignment horizontal="center" vertical="center"/>
    </xf>
    <xf numFmtId="0" fontId="123" fillId="0" borderId="108" xfId="0" applyFont="1" applyFill="1" applyBorder="1" applyAlignment="1">
      <alignment horizontal="center" vertical="center"/>
    </xf>
    <xf numFmtId="0" fontId="123" fillId="0" borderId="41" xfId="0" applyFont="1" applyFill="1" applyBorder="1" applyAlignment="1">
      <alignment horizontal="center" vertical="center"/>
    </xf>
    <xf numFmtId="0" fontId="123" fillId="0" borderId="76" xfId="0" applyFont="1" applyFill="1" applyBorder="1" applyAlignment="1">
      <alignment horizontal="center" vertical="center"/>
    </xf>
    <xf numFmtId="1" fontId="125" fillId="0" borderId="95" xfId="0" applyNumberFormat="1" applyFont="1" applyFill="1" applyBorder="1" applyAlignment="1">
      <alignment horizontal="center" vertical="center"/>
    </xf>
    <xf numFmtId="1" fontId="125" fillId="0" borderId="58" xfId="0" applyNumberFormat="1" applyFont="1" applyFill="1" applyBorder="1" applyAlignment="1">
      <alignment horizontal="center" vertical="center"/>
    </xf>
    <xf numFmtId="1" fontId="125" fillId="0" borderId="114" xfId="0" applyNumberFormat="1" applyFont="1" applyFill="1" applyBorder="1" applyAlignment="1">
      <alignment horizontal="center" vertical="center"/>
    </xf>
    <xf numFmtId="1" fontId="125" fillId="0" borderId="51" xfId="0" applyNumberFormat="1" applyFont="1" applyFill="1" applyBorder="1" applyAlignment="1">
      <alignment horizontal="center" vertical="center"/>
    </xf>
    <xf numFmtId="1" fontId="125" fillId="0" borderId="53" xfId="0" applyNumberFormat="1" applyFont="1" applyFill="1" applyBorder="1" applyAlignment="1">
      <alignment horizontal="center" vertical="center"/>
    </xf>
    <xf numFmtId="1" fontId="125" fillId="0" borderId="105" xfId="0" applyNumberFormat="1" applyFont="1" applyFill="1" applyBorder="1" applyAlignment="1">
      <alignment horizontal="center" vertical="center"/>
    </xf>
    <xf numFmtId="0" fontId="123" fillId="0" borderId="100" xfId="0" applyFont="1" applyFill="1" applyBorder="1" applyAlignment="1">
      <alignment horizontal="center" vertical="center" wrapText="1"/>
    </xf>
    <xf numFmtId="0" fontId="123" fillId="0" borderId="99" xfId="0" applyFont="1" applyFill="1" applyBorder="1" applyAlignment="1">
      <alignment horizontal="center" vertical="center" wrapText="1"/>
    </xf>
    <xf numFmtId="0" fontId="123" fillId="0" borderId="67" xfId="0" applyFont="1" applyFill="1" applyBorder="1" applyAlignment="1">
      <alignment horizontal="center" vertical="center" wrapText="1"/>
    </xf>
    <xf numFmtId="0" fontId="123" fillId="0" borderId="106" xfId="0" applyFont="1" applyFill="1" applyBorder="1" applyAlignment="1">
      <alignment horizontal="center" vertical="center" wrapText="1"/>
    </xf>
    <xf numFmtId="0" fontId="123" fillId="0" borderId="59" xfId="0" applyFont="1" applyFill="1" applyBorder="1" applyAlignment="1">
      <alignment horizontal="center" vertical="center" wrapText="1"/>
    </xf>
    <xf numFmtId="0" fontId="123" fillId="0" borderId="6" xfId="0" applyFont="1" applyFill="1" applyBorder="1" applyAlignment="1">
      <alignment horizontal="center" vertical="center" wrapText="1"/>
    </xf>
    <xf numFmtId="0" fontId="123" fillId="0" borderId="98" xfId="0" applyFont="1" applyFill="1" applyBorder="1" applyAlignment="1">
      <alignment horizontal="center" vertical="center" wrapText="1"/>
    </xf>
    <xf numFmtId="0" fontId="123" fillId="0" borderId="46" xfId="0" applyFont="1" applyFill="1" applyBorder="1" applyAlignment="1">
      <alignment horizontal="center" vertical="center" wrapText="1"/>
    </xf>
    <xf numFmtId="188" fontId="127" fillId="0" borderId="31" xfId="0" applyNumberFormat="1" applyFont="1" applyFill="1" applyBorder="1" applyAlignment="1">
      <alignment horizontal="center" vertical="center"/>
    </xf>
    <xf numFmtId="188" fontId="127" fillId="0" borderId="3" xfId="0" applyNumberFormat="1" applyFont="1" applyFill="1" applyBorder="1" applyAlignment="1">
      <alignment horizontal="center" vertical="center"/>
    </xf>
    <xf numFmtId="190" fontId="127" fillId="0" borderId="105" xfId="0" applyNumberFormat="1" applyFont="1" applyFill="1" applyBorder="1" applyAlignment="1">
      <alignment horizontal="center" vertical="center"/>
    </xf>
    <xf numFmtId="190" fontId="127" fillId="0" borderId="3" xfId="0" applyNumberFormat="1" applyFont="1" applyFill="1" applyBorder="1" applyAlignment="1">
      <alignment horizontal="center" vertical="center"/>
    </xf>
    <xf numFmtId="190" fontId="127" fillId="0" borderId="32" xfId="0" applyNumberFormat="1" applyFont="1" applyFill="1" applyBorder="1" applyAlignment="1">
      <alignment horizontal="center" vertical="center"/>
    </xf>
    <xf numFmtId="0" fontId="123" fillId="0" borderId="107" xfId="0" applyFont="1" applyFill="1" applyBorder="1" applyAlignment="1">
      <alignment horizontal="center" vertical="center"/>
    </xf>
    <xf numFmtId="188" fontId="123" fillId="0" borderId="2" xfId="0" applyNumberFormat="1" applyFont="1" applyFill="1" applyBorder="1" applyAlignment="1">
      <alignment horizontal="center" vertical="center"/>
    </xf>
    <xf numFmtId="188" fontId="123" fillId="0" borderId="91" xfId="0" applyNumberFormat="1" applyFont="1" applyFill="1" applyBorder="1" applyAlignment="1">
      <alignment horizontal="center" vertical="center"/>
    </xf>
    <xf numFmtId="0" fontId="123" fillId="0" borderId="112" xfId="0" applyFont="1" applyFill="1" applyBorder="1" applyAlignment="1">
      <alignment horizontal="center" vertical="center"/>
    </xf>
    <xf numFmtId="0" fontId="123" fillId="0" borderId="90" xfId="0" applyFont="1" applyFill="1" applyBorder="1" applyAlignment="1">
      <alignment horizontal="center" vertical="center"/>
    </xf>
    <xf numFmtId="190" fontId="127" fillId="0" borderId="114" xfId="0" applyNumberFormat="1" applyFont="1" applyFill="1" applyBorder="1" applyAlignment="1">
      <alignment horizontal="center" vertical="center"/>
    </xf>
    <xf numFmtId="190" fontId="127" fillId="0" borderId="91" xfId="0" applyNumberFormat="1" applyFont="1" applyFill="1" applyBorder="1" applyAlignment="1">
      <alignment horizontal="center" vertical="center"/>
    </xf>
    <xf numFmtId="190" fontId="127" fillId="0" borderId="90" xfId="0" applyNumberFormat="1" applyFont="1" applyFill="1" applyBorder="1" applyAlignment="1">
      <alignment horizontal="center" vertical="center"/>
    </xf>
    <xf numFmtId="188" fontId="127" fillId="0" borderId="2" xfId="0" applyNumberFormat="1" applyFont="1" applyFill="1" applyBorder="1" applyAlignment="1">
      <alignment horizontal="center" vertical="center"/>
    </xf>
    <xf numFmtId="188" fontId="127" fillId="0" borderId="91" xfId="0" applyNumberFormat="1" applyFont="1" applyFill="1" applyBorder="1" applyAlignment="1">
      <alignment horizontal="center" vertical="center"/>
    </xf>
    <xf numFmtId="0" fontId="124" fillId="0" borderId="31" xfId="0" applyFont="1" applyFill="1" applyBorder="1" applyAlignment="1">
      <alignment horizontal="center" vertical="center"/>
    </xf>
    <xf numFmtId="0" fontId="124" fillId="0" borderId="3" xfId="0" applyFont="1" applyFill="1" applyBorder="1" applyAlignment="1">
      <alignment horizontal="center" vertical="center"/>
    </xf>
    <xf numFmtId="0" fontId="124" fillId="0" borderId="51" xfId="0" applyFont="1" applyFill="1" applyBorder="1" applyAlignment="1">
      <alignment horizontal="center" vertical="center"/>
    </xf>
    <xf numFmtId="190" fontId="127" fillId="0" borderId="6" xfId="0" applyNumberFormat="1" applyFont="1" applyFill="1" applyBorder="1" applyAlignment="1">
      <alignment horizontal="center" vertical="center"/>
    </xf>
    <xf numFmtId="190" fontId="127" fillId="0" borderId="1" xfId="0" applyNumberFormat="1" applyFont="1" applyFill="1" applyBorder="1" applyAlignment="1">
      <alignment horizontal="center" vertical="center"/>
    </xf>
    <xf numFmtId="190" fontId="127" fillId="0" borderId="34" xfId="0" applyNumberFormat="1" applyFont="1" applyFill="1" applyBorder="1" applyAlignment="1">
      <alignment horizontal="center" vertical="center"/>
    </xf>
    <xf numFmtId="0" fontId="123" fillId="0" borderId="28" xfId="0" applyFont="1" applyFill="1" applyBorder="1" applyAlignment="1">
      <alignment horizontal="center" vertical="center"/>
    </xf>
    <xf numFmtId="0" fontId="123" fillId="0" borderId="2" xfId="0" applyFont="1" applyFill="1" applyBorder="1" applyAlignment="1">
      <alignment horizontal="center" vertical="center"/>
    </xf>
    <xf numFmtId="0" fontId="123" fillId="0" borderId="91" xfId="0" applyFont="1" applyFill="1" applyBorder="1" applyAlignment="1">
      <alignment horizontal="center" vertical="center"/>
    </xf>
    <xf numFmtId="188" fontId="127" fillId="0" borderId="33" xfId="0" applyNumberFormat="1" applyFont="1" applyFill="1" applyBorder="1" applyAlignment="1">
      <alignment horizontal="center" vertical="center"/>
    </xf>
    <xf numFmtId="188" fontId="127" fillId="0" borderId="1" xfId="0" applyNumberFormat="1" applyFont="1" applyFill="1" applyBorder="1" applyAlignment="1">
      <alignment horizontal="center" vertical="center"/>
    </xf>
    <xf numFmtId="188" fontId="123" fillId="0" borderId="31" xfId="0" applyNumberFormat="1" applyFont="1" applyFill="1" applyBorder="1" applyAlignment="1">
      <alignment horizontal="center" vertical="center"/>
    </xf>
    <xf numFmtId="188" fontId="123" fillId="0" borderId="3" xfId="0" applyNumberFormat="1" applyFont="1" applyFill="1" applyBorder="1" applyAlignment="1">
      <alignment horizontal="center" vertical="center"/>
    </xf>
    <xf numFmtId="0" fontId="123" fillId="0" borderId="3" xfId="0" applyFont="1" applyFill="1" applyBorder="1" applyAlignment="1">
      <alignment horizontal="center" vertical="center"/>
    </xf>
    <xf numFmtId="190" fontId="123" fillId="0" borderId="91" xfId="0" applyNumberFormat="1" applyFont="1" applyFill="1" applyBorder="1" applyAlignment="1">
      <alignment horizontal="center" vertical="center"/>
    </xf>
    <xf numFmtId="190" fontId="123" fillId="0" borderId="95" xfId="0" applyNumberFormat="1" applyFont="1" applyFill="1" applyBorder="1" applyAlignment="1">
      <alignment horizontal="center" vertical="center"/>
    </xf>
    <xf numFmtId="190" fontId="123" fillId="0" borderId="90" xfId="0" applyNumberFormat="1" applyFont="1" applyFill="1" applyBorder="1" applyAlignment="1">
      <alignment horizontal="center" vertical="center"/>
    </xf>
    <xf numFmtId="190" fontId="123" fillId="0" borderId="3" xfId="0" applyNumberFormat="1" applyFont="1" applyFill="1" applyBorder="1" applyAlignment="1">
      <alignment horizontal="center" vertical="center"/>
    </xf>
    <xf numFmtId="190" fontId="123" fillId="0" borderId="51" xfId="0" applyNumberFormat="1" applyFont="1" applyFill="1" applyBorder="1" applyAlignment="1">
      <alignment horizontal="center" vertical="center"/>
    </xf>
    <xf numFmtId="190" fontId="123" fillId="0" borderId="32" xfId="0" applyNumberFormat="1" applyFont="1" applyFill="1" applyBorder="1" applyAlignment="1">
      <alignment horizontal="center" vertical="center"/>
    </xf>
    <xf numFmtId="0" fontId="119" fillId="0" borderId="96" xfId="0" applyFont="1" applyFill="1" applyBorder="1" applyAlignment="1">
      <alignment horizontal="center" vertical="center"/>
    </xf>
    <xf numFmtId="0" fontId="119" fillId="0" borderId="0" xfId="0" applyFont="1" applyFill="1" applyBorder="1" applyAlignment="1">
      <alignment horizontal="center" vertical="center"/>
    </xf>
    <xf numFmtId="0" fontId="119" fillId="0" borderId="92" xfId="0" applyFont="1" applyFill="1" applyBorder="1" applyAlignment="1">
      <alignment horizontal="center" vertical="center"/>
    </xf>
    <xf numFmtId="0" fontId="119" fillId="0" borderId="4" xfId="0" applyFont="1" applyFill="1" applyBorder="1" applyAlignment="1">
      <alignment horizontal="center" vertical="center"/>
    </xf>
    <xf numFmtId="0" fontId="123" fillId="0" borderId="2" xfId="0" applyFont="1" applyFill="1" applyBorder="1" applyAlignment="1">
      <alignment horizontal="center" vertical="center" wrapText="1"/>
    </xf>
    <xf numFmtId="0" fontId="123" fillId="0" borderId="91" xfId="0" applyFont="1" applyFill="1" applyBorder="1" applyAlignment="1">
      <alignment horizontal="center" vertical="center" wrapText="1"/>
    </xf>
    <xf numFmtId="0" fontId="123" fillId="0" borderId="95" xfId="0" applyFont="1" applyFill="1" applyBorder="1" applyAlignment="1">
      <alignment horizontal="center" vertical="center"/>
    </xf>
    <xf numFmtId="0" fontId="120" fillId="0" borderId="63" xfId="0" applyFont="1" applyFill="1" applyBorder="1" applyAlignment="1">
      <alignment horizontal="center" vertical="center" wrapText="1"/>
    </xf>
    <xf numFmtId="0" fontId="120" fillId="0" borderId="105" xfId="0" applyFont="1" applyFill="1" applyBorder="1" applyAlignment="1">
      <alignment horizontal="center" vertical="center" wrapText="1"/>
    </xf>
    <xf numFmtId="0" fontId="120" fillId="0" borderId="35" xfId="0" applyFont="1" applyFill="1" applyBorder="1" applyAlignment="1">
      <alignment horizontal="center" vertical="center" wrapText="1"/>
    </xf>
    <xf numFmtId="0" fontId="120" fillId="0" borderId="33" xfId="0" applyFont="1" applyFill="1" applyBorder="1" applyAlignment="1">
      <alignment horizontal="center" vertical="center" wrapText="1"/>
    </xf>
    <xf numFmtId="0" fontId="120" fillId="0" borderId="43" xfId="0" applyFont="1" applyFill="1" applyBorder="1" applyAlignment="1">
      <alignment horizontal="center" vertical="center" wrapText="1"/>
    </xf>
    <xf numFmtId="0" fontId="120" fillId="0" borderId="114" xfId="0" applyFont="1" applyFill="1" applyBorder="1" applyAlignment="1">
      <alignment horizontal="center" vertical="center" wrapText="1"/>
    </xf>
    <xf numFmtId="0" fontId="120" fillId="0" borderId="78" xfId="0" applyFont="1" applyFill="1" applyBorder="1" applyAlignment="1">
      <alignment horizontal="center" vertical="center"/>
    </xf>
    <xf numFmtId="0" fontId="120" fillId="0" borderId="68" xfId="0" applyFont="1" applyFill="1" applyBorder="1" applyAlignment="1">
      <alignment horizontal="center" vertical="center"/>
    </xf>
    <xf numFmtId="0" fontId="120" fillId="0" borderId="67" xfId="0" applyFont="1" applyFill="1" applyBorder="1" applyAlignment="1">
      <alignment horizontal="center" vertical="center"/>
    </xf>
    <xf numFmtId="0" fontId="120" fillId="0" borderId="106" xfId="0" applyFont="1" applyFill="1" applyBorder="1" applyAlignment="1">
      <alignment horizontal="center" vertical="center"/>
    </xf>
    <xf numFmtId="0" fontId="120" fillId="0" borderId="92" xfId="0" applyFont="1" applyFill="1" applyBorder="1" applyAlignment="1">
      <alignment horizontal="center" vertical="center"/>
    </xf>
    <xf numFmtId="0" fontId="120" fillId="0" borderId="66" xfId="0" applyFont="1" applyFill="1" applyBorder="1" applyAlignment="1">
      <alignment horizontal="center" vertical="center"/>
    </xf>
    <xf numFmtId="0" fontId="122" fillId="0" borderId="96" xfId="0" applyFont="1" applyBorder="1" applyAlignment="1">
      <alignment horizontal="center" vertical="center"/>
    </xf>
    <xf numFmtId="0" fontId="120" fillId="0" borderId="112" xfId="0" applyFont="1" applyFill="1" applyBorder="1" applyAlignment="1">
      <alignment horizontal="center" vertical="center" wrapText="1"/>
    </xf>
    <xf numFmtId="0" fontId="120" fillId="0" borderId="90" xfId="0" applyFont="1" applyFill="1" applyBorder="1" applyAlignment="1">
      <alignment horizontal="center" vertical="center" wrapText="1"/>
    </xf>
    <xf numFmtId="0" fontId="120" fillId="0" borderId="32" xfId="0" applyFont="1" applyFill="1" applyBorder="1" applyAlignment="1">
      <alignment horizontal="center" vertical="center" wrapText="1"/>
    </xf>
    <xf numFmtId="0" fontId="120" fillId="0" borderId="81" xfId="0" applyFont="1" applyFill="1" applyBorder="1" applyAlignment="1">
      <alignment horizontal="center" vertical="center"/>
    </xf>
    <xf numFmtId="0" fontId="120" fillId="0" borderId="71" xfId="0" applyFont="1" applyFill="1" applyBorder="1" applyAlignment="1">
      <alignment horizontal="center" vertical="center"/>
    </xf>
    <xf numFmtId="0" fontId="120" fillId="0" borderId="94" xfId="0" applyFont="1" applyFill="1" applyBorder="1" applyAlignment="1">
      <alignment horizontal="center" vertical="center"/>
    </xf>
    <xf numFmtId="0" fontId="120" fillId="0" borderId="18" xfId="0" applyFont="1" applyFill="1" applyBorder="1" applyAlignment="1">
      <alignment horizontal="center" vertical="center"/>
    </xf>
    <xf numFmtId="0" fontId="120" fillId="0" borderId="60" xfId="0" applyFont="1" applyFill="1" applyBorder="1" applyAlignment="1">
      <alignment horizontal="center" vertical="center"/>
    </xf>
    <xf numFmtId="0" fontId="120" fillId="0" borderId="42" xfId="0" applyFont="1" applyFill="1" applyBorder="1" applyAlignment="1">
      <alignment horizontal="center" vertical="center"/>
    </xf>
    <xf numFmtId="0" fontId="120" fillId="0" borderId="61" xfId="0" applyFont="1" applyFill="1" applyBorder="1" applyAlignment="1">
      <alignment horizontal="center" vertical="center"/>
    </xf>
    <xf numFmtId="0" fontId="120" fillId="0" borderId="62" xfId="0" applyFont="1" applyFill="1" applyBorder="1" applyAlignment="1">
      <alignment horizontal="center" vertical="center"/>
    </xf>
    <xf numFmtId="0" fontId="120" fillId="0" borderId="28" xfId="0" applyFont="1" applyFill="1" applyBorder="1" applyAlignment="1">
      <alignment horizontal="center" vertical="center"/>
    </xf>
    <xf numFmtId="0" fontId="120" fillId="0" borderId="107" xfId="0" applyFont="1" applyFill="1" applyBorder="1" applyAlignment="1">
      <alignment horizontal="center" vertical="center"/>
    </xf>
    <xf numFmtId="0" fontId="120" fillId="0" borderId="112" xfId="0" applyFont="1" applyFill="1" applyBorder="1" applyAlignment="1">
      <alignment horizontal="center" vertical="center"/>
    </xf>
    <xf numFmtId="0" fontId="120" fillId="0" borderId="76" xfId="0" applyFont="1" applyFill="1" applyBorder="1" applyAlignment="1">
      <alignment horizontal="center" vertical="center"/>
    </xf>
    <xf numFmtId="0" fontId="120" fillId="0" borderId="108" xfId="0" applyFont="1" applyFill="1" applyBorder="1" applyAlignment="1">
      <alignment horizontal="center" vertical="center"/>
    </xf>
    <xf numFmtId="0" fontId="120" fillId="0" borderId="63" xfId="0" applyFont="1" applyBorder="1" applyAlignment="1">
      <alignment horizontal="center" vertical="center"/>
    </xf>
    <xf numFmtId="0" fontId="120" fillId="0" borderId="105" xfId="0" applyFont="1" applyBorder="1" applyAlignment="1">
      <alignment horizontal="center" vertical="center"/>
    </xf>
    <xf numFmtId="0" fontId="119" fillId="0" borderId="15" xfId="0" applyFont="1" applyFill="1" applyBorder="1" applyAlignment="1">
      <alignment horizontal="center" vertical="center"/>
    </xf>
    <xf numFmtId="0" fontId="120" fillId="0" borderId="28" xfId="0" applyFont="1" applyBorder="1" applyAlignment="1">
      <alignment horizontal="center" vertical="center"/>
    </xf>
    <xf numFmtId="0" fontId="120" fillId="0" borderId="107" xfId="0" applyFont="1" applyBorder="1" applyAlignment="1">
      <alignment horizontal="center" vertical="center"/>
    </xf>
    <xf numFmtId="0" fontId="120" fillId="0" borderId="31" xfId="0" applyFont="1" applyBorder="1" applyAlignment="1">
      <alignment horizontal="center" vertical="center"/>
    </xf>
    <xf numFmtId="0" fontId="120" fillId="0" borderId="3" xfId="0" applyFont="1" applyBorder="1" applyAlignment="1">
      <alignment horizontal="center" vertical="center"/>
    </xf>
    <xf numFmtId="0" fontId="120" fillId="0" borderId="108" xfId="0" applyFont="1" applyBorder="1" applyAlignment="1">
      <alignment horizontal="center" vertical="center"/>
    </xf>
    <xf numFmtId="0" fontId="120" fillId="0" borderId="41" xfId="0" applyFont="1" applyBorder="1" applyAlignment="1">
      <alignment horizontal="center" vertical="center"/>
    </xf>
    <xf numFmtId="0" fontId="120" fillId="0" borderId="112" xfId="0" applyFont="1" applyBorder="1" applyAlignment="1">
      <alignment horizontal="center" vertical="center"/>
    </xf>
    <xf numFmtId="0" fontId="120" fillId="0" borderId="32" xfId="0" applyFont="1" applyBorder="1" applyAlignment="1">
      <alignment horizontal="center" vertical="center"/>
    </xf>
    <xf numFmtId="0" fontId="120" fillId="0" borderId="40" xfId="0" applyFont="1" applyBorder="1" applyAlignment="1">
      <alignment horizontal="center" vertical="center"/>
    </xf>
    <xf numFmtId="0" fontId="120" fillId="0" borderId="76" xfId="0" applyFont="1" applyBorder="1" applyAlignment="1">
      <alignment horizontal="center" vertical="center"/>
    </xf>
    <xf numFmtId="0" fontId="120" fillId="0" borderId="72" xfId="0" applyFont="1" applyBorder="1" applyAlignment="1">
      <alignment horizontal="center" vertical="center"/>
    </xf>
    <xf numFmtId="0" fontId="120" fillId="0" borderId="115" xfId="0" applyFont="1" applyBorder="1" applyAlignment="1">
      <alignment horizontal="center" vertical="center"/>
    </xf>
    <xf numFmtId="0" fontId="120" fillId="0" borderId="85" xfId="0" applyFont="1" applyBorder="1" applyAlignment="1">
      <alignment horizontal="center" vertical="center"/>
    </xf>
    <xf numFmtId="181" fontId="120" fillId="0" borderId="107" xfId="0" applyNumberFormat="1" applyFont="1" applyBorder="1" applyAlignment="1">
      <alignment horizontal="center" vertical="center"/>
    </xf>
    <xf numFmtId="236" fontId="120" fillId="0" borderId="107" xfId="0" applyNumberFormat="1" applyFont="1" applyBorder="1" applyAlignment="1">
      <alignment horizontal="center" vertical="center"/>
    </xf>
    <xf numFmtId="0" fontId="120" fillId="0" borderId="71" xfId="0" applyFont="1" applyBorder="1" applyAlignment="1">
      <alignment horizontal="center" vertical="center"/>
    </xf>
    <xf numFmtId="0" fontId="120" fillId="0" borderId="86" xfId="0" applyFont="1" applyBorder="1" applyAlignment="1">
      <alignment horizontal="center" vertical="center"/>
    </xf>
    <xf numFmtId="181" fontId="120" fillId="0" borderId="108" xfId="0" applyNumberFormat="1" applyFont="1" applyBorder="1" applyAlignment="1">
      <alignment horizontal="center" vertical="center"/>
    </xf>
    <xf numFmtId="181" fontId="120" fillId="0" borderId="41" xfId="0" applyNumberFormat="1" applyFont="1" applyBorder="1" applyAlignment="1">
      <alignment horizontal="center" vertical="center"/>
    </xf>
    <xf numFmtId="181" fontId="120" fillId="0" borderId="76" xfId="0" applyNumberFormat="1" applyFont="1" applyBorder="1" applyAlignment="1">
      <alignment horizontal="center" vertical="center"/>
    </xf>
    <xf numFmtId="181" fontId="120" fillId="0" borderId="3" xfId="0" applyNumberFormat="1" applyFont="1" applyBorder="1" applyAlignment="1">
      <alignment horizontal="center" vertical="center"/>
    </xf>
    <xf numFmtId="2" fontId="120" fillId="0" borderId="51" xfId="0" applyNumberFormat="1" applyFont="1" applyBorder="1" applyAlignment="1">
      <alignment horizontal="center" vertical="center"/>
    </xf>
    <xf numFmtId="2" fontId="120" fillId="0" borderId="53" xfId="0" applyNumberFormat="1" applyFont="1" applyBorder="1" applyAlignment="1">
      <alignment horizontal="center" vertical="center"/>
    </xf>
    <xf numFmtId="2" fontId="120" fillId="0" borderId="105" xfId="0" applyNumberFormat="1" applyFont="1" applyBorder="1" applyAlignment="1">
      <alignment horizontal="center" vertical="center"/>
    </xf>
    <xf numFmtId="236" fontId="120" fillId="0" borderId="3" xfId="0" applyNumberFormat="1" applyFont="1" applyBorder="1" applyAlignment="1">
      <alignment horizontal="center" vertical="center"/>
    </xf>
    <xf numFmtId="0" fontId="123" fillId="0" borderId="0" xfId="0" applyFont="1" applyFill="1" applyAlignment="1">
      <alignment horizontal="center" vertical="center"/>
    </xf>
    <xf numFmtId="242" fontId="120" fillId="0" borderId="91" xfId="0" applyNumberFormat="1" applyFont="1" applyFill="1" applyBorder="1" applyAlignment="1">
      <alignment horizontal="center" vertical="center"/>
    </xf>
    <xf numFmtId="0" fontId="120" fillId="0" borderId="41" xfId="0" applyFont="1" applyFill="1" applyBorder="1" applyAlignment="1">
      <alignment horizontal="center" vertical="center"/>
    </xf>
    <xf numFmtId="0" fontId="120" fillId="0" borderId="97" xfId="0" applyFont="1" applyFill="1" applyBorder="1" applyAlignment="1">
      <alignment horizontal="center" vertical="center"/>
    </xf>
    <xf numFmtId="0" fontId="120" fillId="0" borderId="1" xfId="0" applyFont="1" applyFill="1" applyBorder="1" applyAlignment="1">
      <alignment horizontal="center" vertical="center"/>
    </xf>
    <xf numFmtId="0" fontId="121" fillId="0" borderId="35" xfId="0" applyFont="1" applyFill="1" applyBorder="1" applyAlignment="1">
      <alignment horizontal="center" vertical="center" wrapText="1"/>
    </xf>
    <xf numFmtId="0" fontId="121" fillId="0" borderId="36" xfId="0" applyFont="1" applyFill="1" applyBorder="1" applyAlignment="1">
      <alignment horizontal="center" vertical="center" wrapText="1"/>
    </xf>
    <xf numFmtId="0" fontId="120" fillId="0" borderId="35" xfId="0" applyFont="1" applyFill="1" applyBorder="1" applyAlignment="1">
      <alignment horizontal="center" vertical="center"/>
    </xf>
    <xf numFmtId="0" fontId="120" fillId="0" borderId="13" xfId="0" applyFont="1" applyFill="1" applyBorder="1" applyAlignment="1">
      <alignment horizontal="center" vertical="center"/>
    </xf>
    <xf numFmtId="0" fontId="121" fillId="0" borderId="13" xfId="0" applyFont="1" applyFill="1" applyBorder="1" applyAlignment="1">
      <alignment horizontal="center" vertical="center"/>
    </xf>
    <xf numFmtId="0" fontId="121" fillId="0" borderId="36" xfId="0" applyFont="1" applyFill="1" applyBorder="1" applyAlignment="1">
      <alignment horizontal="center" vertical="center"/>
    </xf>
    <xf numFmtId="0" fontId="120" fillId="0" borderId="48" xfId="0" applyFont="1" applyFill="1" applyBorder="1" applyAlignment="1">
      <alignment horizontal="center" vertical="center" wrapText="1"/>
    </xf>
    <xf numFmtId="0" fontId="122" fillId="0" borderId="0" xfId="0" applyFont="1" applyFill="1" applyBorder="1" applyAlignment="1">
      <alignment horizontal="center" vertical="center"/>
    </xf>
    <xf numFmtId="0" fontId="120" fillId="0" borderId="36" xfId="0" applyFont="1" applyFill="1" applyBorder="1" applyAlignment="1">
      <alignment horizontal="center" vertical="center"/>
    </xf>
    <xf numFmtId="0" fontId="120" fillId="0" borderId="69" xfId="0" applyFont="1" applyFill="1" applyBorder="1" applyAlignment="1">
      <alignment horizontal="center" vertical="center" wrapText="1"/>
    </xf>
    <xf numFmtId="0" fontId="120" fillId="0" borderId="55" xfId="0" applyFont="1" applyFill="1" applyBorder="1" applyAlignment="1">
      <alignment horizontal="center" vertical="center"/>
    </xf>
    <xf numFmtId="0" fontId="120" fillId="0" borderId="70" xfId="0" applyFont="1" applyFill="1" applyBorder="1" applyAlignment="1">
      <alignment horizontal="center" vertical="center"/>
    </xf>
    <xf numFmtId="0" fontId="120" fillId="0" borderId="121" xfId="0" applyFont="1" applyFill="1" applyBorder="1" applyAlignment="1">
      <alignment horizontal="center" vertical="center"/>
    </xf>
    <xf numFmtId="0" fontId="120" fillId="0" borderId="56" xfId="0" applyFont="1" applyFill="1" applyBorder="1" applyAlignment="1">
      <alignment horizontal="center" vertical="center"/>
    </xf>
    <xf numFmtId="0" fontId="120" fillId="0" borderId="108" xfId="0" applyFont="1" applyFill="1" applyBorder="1" applyAlignment="1">
      <alignment horizontal="center" vertical="center" wrapText="1"/>
    </xf>
    <xf numFmtId="0" fontId="120" fillId="0" borderId="76" xfId="0" applyFont="1" applyFill="1" applyBorder="1" applyAlignment="1">
      <alignment horizontal="center" vertical="center" wrapText="1"/>
    </xf>
    <xf numFmtId="0" fontId="120" fillId="0" borderId="41" xfId="0" applyFont="1" applyFill="1" applyBorder="1" applyAlignment="1">
      <alignment horizontal="center" vertical="center" wrapText="1"/>
    </xf>
    <xf numFmtId="0" fontId="120" fillId="0" borderId="28" xfId="0" applyFont="1" applyFill="1" applyBorder="1" applyAlignment="1">
      <alignment horizontal="center" vertical="center" wrapText="1"/>
    </xf>
    <xf numFmtId="0" fontId="120" fillId="0" borderId="2" xfId="0" applyFont="1" applyFill="1" applyBorder="1" applyAlignment="1">
      <alignment horizontal="center" vertical="center"/>
    </xf>
    <xf numFmtId="2" fontId="120" fillId="0" borderId="107" xfId="0" applyNumberFormat="1" applyFont="1" applyFill="1" applyBorder="1" applyAlignment="1">
      <alignment horizontal="center" vertical="center"/>
    </xf>
    <xf numFmtId="0" fontId="121" fillId="0" borderId="92" xfId="0" applyFont="1" applyFill="1" applyBorder="1" applyAlignment="1">
      <alignment horizontal="center" vertical="center"/>
    </xf>
    <xf numFmtId="0" fontId="121" fillId="0" borderId="66" xfId="0" applyFont="1" applyFill="1" applyBorder="1" applyAlignment="1">
      <alignment horizontal="center" vertical="center"/>
    </xf>
    <xf numFmtId="0" fontId="120" fillId="0" borderId="2" xfId="0" applyFont="1" applyFill="1" applyBorder="1" applyAlignment="1">
      <alignment horizontal="center" vertical="center" wrapText="1"/>
    </xf>
    <xf numFmtId="0" fontId="120" fillId="0" borderId="31" xfId="0" applyFont="1" applyFill="1" applyBorder="1" applyAlignment="1">
      <alignment horizontal="center" vertical="center"/>
    </xf>
    <xf numFmtId="2" fontId="120" fillId="0" borderId="91" xfId="0" applyNumberFormat="1" applyFont="1" applyFill="1" applyBorder="1" applyAlignment="1">
      <alignment horizontal="center" vertical="center"/>
    </xf>
    <xf numFmtId="0" fontId="120" fillId="0" borderId="3" xfId="0" applyFont="1" applyFill="1" applyBorder="1" applyAlignment="1">
      <alignment horizontal="center" vertical="center"/>
    </xf>
    <xf numFmtId="0" fontId="120" fillId="0" borderId="13" xfId="0" applyFont="1" applyFill="1" applyBorder="1" applyAlignment="1">
      <alignment horizontal="center" vertical="center" wrapText="1"/>
    </xf>
    <xf numFmtId="2" fontId="120" fillId="0" borderId="97" xfId="0" applyNumberFormat="1" applyFont="1" applyFill="1" applyBorder="1" applyAlignment="1">
      <alignment horizontal="center" vertical="center"/>
    </xf>
    <xf numFmtId="0" fontId="20" fillId="0" borderId="96" xfId="16" applyFont="1" applyBorder="1" applyAlignment="1">
      <alignment horizontal="center" vertical="center"/>
    </xf>
    <xf numFmtId="0" fontId="14" fillId="0" borderId="28" xfId="16" applyFont="1" applyBorder="1" applyAlignment="1">
      <alignment horizontal="center" vertical="center"/>
    </xf>
    <xf numFmtId="0" fontId="14" fillId="0" borderId="31" xfId="16" applyFont="1" applyBorder="1" applyAlignment="1">
      <alignment horizontal="center" vertical="center"/>
    </xf>
    <xf numFmtId="0" fontId="14" fillId="0" borderId="112" xfId="16" applyFont="1" applyBorder="1" applyAlignment="1">
      <alignment horizontal="center" vertical="center"/>
    </xf>
    <xf numFmtId="0" fontId="14" fillId="0" borderId="32" xfId="16" applyFont="1" applyBorder="1" applyAlignment="1">
      <alignment horizontal="center" vertical="center"/>
    </xf>
    <xf numFmtId="0" fontId="20" fillId="0" borderId="0" xfId="16" applyFont="1" applyAlignment="1">
      <alignment horizontal="center" vertical="center"/>
    </xf>
    <xf numFmtId="0" fontId="86" fillId="0" borderId="0" xfId="16" applyFont="1" applyAlignment="1">
      <alignment horizontal="center" vertical="center"/>
    </xf>
    <xf numFmtId="178" fontId="86" fillId="0" borderId="0" xfId="16" applyNumberFormat="1" applyFont="1" applyAlignment="1">
      <alignment horizontal="center" vertical="center"/>
    </xf>
    <xf numFmtId="181" fontId="86" fillId="0" borderId="0" xfId="16" applyNumberFormat="1" applyFont="1" applyAlignment="1">
      <alignment horizontal="center" vertical="center"/>
    </xf>
    <xf numFmtId="0" fontId="16" fillId="0" borderId="81" xfId="16" applyFont="1" applyBorder="1" applyAlignment="1">
      <alignment horizontal="center" vertical="center"/>
    </xf>
    <xf numFmtId="0" fontId="16" fillId="0" borderId="71" xfId="16" applyFont="1" applyBorder="1" applyAlignment="1">
      <alignment horizontal="center" vertical="center"/>
    </xf>
    <xf numFmtId="0" fontId="16" fillId="0" borderId="86" xfId="16" applyFont="1" applyBorder="1" applyAlignment="1">
      <alignment horizontal="center" vertical="center"/>
    </xf>
    <xf numFmtId="0" fontId="16" fillId="0" borderId="85" xfId="16" applyFont="1" applyBorder="1" applyAlignment="1">
      <alignment horizontal="center" vertical="center"/>
    </xf>
    <xf numFmtId="0" fontId="16" fillId="0" borderId="102" xfId="16" applyFont="1" applyBorder="1" applyAlignment="1">
      <alignment horizontal="center" vertical="center"/>
    </xf>
    <xf numFmtId="0" fontId="16" fillId="0" borderId="103" xfId="16" applyFont="1" applyBorder="1" applyAlignment="1">
      <alignment horizontal="center" vertical="center"/>
    </xf>
    <xf numFmtId="0" fontId="14" fillId="0" borderId="78" xfId="16" applyFont="1" applyBorder="1" applyAlignment="1">
      <alignment horizontal="center" vertical="center" wrapText="1"/>
    </xf>
    <xf numFmtId="0" fontId="14" fillId="0" borderId="79" xfId="16" applyFont="1" applyBorder="1" applyAlignment="1">
      <alignment horizontal="center" vertical="center" wrapText="1"/>
    </xf>
    <xf numFmtId="0" fontId="14" fillId="0" borderId="68" xfId="16" applyFont="1" applyBorder="1" applyAlignment="1">
      <alignment horizontal="center" vertical="center" wrapText="1"/>
    </xf>
    <xf numFmtId="0" fontId="14" fillId="0" borderId="67" xfId="16" applyFont="1" applyBorder="1" applyAlignment="1">
      <alignment horizontal="center" vertical="center" wrapText="1"/>
    </xf>
    <xf numFmtId="0" fontId="14" fillId="0" borderId="0" xfId="16" applyFont="1" applyAlignment="1">
      <alignment horizontal="center" vertical="center" wrapText="1"/>
    </xf>
    <xf numFmtId="0" fontId="14" fillId="0" borderId="106" xfId="16" applyFont="1" applyBorder="1" applyAlignment="1">
      <alignment horizontal="center" vertical="center" wrapText="1"/>
    </xf>
    <xf numFmtId="0" fontId="14" fillId="0" borderId="92" xfId="16" applyFont="1" applyBorder="1" applyAlignment="1">
      <alignment horizontal="center" vertical="center" wrapText="1"/>
    </xf>
    <xf numFmtId="0" fontId="14" fillId="0" borderId="96" xfId="16" applyFont="1" applyBorder="1" applyAlignment="1">
      <alignment horizontal="center" vertical="center" wrapText="1"/>
    </xf>
    <xf numFmtId="0" fontId="14" fillId="0" borderId="66" xfId="16" applyFont="1" applyBorder="1" applyAlignment="1">
      <alignment horizontal="center" vertical="center" wrapText="1"/>
    </xf>
    <xf numFmtId="179" fontId="14" fillId="0" borderId="41" xfId="16" applyNumberFormat="1" applyFont="1" applyBorder="1" applyAlignment="1">
      <alignment horizontal="center" vertical="center" wrapText="1"/>
    </xf>
    <xf numFmtId="179" fontId="14" fillId="0" borderId="76" xfId="16" applyNumberFormat="1" applyFont="1" applyBorder="1" applyAlignment="1">
      <alignment horizontal="center" vertical="center" wrapText="1"/>
    </xf>
    <xf numFmtId="0" fontId="14" fillId="0" borderId="91" xfId="16" applyFont="1" applyBorder="1" applyAlignment="1">
      <alignment horizontal="center" vertical="center"/>
    </xf>
    <xf numFmtId="0" fontId="14" fillId="0" borderId="90" xfId="16" applyFont="1" applyBorder="1" applyAlignment="1">
      <alignment horizontal="center" vertical="center"/>
    </xf>
    <xf numFmtId="179" fontId="14" fillId="0" borderId="58" xfId="16" applyNumberFormat="1" applyFont="1" applyBorder="1" applyAlignment="1">
      <alignment horizontal="center" vertical="center" wrapText="1"/>
    </xf>
    <xf numFmtId="179" fontId="14" fillId="0" borderId="44" xfId="16" applyNumberFormat="1" applyFont="1" applyBorder="1" applyAlignment="1">
      <alignment horizontal="center" vertical="center" wrapText="1"/>
    </xf>
    <xf numFmtId="179" fontId="14" fillId="0" borderId="53" xfId="16" applyNumberFormat="1" applyFont="1" applyBorder="1" applyAlignment="1">
      <alignment horizontal="center" vertical="center" wrapText="1"/>
    </xf>
    <xf numFmtId="179" fontId="14" fillId="0" borderId="105" xfId="16" applyNumberFormat="1" applyFont="1" applyBorder="1" applyAlignment="1">
      <alignment horizontal="center" vertical="center" wrapText="1"/>
    </xf>
    <xf numFmtId="0" fontId="14" fillId="0" borderId="3" xfId="16" applyFont="1" applyBorder="1" applyAlignment="1">
      <alignment horizontal="center" vertical="center"/>
    </xf>
    <xf numFmtId="0" fontId="13" fillId="0" borderId="107" xfId="16" applyFont="1" applyBorder="1" applyAlignment="1">
      <alignment horizontal="center" vertical="center"/>
    </xf>
    <xf numFmtId="0" fontId="13" fillId="0" borderId="70" xfId="16" applyFont="1" applyBorder="1" applyAlignment="1">
      <alignment horizontal="center" vertical="center"/>
    </xf>
    <xf numFmtId="0" fontId="13" fillId="0" borderId="56" xfId="16" applyFont="1" applyBorder="1" applyAlignment="1">
      <alignment horizontal="center" vertical="center"/>
    </xf>
    <xf numFmtId="0" fontId="13" fillId="0" borderId="2" xfId="16" applyFont="1" applyBorder="1" applyAlignment="1">
      <alignment horizontal="center" vertical="center"/>
    </xf>
    <xf numFmtId="0" fontId="13" fillId="0" borderId="28" xfId="16" applyFont="1" applyBorder="1" applyAlignment="1">
      <alignment horizontal="center" vertical="center"/>
    </xf>
    <xf numFmtId="0" fontId="13" fillId="0" borderId="31" xfId="16" applyFont="1" applyBorder="1" applyAlignment="1">
      <alignment horizontal="center" vertical="center"/>
    </xf>
    <xf numFmtId="0" fontId="13" fillId="0" borderId="3" xfId="16" applyFont="1" applyBorder="1" applyAlignment="1">
      <alignment horizontal="center" vertical="center"/>
    </xf>
    <xf numFmtId="0" fontId="119" fillId="0" borderId="0" xfId="0" applyFont="1" applyFill="1" applyAlignment="1">
      <alignment horizontal="center" vertical="center"/>
    </xf>
    <xf numFmtId="0" fontId="121" fillId="0" borderId="72" xfId="0" applyFont="1" applyFill="1" applyBorder="1" applyAlignment="1">
      <alignment horizontal="center" vertical="center" shrinkToFit="1"/>
    </xf>
    <xf numFmtId="0" fontId="121" fillId="0" borderId="115" xfId="0" applyFont="1" applyFill="1" applyBorder="1" applyAlignment="1">
      <alignment horizontal="center" vertical="center" shrinkToFit="1"/>
    </xf>
    <xf numFmtId="183" fontId="120" fillId="0" borderId="95" xfId="0" applyNumberFormat="1" applyFont="1" applyFill="1" applyBorder="1" applyAlignment="1">
      <alignment horizontal="center" vertical="center"/>
    </xf>
    <xf numFmtId="183" fontId="120" fillId="0" borderId="58" xfId="0" applyNumberFormat="1" applyFont="1" applyFill="1" applyBorder="1" applyAlignment="1">
      <alignment horizontal="center" vertical="center"/>
    </xf>
    <xf numFmtId="183" fontId="120" fillId="0" borderId="61" xfId="0" applyNumberFormat="1" applyFont="1" applyFill="1" applyBorder="1" applyAlignment="1">
      <alignment horizontal="center" vertical="center"/>
    </xf>
    <xf numFmtId="183" fontId="121" fillId="0" borderId="85" xfId="0" applyNumberFormat="1" applyFont="1" applyFill="1" applyBorder="1" applyAlignment="1">
      <alignment horizontal="center" vertical="center" wrapText="1" shrinkToFit="1"/>
    </xf>
    <xf numFmtId="183" fontId="121" fillId="0" borderId="71" xfId="0" applyNumberFormat="1" applyFont="1" applyFill="1" applyBorder="1" applyAlignment="1">
      <alignment horizontal="center" vertical="center" wrapText="1" shrinkToFit="1"/>
    </xf>
    <xf numFmtId="183" fontId="121" fillId="0" borderId="94" xfId="0" applyNumberFormat="1" applyFont="1" applyFill="1" applyBorder="1" applyAlignment="1">
      <alignment horizontal="center" vertical="center" wrapText="1" shrinkToFit="1"/>
    </xf>
    <xf numFmtId="0" fontId="120" fillId="0" borderId="100" xfId="13" applyFont="1" applyFill="1" applyBorder="1" applyAlignment="1">
      <alignment horizontal="center" vertical="center"/>
    </xf>
    <xf numFmtId="0" fontId="120" fillId="0" borderId="113" xfId="13" applyFont="1" applyFill="1" applyBorder="1" applyAlignment="1">
      <alignment horizontal="center" vertical="center"/>
    </xf>
    <xf numFmtId="0" fontId="120" fillId="0" borderId="99" xfId="13" applyFont="1" applyFill="1" applyBorder="1" applyAlignment="1">
      <alignment horizontal="center" vertical="center"/>
    </xf>
    <xf numFmtId="0" fontId="120" fillId="0" borderId="67" xfId="13" applyFont="1" applyFill="1" applyBorder="1" applyAlignment="1">
      <alignment horizontal="center" vertical="center"/>
    </xf>
    <xf numFmtId="0" fontId="120" fillId="0" borderId="0" xfId="13" applyFont="1" applyFill="1" applyBorder="1" applyAlignment="1">
      <alignment horizontal="center" vertical="center"/>
    </xf>
    <xf numFmtId="0" fontId="120" fillId="0" borderId="106" xfId="13" applyFont="1" applyFill="1" applyBorder="1" applyAlignment="1">
      <alignment horizontal="center" vertical="center"/>
    </xf>
    <xf numFmtId="0" fontId="120" fillId="0" borderId="92" xfId="13" applyFont="1" applyFill="1" applyBorder="1" applyAlignment="1">
      <alignment horizontal="center" vertical="center"/>
    </xf>
    <xf numFmtId="0" fontId="120" fillId="0" borderId="96" xfId="13" applyFont="1" applyFill="1" applyBorder="1" applyAlignment="1">
      <alignment horizontal="center" vertical="center"/>
    </xf>
    <xf numFmtId="0" fontId="120" fillId="0" borderId="66" xfId="13" applyFont="1" applyFill="1" applyBorder="1" applyAlignment="1">
      <alignment horizontal="center" vertical="center"/>
    </xf>
    <xf numFmtId="0" fontId="120" fillId="0" borderId="81" xfId="13" applyFont="1" applyFill="1" applyBorder="1" applyAlignment="1">
      <alignment horizontal="center" vertical="center"/>
    </xf>
    <xf numFmtId="0" fontId="120" fillId="0" borderId="71" xfId="13" applyFont="1" applyFill="1" applyBorder="1" applyAlignment="1">
      <alignment horizontal="center" vertical="center"/>
    </xf>
    <xf numFmtId="0" fontId="120" fillId="0" borderId="86" xfId="13" applyFont="1" applyFill="1" applyBorder="1" applyAlignment="1">
      <alignment horizontal="center" vertical="center"/>
    </xf>
    <xf numFmtId="0" fontId="120" fillId="0" borderId="78" xfId="13" applyFont="1" applyFill="1" applyBorder="1" applyAlignment="1">
      <alignment horizontal="center" vertical="center"/>
    </xf>
    <xf numFmtId="0" fontId="120" fillId="0" borderId="79" xfId="13" applyFont="1" applyFill="1" applyBorder="1" applyAlignment="1">
      <alignment horizontal="center" vertical="center"/>
    </xf>
    <xf numFmtId="0" fontId="120" fillId="0" borderId="68" xfId="13" applyFont="1" applyFill="1" applyBorder="1" applyAlignment="1">
      <alignment horizontal="center" vertical="center"/>
    </xf>
    <xf numFmtId="0" fontId="120" fillId="0" borderId="59" xfId="13" applyFont="1" applyFill="1" applyBorder="1" applyAlignment="1">
      <alignment horizontal="center" vertical="center"/>
    </xf>
    <xf numFmtId="0" fontId="120" fillId="0" borderId="11" xfId="13" applyFont="1" applyFill="1" applyBorder="1" applyAlignment="1">
      <alignment horizontal="center" vertical="center"/>
    </xf>
    <xf numFmtId="0" fontId="120" fillId="0" borderId="6" xfId="13" applyFont="1" applyFill="1" applyBorder="1" applyAlignment="1">
      <alignment horizontal="center" vertical="center"/>
    </xf>
    <xf numFmtId="188" fontId="120" fillId="0" borderId="69" xfId="0" applyNumberFormat="1" applyFont="1" applyFill="1" applyBorder="1" applyAlignment="1">
      <alignment horizontal="center" vertical="center" wrapText="1" shrinkToFit="1"/>
    </xf>
    <xf numFmtId="188" fontId="120" fillId="0" borderId="1" xfId="0" applyNumberFormat="1" applyFont="1" applyFill="1" applyBorder="1" applyAlignment="1">
      <alignment horizontal="center" vertical="center" wrapText="1" shrinkToFit="1"/>
    </xf>
    <xf numFmtId="0" fontId="120" fillId="0" borderId="69" xfId="0" applyFont="1" applyFill="1" applyBorder="1" applyAlignment="1">
      <alignment horizontal="center" vertical="center" wrapText="1" shrinkToFit="1"/>
    </xf>
    <xf numFmtId="0" fontId="120" fillId="0" borderId="1" xfId="0" applyFont="1" applyFill="1" applyBorder="1" applyAlignment="1">
      <alignment horizontal="center" vertical="center" wrapText="1" shrinkToFit="1"/>
    </xf>
    <xf numFmtId="183" fontId="120" fillId="0" borderId="108" xfId="0" applyNumberFormat="1" applyFont="1" applyFill="1" applyBorder="1" applyAlignment="1">
      <alignment horizontal="center" vertical="center" shrinkToFit="1"/>
    </xf>
    <xf numFmtId="183" fontId="120" fillId="0" borderId="76" xfId="0" applyNumberFormat="1" applyFont="1" applyFill="1" applyBorder="1" applyAlignment="1">
      <alignment horizontal="center" vertical="center" shrinkToFit="1"/>
    </xf>
    <xf numFmtId="183" fontId="120" fillId="0" borderId="88" xfId="0" applyNumberFormat="1" applyFont="1" applyFill="1" applyBorder="1" applyAlignment="1">
      <alignment horizontal="center" vertical="center"/>
    </xf>
    <xf numFmtId="183" fontId="120" fillId="0" borderId="79" xfId="0" applyNumberFormat="1" applyFont="1" applyFill="1" applyBorder="1" applyAlignment="1">
      <alignment horizontal="center" vertical="center"/>
    </xf>
    <xf numFmtId="183" fontId="120" fillId="0" borderId="80" xfId="0" applyNumberFormat="1" applyFont="1" applyFill="1" applyBorder="1" applyAlignment="1">
      <alignment horizontal="center" vertical="center"/>
    </xf>
    <xf numFmtId="183" fontId="120" fillId="0" borderId="46" xfId="0" applyNumberFormat="1" applyFont="1" applyFill="1" applyBorder="1" applyAlignment="1">
      <alignment horizontal="center" vertical="center"/>
    </xf>
    <xf numFmtId="183" fontId="120" fillId="0" borderId="11" xfId="0" applyNumberFormat="1" applyFont="1" applyFill="1" applyBorder="1" applyAlignment="1">
      <alignment horizontal="center" vertical="center"/>
    </xf>
    <xf numFmtId="183" fontId="120" fillId="0" borderId="23" xfId="0" applyNumberFormat="1" applyFont="1" applyFill="1" applyBorder="1" applyAlignment="1">
      <alignment horizontal="center" vertical="center"/>
    </xf>
    <xf numFmtId="0" fontId="121" fillId="0" borderId="81" xfId="0" applyFont="1" applyFill="1" applyBorder="1" applyAlignment="1">
      <alignment horizontal="center" vertical="center" wrapText="1" shrinkToFit="1"/>
    </xf>
    <xf numFmtId="0" fontId="121" fillId="0" borderId="71" xfId="0" applyFont="1" applyFill="1" applyBorder="1" applyAlignment="1">
      <alignment horizontal="center" vertical="center" wrapText="1" shrinkToFit="1"/>
    </xf>
    <xf numFmtId="0" fontId="121" fillId="0" borderId="86" xfId="0" applyFont="1" applyFill="1" applyBorder="1" applyAlignment="1">
      <alignment horizontal="center" vertical="center" wrapText="1" shrinkToFit="1"/>
    </xf>
    <xf numFmtId="0" fontId="14" fillId="0" borderId="98" xfId="825" applyFont="1" applyFill="1" applyBorder="1" applyAlignment="1">
      <alignment horizontal="center" vertical="center" wrapText="1"/>
    </xf>
    <xf numFmtId="0" fontId="14" fillId="0" borderId="99" xfId="825" applyFont="1" applyFill="1" applyBorder="1" applyAlignment="1">
      <alignment horizontal="center" vertical="center" wrapText="1"/>
    </xf>
    <xf numFmtId="0" fontId="14" fillId="0" borderId="64" xfId="825" applyFont="1" applyFill="1" applyBorder="1" applyAlignment="1">
      <alignment horizontal="center" vertical="center" wrapText="1"/>
    </xf>
    <xf numFmtId="0" fontId="14" fillId="0" borderId="106" xfId="825" applyFont="1" applyFill="1" applyBorder="1" applyAlignment="1">
      <alignment horizontal="center" vertical="center" wrapText="1"/>
    </xf>
    <xf numFmtId="0" fontId="14" fillId="0" borderId="46" xfId="825" applyFont="1" applyFill="1" applyBorder="1" applyAlignment="1">
      <alignment horizontal="center" vertical="center" wrapText="1"/>
    </xf>
    <xf numFmtId="0" fontId="14" fillId="0" borderId="6" xfId="825" applyFont="1" applyFill="1" applyBorder="1" applyAlignment="1">
      <alignment horizontal="center" vertical="center" wrapText="1"/>
    </xf>
    <xf numFmtId="2" fontId="14" fillId="0" borderId="95" xfId="826" applyNumberFormat="1" applyFont="1" applyFill="1" applyBorder="1" applyAlignment="1">
      <alignment horizontal="center" vertical="center"/>
    </xf>
    <xf numFmtId="2" fontId="14" fillId="0" borderId="58" xfId="826" applyNumberFormat="1" applyFont="1" applyFill="1" applyBorder="1" applyAlignment="1">
      <alignment horizontal="center" vertical="center"/>
    </xf>
    <xf numFmtId="2" fontId="14" fillId="0" borderId="114" xfId="826" applyNumberFormat="1" applyFont="1" applyFill="1" applyBorder="1" applyAlignment="1">
      <alignment horizontal="center" vertical="center"/>
    </xf>
    <xf numFmtId="232" fontId="14" fillId="0" borderId="95" xfId="826" applyFont="1" applyFill="1" applyBorder="1" applyAlignment="1">
      <alignment horizontal="center" vertical="center"/>
    </xf>
    <xf numFmtId="232" fontId="14" fillId="0" borderId="58" xfId="826" applyFont="1" applyFill="1" applyBorder="1" applyAlignment="1">
      <alignment horizontal="center" vertical="center"/>
    </xf>
    <xf numFmtId="232" fontId="14" fillId="0" borderId="114" xfId="826" applyFont="1" applyFill="1" applyBorder="1" applyAlignment="1">
      <alignment horizontal="center" vertical="center"/>
    </xf>
    <xf numFmtId="232" fontId="13" fillId="0" borderId="48" xfId="826" applyFont="1" applyFill="1" applyBorder="1" applyAlignment="1">
      <alignment horizontal="center" vertical="center"/>
    </xf>
    <xf numFmtId="232" fontId="13" fillId="0" borderId="97" xfId="826" applyFont="1" applyFill="1" applyBorder="1" applyAlignment="1">
      <alignment horizontal="center" vertical="center"/>
    </xf>
    <xf numFmtId="232" fontId="13" fillId="0" borderId="1" xfId="826" applyFont="1" applyFill="1" applyBorder="1" applyAlignment="1">
      <alignment horizontal="center" vertical="center"/>
    </xf>
    <xf numFmtId="232" fontId="14" fillId="0" borderId="48" xfId="826" applyFont="1" applyFill="1" applyBorder="1" applyAlignment="1">
      <alignment horizontal="center" vertical="center" wrapText="1"/>
    </xf>
    <xf numFmtId="232" fontId="14" fillId="0" borderId="97" xfId="826" applyFont="1" applyFill="1" applyBorder="1" applyAlignment="1">
      <alignment horizontal="center" vertical="center" wrapText="1"/>
    </xf>
    <xf numFmtId="232" fontId="14" fillId="0" borderId="1" xfId="826" applyFont="1" applyFill="1" applyBorder="1" applyAlignment="1">
      <alignment horizontal="center" vertical="center" wrapText="1"/>
    </xf>
    <xf numFmtId="241" fontId="14" fillId="0" borderId="48" xfId="826" applyNumberFormat="1" applyFont="1" applyFill="1" applyBorder="1" applyAlignment="1">
      <alignment horizontal="center" vertical="center" wrapText="1"/>
    </xf>
    <xf numFmtId="241" fontId="14" fillId="0" borderId="97" xfId="826" applyNumberFormat="1" applyFont="1" applyFill="1" applyBorder="1" applyAlignment="1">
      <alignment horizontal="center" vertical="center" wrapText="1"/>
    </xf>
    <xf numFmtId="241" fontId="14" fillId="0" borderId="1" xfId="826" applyNumberFormat="1" applyFont="1" applyFill="1" applyBorder="1" applyAlignment="1">
      <alignment horizontal="center" vertical="center" wrapText="1"/>
    </xf>
    <xf numFmtId="241" fontId="14" fillId="0" borderId="98" xfId="826" applyNumberFormat="1" applyFont="1" applyFill="1" applyBorder="1" applyAlignment="1">
      <alignment horizontal="center" vertical="center" wrapText="1"/>
    </xf>
    <xf numFmtId="241" fontId="14" fillId="0" borderId="99" xfId="826" applyNumberFormat="1" applyFont="1" applyFill="1" applyBorder="1" applyAlignment="1">
      <alignment horizontal="center" vertical="center" wrapText="1"/>
    </xf>
    <xf numFmtId="241" fontId="14" fillId="0" borderId="46" xfId="826" applyNumberFormat="1" applyFont="1" applyFill="1" applyBorder="1" applyAlignment="1">
      <alignment horizontal="center" vertical="center" wrapText="1"/>
    </xf>
    <xf numFmtId="241" fontId="14" fillId="0" borderId="6" xfId="826" applyNumberFormat="1" applyFont="1" applyFill="1" applyBorder="1" applyAlignment="1">
      <alignment horizontal="center" vertical="center" wrapText="1"/>
    </xf>
    <xf numFmtId="243" fontId="14" fillId="0" borderId="98" xfId="826" applyNumberFormat="1" applyFont="1" applyFill="1" applyBorder="1" applyAlignment="1">
      <alignment horizontal="center" vertical="center" wrapText="1"/>
    </xf>
    <xf numFmtId="243" fontId="14" fillId="0" borderId="99" xfId="826" applyNumberFormat="1" applyFont="1" applyFill="1" applyBorder="1" applyAlignment="1">
      <alignment horizontal="center" vertical="center" wrapText="1"/>
    </xf>
    <xf numFmtId="243" fontId="14" fillId="0" borderId="46" xfId="826" applyNumberFormat="1" applyFont="1" applyFill="1" applyBorder="1" applyAlignment="1">
      <alignment horizontal="center" vertical="center" wrapText="1"/>
    </xf>
    <xf numFmtId="243" fontId="14" fillId="0" borderId="6" xfId="826" applyNumberFormat="1" applyFont="1" applyFill="1" applyBorder="1" applyAlignment="1">
      <alignment horizontal="center" vertical="center" wrapText="1"/>
    </xf>
    <xf numFmtId="244" fontId="14" fillId="0" borderId="48" xfId="826" applyNumberFormat="1" applyFont="1" applyFill="1" applyBorder="1" applyAlignment="1">
      <alignment horizontal="center" vertical="center" wrapText="1"/>
    </xf>
    <xf numFmtId="244" fontId="14" fillId="0" borderId="97" xfId="826" applyNumberFormat="1" applyFont="1" applyFill="1" applyBorder="1" applyAlignment="1">
      <alignment horizontal="center" vertical="center" wrapText="1"/>
    </xf>
    <xf numFmtId="244" fontId="14" fillId="0" borderId="1" xfId="826" applyNumberFormat="1" applyFont="1" applyFill="1" applyBorder="1" applyAlignment="1">
      <alignment horizontal="center" vertical="center" wrapText="1"/>
    </xf>
    <xf numFmtId="0" fontId="14" fillId="0" borderId="48" xfId="827" applyFont="1" applyFill="1" applyBorder="1" applyAlignment="1">
      <alignment horizontal="center" vertical="center" wrapText="1"/>
    </xf>
    <xf numFmtId="0" fontId="14" fillId="0" borderId="97" xfId="827" applyFont="1" applyFill="1" applyBorder="1" applyAlignment="1">
      <alignment horizontal="center" vertical="center" wrapText="1"/>
    </xf>
    <xf numFmtId="0" fontId="14" fillId="0" borderId="1" xfId="827" applyFont="1" applyFill="1" applyBorder="1" applyAlignment="1">
      <alignment horizontal="center" vertical="center" wrapText="1"/>
    </xf>
    <xf numFmtId="0" fontId="37" fillId="0" borderId="0" xfId="15" applyAlignment="1">
      <alignment horizontal="center" vertical="center"/>
    </xf>
    <xf numFmtId="0" fontId="3" fillId="0" borderId="0" xfId="837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left" vertical="center"/>
    </xf>
    <xf numFmtId="0" fontId="13" fillId="0" borderId="60" xfId="0" applyFont="1" applyFill="1" applyBorder="1" applyAlignment="1">
      <alignment horizontal="center" vertical="center"/>
    </xf>
    <xf numFmtId="0" fontId="13" fillId="0" borderId="17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13" fillId="0" borderId="8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18" xfId="0" applyFont="1" applyFill="1" applyBorder="1" applyAlignment="1">
      <alignment horizontal="center" vertical="center"/>
    </xf>
    <xf numFmtId="0" fontId="13" fillId="0" borderId="42" xfId="0" applyFont="1" applyFill="1" applyBorder="1" applyAlignment="1">
      <alignment horizontal="center" vertical="center"/>
    </xf>
    <xf numFmtId="0" fontId="13" fillId="0" borderId="61" xfId="0" applyFont="1" applyFill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40" xfId="0" applyFont="1" applyFill="1" applyBorder="1" applyAlignment="1">
      <alignment horizontal="center" vertical="center"/>
    </xf>
    <xf numFmtId="0" fontId="13" fillId="0" borderId="41" xfId="0" applyFont="1" applyFill="1" applyBorder="1" applyAlignment="1">
      <alignment horizontal="center" vertical="center"/>
    </xf>
    <xf numFmtId="0" fontId="13" fillId="0" borderId="28" xfId="0" applyFont="1" applyFill="1" applyBorder="1" applyAlignment="1">
      <alignment horizontal="center" vertical="center"/>
    </xf>
    <xf numFmtId="0" fontId="13" fillId="0" borderId="29" xfId="0" applyFont="1" applyFill="1" applyBorder="1" applyAlignment="1">
      <alignment horizontal="center" vertical="center"/>
    </xf>
    <xf numFmtId="0" fontId="13" fillId="0" borderId="30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13" fillId="0" borderId="60" xfId="0" applyFont="1" applyFill="1" applyBorder="1" applyAlignment="1">
      <alignment horizontal="center" vertical="center" wrapText="1"/>
    </xf>
    <xf numFmtId="0" fontId="13" fillId="0" borderId="58" xfId="0" applyFont="1" applyFill="1" applyBorder="1" applyAlignment="1">
      <alignment horizontal="center" vertical="center"/>
    </xf>
    <xf numFmtId="0" fontId="13" fillId="0" borderId="43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4" fillId="0" borderId="15" xfId="0" applyFont="1" applyBorder="1" applyAlignment="1">
      <alignment horizontal="right"/>
    </xf>
    <xf numFmtId="0" fontId="14" fillId="0" borderId="4" xfId="0" applyFont="1" applyBorder="1" applyAlignment="1">
      <alignment horizontal="right"/>
    </xf>
    <xf numFmtId="0" fontId="14" fillId="0" borderId="26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</cellXfs>
  <cellStyles count="838">
    <cellStyle name=" " xfId="31" xr:uid="{00000000-0005-0000-0000-000000000000}"/>
    <cellStyle name=" _상수공수량산출" xfId="32" xr:uid="{00000000-0005-0000-0000-000001000000}"/>
    <cellStyle name="&amp;A" xfId="33" xr:uid="{00000000-0005-0000-0000-000002000000}"/>
    <cellStyle name=")" xfId="34" xr:uid="{00000000-0005-0000-0000-000003000000}"/>
    <cellStyle name="??&amp;O?&amp;H?_x0008__x000f__x0007_?_x0007__x0001__x0001_" xfId="35" xr:uid="{00000000-0005-0000-0000-000004000000}"/>
    <cellStyle name="??&amp;O?&amp;H?_x0008_??_x0007__x0001__x0001_" xfId="36" xr:uid="{00000000-0005-0000-0000-000005000000}"/>
    <cellStyle name="??&amp;쏗?뷐9_x0008__x0011__x0007_?_x0007__x0001__x0001_" xfId="37" xr:uid="{00000000-0005-0000-0000-000006000000}"/>
    <cellStyle name="???­ [0]_??º?¼?·®??°? " xfId="38" xr:uid="{00000000-0005-0000-0000-000007000000}"/>
    <cellStyle name="???­_??º?¼?·®??°? " xfId="39" xr:uid="{00000000-0005-0000-0000-000008000000}"/>
    <cellStyle name="???Ø_??º?¼?·®??°? " xfId="40" xr:uid="{00000000-0005-0000-0000-000009000000}"/>
    <cellStyle name="?Þ¸¶ [0]_??º?¼?·®??°? " xfId="41" xr:uid="{00000000-0005-0000-0000-00000A000000}"/>
    <cellStyle name="?Þ¸¶_??º?¼?·®??°? " xfId="42" xr:uid="{00000000-0005-0000-0000-00000B000000}"/>
    <cellStyle name="?W?_laroux" xfId="43" xr:uid="{00000000-0005-0000-0000-00000C000000}"/>
    <cellStyle name="_0.오수관수량" xfId="44" xr:uid="{00000000-0005-0000-0000-00000D000000}"/>
    <cellStyle name="_0.오수관수량_2.토공수량산출" xfId="45" xr:uid="{00000000-0005-0000-0000-00000E000000}"/>
    <cellStyle name="_0.오수관수량_상수공수량산출" xfId="46" xr:uid="{00000000-0005-0000-0000-00000F000000}"/>
    <cellStyle name="_002-오수관로" xfId="47" xr:uid="{00000000-0005-0000-0000-000010000000}"/>
    <cellStyle name="_002-오수관로_06_유량계실" xfId="48" xr:uid="{00000000-0005-0000-0000-000011000000}"/>
    <cellStyle name="_002-오수관로_상수공수량산출(변실토공)" xfId="49" xr:uid="{00000000-0005-0000-0000-000012000000}"/>
    <cellStyle name="_01.차도1교자재및수량총괄집계" xfId="50" xr:uid="{00000000-0005-0000-0000-000013000000}"/>
    <cellStyle name="_01.차도1교자재및수량총괄집계_06_유량계실" xfId="51" xr:uid="{00000000-0005-0000-0000-000014000000}"/>
    <cellStyle name="_01.차도1교자재및수량총괄집계_1.광명상수1차(0531)" xfId="52" xr:uid="{00000000-0005-0000-0000-000015000000}"/>
    <cellStyle name="_01.차도1교자재및수량총괄집계_1.광명상수1차(0531)_06_유량계실" xfId="53" xr:uid="{00000000-0005-0000-0000-000016000000}"/>
    <cellStyle name="_01.차도1교자재및수량총괄집계_1.광명상수1차(0531)_상수공수량산출(변실토공)" xfId="54" xr:uid="{00000000-0005-0000-0000-000017000000}"/>
    <cellStyle name="_01.차도1교자재및수량총괄집계_13.급수공사-2차(택)" xfId="55" xr:uid="{00000000-0005-0000-0000-000018000000}"/>
    <cellStyle name="_01.차도1교자재및수량총괄집계_13.급수공사-2차(택)_06_유량계실" xfId="56" xr:uid="{00000000-0005-0000-0000-000019000000}"/>
    <cellStyle name="_01.차도1교자재및수량총괄집계_13.급수공사-2차(택)_상수공수량산출(변실토공)" xfId="57" xr:uid="{00000000-0005-0000-0000-00001A000000}"/>
    <cellStyle name="_01.차도1교자재및수량총괄집계_2광명상수2차(0523)" xfId="58" xr:uid="{00000000-0005-0000-0000-00001B000000}"/>
    <cellStyle name="_01.차도1교자재및수량총괄집계_2광명상수2차(0523)_06_유량계실" xfId="59" xr:uid="{00000000-0005-0000-0000-00001C000000}"/>
    <cellStyle name="_01.차도1교자재및수량총괄집계_2광명상수2차(0523)_상수공수량산출(변실토공)" xfId="60" xr:uid="{00000000-0005-0000-0000-00001D000000}"/>
    <cellStyle name="_01.차도1교자재및수량총괄집계_2광명상수2차(0531)-11" xfId="61" xr:uid="{00000000-0005-0000-0000-00001E000000}"/>
    <cellStyle name="_01.차도1교자재및수량총괄집계_2광명상수2차(0531)-11_06_유량계실" xfId="62" xr:uid="{00000000-0005-0000-0000-00001F000000}"/>
    <cellStyle name="_01.차도1교자재및수량총괄집계_2광명상수2차(0531)-11_상수공수량산출(변실토공)" xfId="63" xr:uid="{00000000-0005-0000-0000-000020000000}"/>
    <cellStyle name="_01.차도1교자재및수량총괄집계_상수공수량산출(변실토공)" xfId="64" xr:uid="{00000000-0005-0000-0000-000021000000}"/>
    <cellStyle name="_01.차도1교자재및수량총괄집계_원주상수도2차" xfId="65" xr:uid="{00000000-0005-0000-0000-000022000000}"/>
    <cellStyle name="_01.차도1교자재및수량총괄집계_원주상수도2차_06_유량계실" xfId="66" xr:uid="{00000000-0005-0000-0000-000023000000}"/>
    <cellStyle name="_01.차도1교자재및수량총괄집계_원주상수도2차_1.광명상수1차(0531)" xfId="67" xr:uid="{00000000-0005-0000-0000-000024000000}"/>
    <cellStyle name="_01.차도1교자재및수량총괄집계_원주상수도2차_1.광명상수1차(0531)_06_유량계실" xfId="68" xr:uid="{00000000-0005-0000-0000-000025000000}"/>
    <cellStyle name="_01.차도1교자재및수량총괄집계_원주상수도2차_1.광명상수1차(0531)_상수공수량산출(변실토공)" xfId="69" xr:uid="{00000000-0005-0000-0000-000026000000}"/>
    <cellStyle name="_01.차도1교자재및수량총괄집계_원주상수도2차_2광명상수2차(0523)" xfId="70" xr:uid="{00000000-0005-0000-0000-000027000000}"/>
    <cellStyle name="_01.차도1교자재및수량총괄집계_원주상수도2차_2광명상수2차(0523)_06_유량계실" xfId="71" xr:uid="{00000000-0005-0000-0000-000028000000}"/>
    <cellStyle name="_01.차도1교자재및수량총괄집계_원주상수도2차_2광명상수2차(0523)_상수공수량산출(변실토공)" xfId="72" xr:uid="{00000000-0005-0000-0000-000029000000}"/>
    <cellStyle name="_01.차도1교자재및수량총괄집계_원주상수도2차_2광명상수2차(0531)-11" xfId="73" xr:uid="{00000000-0005-0000-0000-00002A000000}"/>
    <cellStyle name="_01.차도1교자재및수량총괄집계_원주상수도2차_2광명상수2차(0531)-11_06_유량계실" xfId="74" xr:uid="{00000000-0005-0000-0000-00002B000000}"/>
    <cellStyle name="_01.차도1교자재및수량총괄집계_원주상수도2차_2광명상수2차(0531)-11_상수공수량산출(변실토공)" xfId="75" xr:uid="{00000000-0005-0000-0000-00002C000000}"/>
    <cellStyle name="_01.차도1교자재및수량총괄집계_원주상수도2차_상수공수량산출(변실토공)" xfId="76" xr:uid="{00000000-0005-0000-0000-00002D000000}"/>
    <cellStyle name="_01.차도1교자재및수량총괄집계_원주상수토공" xfId="77" xr:uid="{00000000-0005-0000-0000-00002E000000}"/>
    <cellStyle name="_01.차도1교자재및수량총괄집계_원주상수토공_0.터파기(0531)" xfId="78" xr:uid="{00000000-0005-0000-0000-00002F000000}"/>
    <cellStyle name="_01.차도1교자재및수량총괄집계_원주상수토공_0.터파기(0531)_06_유량계실" xfId="79" xr:uid="{00000000-0005-0000-0000-000030000000}"/>
    <cellStyle name="_01.차도1교자재및수량총괄집계_원주상수토공_0.터파기(0531)_상수공수량산출(변실토공)" xfId="80" xr:uid="{00000000-0005-0000-0000-000031000000}"/>
    <cellStyle name="_01.차도1교자재및수량총괄집계_원주상수토공_00급수공사_터파기" xfId="81" xr:uid="{00000000-0005-0000-0000-000032000000}"/>
    <cellStyle name="_01.차도1교자재및수량총괄집계_원주상수토공_00급수공사_터파기_06_유량계실" xfId="82" xr:uid="{00000000-0005-0000-0000-000033000000}"/>
    <cellStyle name="_01.차도1교자재및수량총괄집계_원주상수토공_00급수공사_터파기_상수공수량산출(변실토공)" xfId="83" xr:uid="{00000000-0005-0000-0000-000034000000}"/>
    <cellStyle name="_01.차도1교자재및수량총괄집계_원주상수토공_06_유량계실" xfId="84" xr:uid="{00000000-0005-0000-0000-000035000000}"/>
    <cellStyle name="_01.차도1교자재및수량총괄집계_원주상수토공_상수공사 터파기" xfId="85" xr:uid="{00000000-0005-0000-0000-000036000000}"/>
    <cellStyle name="_01.차도1교자재및수량총괄집계_원주상수토공_상수공사 터파기_06_유량계실" xfId="86" xr:uid="{00000000-0005-0000-0000-000037000000}"/>
    <cellStyle name="_01.차도1교자재및수량총괄집계_원주상수토공_상수공사 터파기_상수공수량산출(변실토공)" xfId="87" xr:uid="{00000000-0005-0000-0000-000038000000}"/>
    <cellStyle name="_01.차도1교자재및수량총괄집계_원주상수토공_상수공수량산출(변실토공)" xfId="88" xr:uid="{00000000-0005-0000-0000-000039000000}"/>
    <cellStyle name="_01-배수지" xfId="89" xr:uid="{00000000-0005-0000-0000-00003A000000}"/>
    <cellStyle name="_01-배수지_06_유량계실" xfId="90" xr:uid="{00000000-0005-0000-0000-00003B000000}"/>
    <cellStyle name="_01-배수지_1.광명상수1차(0531)" xfId="91" xr:uid="{00000000-0005-0000-0000-00003C000000}"/>
    <cellStyle name="_01-배수지_1.광명상수1차(0531)_06_유량계실" xfId="92" xr:uid="{00000000-0005-0000-0000-00003D000000}"/>
    <cellStyle name="_01-배수지_1.광명상수1차(0531)_상수공수량산출(변실토공)" xfId="93" xr:uid="{00000000-0005-0000-0000-00003E000000}"/>
    <cellStyle name="_01-배수지_13.급수공사-2차(택)" xfId="94" xr:uid="{00000000-0005-0000-0000-00003F000000}"/>
    <cellStyle name="_01-배수지_13.급수공사-2차(택)_06_유량계실" xfId="95" xr:uid="{00000000-0005-0000-0000-000040000000}"/>
    <cellStyle name="_01-배수지_13.급수공사-2차(택)_상수공수량산출(변실토공)" xfId="96" xr:uid="{00000000-0005-0000-0000-000041000000}"/>
    <cellStyle name="_01-배수지_2광명상수2차(0523)" xfId="97" xr:uid="{00000000-0005-0000-0000-000042000000}"/>
    <cellStyle name="_01-배수지_2광명상수2차(0523)_06_유량계실" xfId="98" xr:uid="{00000000-0005-0000-0000-000043000000}"/>
    <cellStyle name="_01-배수지_2광명상수2차(0523)_상수공수량산출(변실토공)" xfId="99" xr:uid="{00000000-0005-0000-0000-000044000000}"/>
    <cellStyle name="_01-배수지_2광명상수2차(0531)-11" xfId="100" xr:uid="{00000000-0005-0000-0000-000045000000}"/>
    <cellStyle name="_01-배수지_2광명상수2차(0531)-11_06_유량계실" xfId="101" xr:uid="{00000000-0005-0000-0000-000046000000}"/>
    <cellStyle name="_01-배수지_2광명상수2차(0531)-11_상수공수량산출(변실토공)" xfId="102" xr:uid="{00000000-0005-0000-0000-000047000000}"/>
    <cellStyle name="_01-배수지_상수공수량산출(변실토공)" xfId="103" xr:uid="{00000000-0005-0000-0000-000048000000}"/>
    <cellStyle name="_01-배수지_원주상수도2차" xfId="104" xr:uid="{00000000-0005-0000-0000-000049000000}"/>
    <cellStyle name="_01-배수지_원주상수도2차_06_유량계실" xfId="105" xr:uid="{00000000-0005-0000-0000-00004A000000}"/>
    <cellStyle name="_01-배수지_원주상수도2차_1.광명상수1차(0531)" xfId="106" xr:uid="{00000000-0005-0000-0000-00004B000000}"/>
    <cellStyle name="_01-배수지_원주상수도2차_1.광명상수1차(0531)_06_유량계실" xfId="107" xr:uid="{00000000-0005-0000-0000-00004C000000}"/>
    <cellStyle name="_01-배수지_원주상수도2차_1.광명상수1차(0531)_상수공수량산출(변실토공)" xfId="108" xr:uid="{00000000-0005-0000-0000-00004D000000}"/>
    <cellStyle name="_01-배수지_원주상수도2차_2광명상수2차(0523)" xfId="109" xr:uid="{00000000-0005-0000-0000-00004E000000}"/>
    <cellStyle name="_01-배수지_원주상수도2차_2광명상수2차(0523)_06_유량계실" xfId="110" xr:uid="{00000000-0005-0000-0000-00004F000000}"/>
    <cellStyle name="_01-배수지_원주상수도2차_2광명상수2차(0523)_상수공수량산출(변실토공)" xfId="111" xr:uid="{00000000-0005-0000-0000-000050000000}"/>
    <cellStyle name="_01-배수지_원주상수도2차_2광명상수2차(0531)-11" xfId="112" xr:uid="{00000000-0005-0000-0000-000051000000}"/>
    <cellStyle name="_01-배수지_원주상수도2차_2광명상수2차(0531)-11_06_유량계실" xfId="113" xr:uid="{00000000-0005-0000-0000-000052000000}"/>
    <cellStyle name="_01-배수지_원주상수도2차_2광명상수2차(0531)-11_상수공수량산출(변실토공)" xfId="114" xr:uid="{00000000-0005-0000-0000-000053000000}"/>
    <cellStyle name="_01-배수지_원주상수도2차_상수공수량산출(변실토공)" xfId="115" xr:uid="{00000000-0005-0000-0000-000054000000}"/>
    <cellStyle name="_01-배수지_원주상수토공" xfId="116" xr:uid="{00000000-0005-0000-0000-000055000000}"/>
    <cellStyle name="_01-배수지_원주상수토공_0.터파기(0531)" xfId="117" xr:uid="{00000000-0005-0000-0000-000056000000}"/>
    <cellStyle name="_01-배수지_원주상수토공_0.터파기(0531)_06_유량계실" xfId="118" xr:uid="{00000000-0005-0000-0000-000057000000}"/>
    <cellStyle name="_01-배수지_원주상수토공_0.터파기(0531)_상수공수량산출(변실토공)" xfId="119" xr:uid="{00000000-0005-0000-0000-000058000000}"/>
    <cellStyle name="_01-배수지_원주상수토공_00급수공사_터파기" xfId="120" xr:uid="{00000000-0005-0000-0000-000059000000}"/>
    <cellStyle name="_01-배수지_원주상수토공_00급수공사_터파기_06_유량계실" xfId="121" xr:uid="{00000000-0005-0000-0000-00005A000000}"/>
    <cellStyle name="_01-배수지_원주상수토공_00급수공사_터파기_상수공수량산출(변실토공)" xfId="122" xr:uid="{00000000-0005-0000-0000-00005B000000}"/>
    <cellStyle name="_01-배수지_원주상수토공_06_유량계실" xfId="123" xr:uid="{00000000-0005-0000-0000-00005C000000}"/>
    <cellStyle name="_01-배수지_원주상수토공_상수공사 터파기" xfId="124" xr:uid="{00000000-0005-0000-0000-00005D000000}"/>
    <cellStyle name="_01-배수지_원주상수토공_상수공사 터파기_06_유량계실" xfId="125" xr:uid="{00000000-0005-0000-0000-00005E000000}"/>
    <cellStyle name="_01-배수지_원주상수토공_상수공사 터파기_상수공수량산출(변실토공)" xfId="126" xr:uid="{00000000-0005-0000-0000-00005F000000}"/>
    <cellStyle name="_01-배수지_원주상수토공_상수공수량산출(변실토공)" xfId="127" xr:uid="{00000000-0005-0000-0000-000060000000}"/>
    <cellStyle name="_02-가압장" xfId="128" xr:uid="{00000000-0005-0000-0000-000061000000}"/>
    <cellStyle name="_02-가압장_06_유량계실" xfId="129" xr:uid="{00000000-0005-0000-0000-000062000000}"/>
    <cellStyle name="_02-가압장_1.광명상수1차(0531)" xfId="130" xr:uid="{00000000-0005-0000-0000-000063000000}"/>
    <cellStyle name="_02-가압장_1.광명상수1차(0531)_06_유량계실" xfId="131" xr:uid="{00000000-0005-0000-0000-000064000000}"/>
    <cellStyle name="_02-가압장_1.광명상수1차(0531)_상수공수량산출(변실토공)" xfId="132" xr:uid="{00000000-0005-0000-0000-000065000000}"/>
    <cellStyle name="_02-가압장_13.급수공사-2차(택)" xfId="133" xr:uid="{00000000-0005-0000-0000-000066000000}"/>
    <cellStyle name="_02-가압장_13.급수공사-2차(택)_06_유량계실" xfId="134" xr:uid="{00000000-0005-0000-0000-000067000000}"/>
    <cellStyle name="_02-가압장_13.급수공사-2차(택)_상수공수량산출(변실토공)" xfId="135" xr:uid="{00000000-0005-0000-0000-000068000000}"/>
    <cellStyle name="_02-가압장_2광명상수2차(0523)" xfId="136" xr:uid="{00000000-0005-0000-0000-000069000000}"/>
    <cellStyle name="_02-가압장_2광명상수2차(0523)_06_유량계실" xfId="137" xr:uid="{00000000-0005-0000-0000-00006A000000}"/>
    <cellStyle name="_02-가압장_2광명상수2차(0523)_상수공수량산출(변실토공)" xfId="138" xr:uid="{00000000-0005-0000-0000-00006B000000}"/>
    <cellStyle name="_02-가압장_2광명상수2차(0531)-11" xfId="139" xr:uid="{00000000-0005-0000-0000-00006C000000}"/>
    <cellStyle name="_02-가압장_2광명상수2차(0531)-11_06_유량계실" xfId="140" xr:uid="{00000000-0005-0000-0000-00006D000000}"/>
    <cellStyle name="_02-가압장_2광명상수2차(0531)-11_상수공수량산출(변실토공)" xfId="141" xr:uid="{00000000-0005-0000-0000-00006E000000}"/>
    <cellStyle name="_02-가압장_상수공수량산출(변실토공)" xfId="142" xr:uid="{00000000-0005-0000-0000-00006F000000}"/>
    <cellStyle name="_02-가압장_원주상수도2차" xfId="143" xr:uid="{00000000-0005-0000-0000-000070000000}"/>
    <cellStyle name="_02-가압장_원주상수도2차_06_유량계실" xfId="144" xr:uid="{00000000-0005-0000-0000-000071000000}"/>
    <cellStyle name="_02-가압장_원주상수도2차_1.광명상수1차(0531)" xfId="145" xr:uid="{00000000-0005-0000-0000-000072000000}"/>
    <cellStyle name="_02-가압장_원주상수도2차_1.광명상수1차(0531)_06_유량계실" xfId="146" xr:uid="{00000000-0005-0000-0000-000073000000}"/>
    <cellStyle name="_02-가압장_원주상수도2차_1.광명상수1차(0531)_상수공수량산출(변실토공)" xfId="147" xr:uid="{00000000-0005-0000-0000-000074000000}"/>
    <cellStyle name="_02-가압장_원주상수도2차_2광명상수2차(0523)" xfId="148" xr:uid="{00000000-0005-0000-0000-000075000000}"/>
    <cellStyle name="_02-가압장_원주상수도2차_2광명상수2차(0523)_06_유량계실" xfId="149" xr:uid="{00000000-0005-0000-0000-000076000000}"/>
    <cellStyle name="_02-가압장_원주상수도2차_2광명상수2차(0523)_상수공수량산출(변실토공)" xfId="150" xr:uid="{00000000-0005-0000-0000-000077000000}"/>
    <cellStyle name="_02-가압장_원주상수도2차_2광명상수2차(0531)-11" xfId="151" xr:uid="{00000000-0005-0000-0000-000078000000}"/>
    <cellStyle name="_02-가압장_원주상수도2차_2광명상수2차(0531)-11_06_유량계실" xfId="152" xr:uid="{00000000-0005-0000-0000-000079000000}"/>
    <cellStyle name="_02-가압장_원주상수도2차_2광명상수2차(0531)-11_상수공수량산출(변실토공)" xfId="153" xr:uid="{00000000-0005-0000-0000-00007A000000}"/>
    <cellStyle name="_02-가압장_원주상수도2차_상수공수량산출(변실토공)" xfId="154" xr:uid="{00000000-0005-0000-0000-00007B000000}"/>
    <cellStyle name="_02-가압장_원주상수토공" xfId="155" xr:uid="{00000000-0005-0000-0000-00007C000000}"/>
    <cellStyle name="_02-가압장_원주상수토공_0.터파기(0531)" xfId="156" xr:uid="{00000000-0005-0000-0000-00007D000000}"/>
    <cellStyle name="_02-가압장_원주상수토공_0.터파기(0531)_06_유량계실" xfId="157" xr:uid="{00000000-0005-0000-0000-00007E000000}"/>
    <cellStyle name="_02-가압장_원주상수토공_0.터파기(0531)_상수공수량산출(변실토공)" xfId="158" xr:uid="{00000000-0005-0000-0000-00007F000000}"/>
    <cellStyle name="_02-가압장_원주상수토공_00급수공사_터파기" xfId="159" xr:uid="{00000000-0005-0000-0000-000080000000}"/>
    <cellStyle name="_02-가압장_원주상수토공_00급수공사_터파기_06_유량계실" xfId="160" xr:uid="{00000000-0005-0000-0000-000081000000}"/>
    <cellStyle name="_02-가압장_원주상수토공_00급수공사_터파기_상수공수량산출(변실토공)" xfId="161" xr:uid="{00000000-0005-0000-0000-000082000000}"/>
    <cellStyle name="_02-가압장_원주상수토공_06_유량계실" xfId="162" xr:uid="{00000000-0005-0000-0000-000083000000}"/>
    <cellStyle name="_02-가압장_원주상수토공_상수공사 터파기" xfId="163" xr:uid="{00000000-0005-0000-0000-000084000000}"/>
    <cellStyle name="_02-가압장_원주상수토공_상수공사 터파기_06_유량계실" xfId="164" xr:uid="{00000000-0005-0000-0000-000085000000}"/>
    <cellStyle name="_02-가압장_원주상수토공_상수공사 터파기_상수공수량산출(변실토공)" xfId="165" xr:uid="{00000000-0005-0000-0000-000086000000}"/>
    <cellStyle name="_02-가압장_원주상수토공_상수공수량산출(변실토공)" xfId="166" xr:uid="{00000000-0005-0000-0000-000087000000}"/>
    <cellStyle name="_05_이토변실수량(상수도)" xfId="167" xr:uid="{00000000-0005-0000-0000-000088000000}"/>
    <cellStyle name="_05_이토변실수량(상수도)_06_유량계실" xfId="168" xr:uid="{00000000-0005-0000-0000-000089000000}"/>
    <cellStyle name="_05_이토변실수량(상수도)_상수공수량산출(변실토공)" xfId="169" xr:uid="{00000000-0005-0000-0000-00008A000000}"/>
    <cellStyle name="_1.오수관수량" xfId="170" xr:uid="{00000000-0005-0000-0000-00008B000000}"/>
    <cellStyle name="_국수교수량" xfId="171" xr:uid="{00000000-0005-0000-0000-00008C000000}"/>
    <cellStyle name="_국수교수량_02오수공수량(청라)-맨홀공" xfId="172" xr:uid="{00000000-0005-0000-0000-00008D000000}"/>
    <cellStyle name="_국수교수량_02오수공수량(청라)-맨홀공(최종)" xfId="173" xr:uid="{00000000-0005-0000-0000-00008E000000}"/>
    <cellStyle name="_국수교수량_02오수공수량(청라)-맨홀공(최종)_01오수토공(청라)0826" xfId="174" xr:uid="{00000000-0005-0000-0000-00008F000000}"/>
    <cellStyle name="_국수교수량_02오수공수량(청라)-맨홀공(최종)_01오수토공(청라)0826_2.토공수량산출" xfId="175" xr:uid="{00000000-0005-0000-0000-000090000000}"/>
    <cellStyle name="_국수교수량_02오수공수량(청라)-맨홀공(최종)_01오수토공(청라)0826_상수공수량산출" xfId="176" xr:uid="{00000000-0005-0000-0000-000091000000}"/>
    <cellStyle name="_국수교수량_02오수공수량(청라)-맨홀공(최종)_02-10.오수공수량1" xfId="177" xr:uid="{00000000-0005-0000-0000-000092000000}"/>
    <cellStyle name="_국수교수량_02오수공수량(청라)-맨홀공(최종)_02-10.오수공수량1_2.토공수량산출" xfId="178" xr:uid="{00000000-0005-0000-0000-000093000000}"/>
    <cellStyle name="_국수교수량_02오수공수량(청라)-맨홀공(최종)_02-10.오수공수량1_상수공수량산출" xfId="179" xr:uid="{00000000-0005-0000-0000-000094000000}"/>
    <cellStyle name="_국수교수량_02오수공수량(청라)-맨홀공(최종)_02오수공수량(청라)" xfId="180" xr:uid="{00000000-0005-0000-0000-000095000000}"/>
    <cellStyle name="_국수교수량_02오수공수량(청라)-맨홀공(최종)_02오수공수량(청라)_2.토공수량산출" xfId="181" xr:uid="{00000000-0005-0000-0000-000096000000}"/>
    <cellStyle name="_국수교수량_02오수공수량(청라)-맨홀공(최종)_02오수공수량(청라)_상수공수량산출" xfId="182" xr:uid="{00000000-0005-0000-0000-000097000000}"/>
    <cellStyle name="_국수교수량_02오수공수량(청라)-맨홀공(최종)_02오수공수량(청라)0728" xfId="183" xr:uid="{00000000-0005-0000-0000-000098000000}"/>
    <cellStyle name="_국수교수량_02오수공수량(청라)-맨홀공(최종)_02오수공수량(청라)0728_2.토공수량산출" xfId="184" xr:uid="{00000000-0005-0000-0000-000099000000}"/>
    <cellStyle name="_국수교수량_02오수공수량(청라)-맨홀공(최종)_02오수공수량(청라)0728_상수공수량산출" xfId="185" xr:uid="{00000000-0005-0000-0000-00009A000000}"/>
    <cellStyle name="_국수교수량_02오수공수량(청라)-맨홀공(최종)_02오수공수량(청라)0826" xfId="186" xr:uid="{00000000-0005-0000-0000-00009B000000}"/>
    <cellStyle name="_국수교수량_02오수공수량(청라)-맨홀공(최종)_02오수공수량(청라)0826_2.토공수량산출" xfId="187" xr:uid="{00000000-0005-0000-0000-00009C000000}"/>
    <cellStyle name="_국수교수량_02오수공수량(청라)-맨홀공(최종)_02오수공수량(청라)0826_상수공수량산출" xfId="188" xr:uid="{00000000-0005-0000-0000-00009D000000}"/>
    <cellStyle name="_국수교수량_02오수공수량(청라)-맨홀공(최종)_02오수공수량(청라)0827" xfId="189" xr:uid="{00000000-0005-0000-0000-00009E000000}"/>
    <cellStyle name="_국수교수량_02오수공수량(청라)-맨홀공(최종)_02오수공수량(청라)0827_2.토공수량산출" xfId="190" xr:uid="{00000000-0005-0000-0000-00009F000000}"/>
    <cellStyle name="_국수교수량_02오수공수량(청라)-맨홀공(최종)_02오수공수량(청라)0827_상수공수량산출" xfId="191" xr:uid="{00000000-0005-0000-0000-0000A0000000}"/>
    <cellStyle name="_국수교수량_02오수공수량(청라)-맨홀공(최종)_2.토공수량산출" xfId="192" xr:uid="{00000000-0005-0000-0000-0000A1000000}"/>
    <cellStyle name="_국수교수량_02오수공수량(청라)-맨홀공(최종)_관기초단위수량" xfId="193" xr:uid="{00000000-0005-0000-0000-0000A2000000}"/>
    <cellStyle name="_국수교수량_02오수공수량(청라)-맨홀공(최종)_관기초단위수량_01오수토공(청라)0826" xfId="194" xr:uid="{00000000-0005-0000-0000-0000A3000000}"/>
    <cellStyle name="_국수교수량_02오수공수량(청라)-맨홀공(최종)_관기초단위수량_01오수토공(청라)0826_2.토공수량산출" xfId="195" xr:uid="{00000000-0005-0000-0000-0000A4000000}"/>
    <cellStyle name="_국수교수량_02오수공수량(청라)-맨홀공(최종)_관기초단위수량_01오수토공(청라)0826_상수공수량산출" xfId="196" xr:uid="{00000000-0005-0000-0000-0000A5000000}"/>
    <cellStyle name="_국수교수량_02오수공수량(청라)-맨홀공(최종)_관기초단위수량_02-10.오수공수량1" xfId="197" xr:uid="{00000000-0005-0000-0000-0000A6000000}"/>
    <cellStyle name="_국수교수량_02오수공수량(청라)-맨홀공(최종)_관기초단위수량_02-10.오수공수량1_2.토공수량산출" xfId="198" xr:uid="{00000000-0005-0000-0000-0000A7000000}"/>
    <cellStyle name="_국수교수량_02오수공수량(청라)-맨홀공(최종)_관기초단위수량_02-10.오수공수량1_상수공수량산출" xfId="199" xr:uid="{00000000-0005-0000-0000-0000A8000000}"/>
    <cellStyle name="_국수교수량_02오수공수량(청라)-맨홀공(최종)_관기초단위수량_02오수공수량(청라)" xfId="200" xr:uid="{00000000-0005-0000-0000-0000A9000000}"/>
    <cellStyle name="_국수교수량_02오수공수량(청라)-맨홀공(최종)_관기초단위수량_02오수공수량(청라)_2.토공수량산출" xfId="201" xr:uid="{00000000-0005-0000-0000-0000AA000000}"/>
    <cellStyle name="_국수교수량_02오수공수량(청라)-맨홀공(최종)_관기초단위수량_02오수공수량(청라)_상수공수량산출" xfId="202" xr:uid="{00000000-0005-0000-0000-0000AB000000}"/>
    <cellStyle name="_국수교수량_02오수공수량(청라)-맨홀공(최종)_관기초단위수량_02오수공수량(청라)0728" xfId="203" xr:uid="{00000000-0005-0000-0000-0000AC000000}"/>
    <cellStyle name="_국수교수량_02오수공수량(청라)-맨홀공(최종)_관기초단위수량_02오수공수량(청라)0728_2.토공수량산출" xfId="204" xr:uid="{00000000-0005-0000-0000-0000AD000000}"/>
    <cellStyle name="_국수교수량_02오수공수량(청라)-맨홀공(최종)_관기초단위수량_02오수공수량(청라)0728_상수공수량산출" xfId="205" xr:uid="{00000000-0005-0000-0000-0000AE000000}"/>
    <cellStyle name="_국수교수량_02오수공수량(청라)-맨홀공(최종)_관기초단위수량_02오수공수량(청라)0826" xfId="206" xr:uid="{00000000-0005-0000-0000-0000AF000000}"/>
    <cellStyle name="_국수교수량_02오수공수량(청라)-맨홀공(최종)_관기초단위수량_02오수공수량(청라)0826_2.토공수량산출" xfId="207" xr:uid="{00000000-0005-0000-0000-0000B0000000}"/>
    <cellStyle name="_국수교수량_02오수공수량(청라)-맨홀공(최종)_관기초단위수량_02오수공수량(청라)0826_상수공수량산출" xfId="208" xr:uid="{00000000-0005-0000-0000-0000B1000000}"/>
    <cellStyle name="_국수교수량_02오수공수량(청라)-맨홀공(최종)_관기초단위수량_02오수공수량(청라)0827" xfId="209" xr:uid="{00000000-0005-0000-0000-0000B2000000}"/>
    <cellStyle name="_국수교수량_02오수공수량(청라)-맨홀공(최종)_관기초단위수량_02오수공수량(청라)0827_2.토공수량산출" xfId="210" xr:uid="{00000000-0005-0000-0000-0000B3000000}"/>
    <cellStyle name="_국수교수량_02오수공수량(청라)-맨홀공(최종)_관기초단위수량_02오수공수량(청라)0827_상수공수량산출" xfId="211" xr:uid="{00000000-0005-0000-0000-0000B4000000}"/>
    <cellStyle name="_국수교수량_02오수공수량(청라)-맨홀공(최종)_관기초단위수량_2.토공수량산출" xfId="212" xr:uid="{00000000-0005-0000-0000-0000B5000000}"/>
    <cellStyle name="_국수교수량_02오수공수량(청라)-맨홀공(최종)_관기초단위수량_상수공수량산출" xfId="213" xr:uid="{00000000-0005-0000-0000-0000B6000000}"/>
    <cellStyle name="_국수교수량_02오수공수량(청라)-맨홀공(최종)_상수공수량산출" xfId="214" xr:uid="{00000000-0005-0000-0000-0000B7000000}"/>
    <cellStyle name="_국수교수량_02오수공수량(청라)-맨홀공_01오수토공(청라)0826" xfId="215" xr:uid="{00000000-0005-0000-0000-0000B8000000}"/>
    <cellStyle name="_국수교수량_02오수공수량(청라)-맨홀공_01오수토공(청라)0826_2.토공수량산출" xfId="216" xr:uid="{00000000-0005-0000-0000-0000B9000000}"/>
    <cellStyle name="_국수교수량_02오수공수량(청라)-맨홀공_01오수토공(청라)0826_상수공수량산출" xfId="217" xr:uid="{00000000-0005-0000-0000-0000BA000000}"/>
    <cellStyle name="_국수교수량_02오수공수량(청라)-맨홀공_02-10.오수공수량1" xfId="218" xr:uid="{00000000-0005-0000-0000-0000BB000000}"/>
    <cellStyle name="_국수교수량_02오수공수량(청라)-맨홀공_02-10.오수공수량1_2.토공수량산출" xfId="219" xr:uid="{00000000-0005-0000-0000-0000BC000000}"/>
    <cellStyle name="_국수교수량_02오수공수량(청라)-맨홀공_02-10.오수공수량1_상수공수량산출" xfId="220" xr:uid="{00000000-0005-0000-0000-0000BD000000}"/>
    <cellStyle name="_국수교수량_02오수공수량(청라)-맨홀공_02오수공수량(청라)" xfId="221" xr:uid="{00000000-0005-0000-0000-0000BE000000}"/>
    <cellStyle name="_국수교수량_02오수공수량(청라)-맨홀공_02오수공수량(청라)_2.토공수량산출" xfId="222" xr:uid="{00000000-0005-0000-0000-0000BF000000}"/>
    <cellStyle name="_국수교수량_02오수공수량(청라)-맨홀공_02오수공수량(청라)_상수공수량산출" xfId="223" xr:uid="{00000000-0005-0000-0000-0000C0000000}"/>
    <cellStyle name="_국수교수량_02오수공수량(청라)-맨홀공_02오수공수량(청라)0728" xfId="224" xr:uid="{00000000-0005-0000-0000-0000C1000000}"/>
    <cellStyle name="_국수교수량_02오수공수량(청라)-맨홀공_02오수공수량(청라)0728_2.토공수량산출" xfId="225" xr:uid="{00000000-0005-0000-0000-0000C2000000}"/>
    <cellStyle name="_국수교수량_02오수공수량(청라)-맨홀공_02오수공수량(청라)0728_상수공수량산출" xfId="226" xr:uid="{00000000-0005-0000-0000-0000C3000000}"/>
    <cellStyle name="_국수교수량_02오수공수량(청라)-맨홀공_02오수공수량(청라)0826" xfId="227" xr:uid="{00000000-0005-0000-0000-0000C4000000}"/>
    <cellStyle name="_국수교수량_02오수공수량(청라)-맨홀공_02오수공수량(청라)0826_2.토공수량산출" xfId="228" xr:uid="{00000000-0005-0000-0000-0000C5000000}"/>
    <cellStyle name="_국수교수량_02오수공수량(청라)-맨홀공_02오수공수량(청라)0826_상수공수량산출" xfId="229" xr:uid="{00000000-0005-0000-0000-0000C6000000}"/>
    <cellStyle name="_국수교수량_02오수공수량(청라)-맨홀공_02오수공수량(청라)0827" xfId="230" xr:uid="{00000000-0005-0000-0000-0000C7000000}"/>
    <cellStyle name="_국수교수량_02오수공수량(청라)-맨홀공_02오수공수량(청라)0827_2.토공수량산출" xfId="231" xr:uid="{00000000-0005-0000-0000-0000C8000000}"/>
    <cellStyle name="_국수교수량_02오수공수량(청라)-맨홀공_02오수공수량(청라)0827_상수공수량산출" xfId="232" xr:uid="{00000000-0005-0000-0000-0000C9000000}"/>
    <cellStyle name="_국수교수량_02오수공수량(청라)-맨홀공_2.토공수량산출" xfId="233" xr:uid="{00000000-0005-0000-0000-0000CA000000}"/>
    <cellStyle name="_국수교수량_02오수공수량(청라)-맨홀공_관기초단위수량" xfId="234" xr:uid="{00000000-0005-0000-0000-0000CB000000}"/>
    <cellStyle name="_국수교수량_02오수공수량(청라)-맨홀공_관기초단위수량_01오수토공(청라)0826" xfId="235" xr:uid="{00000000-0005-0000-0000-0000CC000000}"/>
    <cellStyle name="_국수교수량_02오수공수량(청라)-맨홀공_관기초단위수량_01오수토공(청라)0826_2.토공수량산출" xfId="236" xr:uid="{00000000-0005-0000-0000-0000CD000000}"/>
    <cellStyle name="_국수교수량_02오수공수량(청라)-맨홀공_관기초단위수량_01오수토공(청라)0826_상수공수량산출" xfId="237" xr:uid="{00000000-0005-0000-0000-0000CE000000}"/>
    <cellStyle name="_국수교수량_02오수공수량(청라)-맨홀공_관기초단위수량_02-10.오수공수량1" xfId="238" xr:uid="{00000000-0005-0000-0000-0000CF000000}"/>
    <cellStyle name="_국수교수량_02오수공수량(청라)-맨홀공_관기초단위수량_02-10.오수공수량1_2.토공수량산출" xfId="239" xr:uid="{00000000-0005-0000-0000-0000D0000000}"/>
    <cellStyle name="_국수교수량_02오수공수량(청라)-맨홀공_관기초단위수량_02-10.오수공수량1_상수공수량산출" xfId="240" xr:uid="{00000000-0005-0000-0000-0000D1000000}"/>
    <cellStyle name="_국수교수량_02오수공수량(청라)-맨홀공_관기초단위수량_02오수공수량(청라)" xfId="241" xr:uid="{00000000-0005-0000-0000-0000D2000000}"/>
    <cellStyle name="_국수교수량_02오수공수량(청라)-맨홀공_관기초단위수량_02오수공수량(청라)_2.토공수량산출" xfId="242" xr:uid="{00000000-0005-0000-0000-0000D3000000}"/>
    <cellStyle name="_국수교수량_02오수공수량(청라)-맨홀공_관기초단위수량_02오수공수량(청라)_상수공수량산출" xfId="243" xr:uid="{00000000-0005-0000-0000-0000D4000000}"/>
    <cellStyle name="_국수교수량_02오수공수량(청라)-맨홀공_관기초단위수량_02오수공수량(청라)0728" xfId="244" xr:uid="{00000000-0005-0000-0000-0000D5000000}"/>
    <cellStyle name="_국수교수량_02오수공수량(청라)-맨홀공_관기초단위수량_02오수공수량(청라)0728_2.토공수량산출" xfId="245" xr:uid="{00000000-0005-0000-0000-0000D6000000}"/>
    <cellStyle name="_국수교수량_02오수공수량(청라)-맨홀공_관기초단위수량_02오수공수량(청라)0728_상수공수량산출" xfId="246" xr:uid="{00000000-0005-0000-0000-0000D7000000}"/>
    <cellStyle name="_국수교수량_02오수공수량(청라)-맨홀공_관기초단위수량_02오수공수량(청라)0826" xfId="247" xr:uid="{00000000-0005-0000-0000-0000D8000000}"/>
    <cellStyle name="_국수교수량_02오수공수량(청라)-맨홀공_관기초단위수량_02오수공수량(청라)0826_2.토공수량산출" xfId="248" xr:uid="{00000000-0005-0000-0000-0000D9000000}"/>
    <cellStyle name="_국수교수량_02오수공수량(청라)-맨홀공_관기초단위수량_02오수공수량(청라)0826_상수공수량산출" xfId="249" xr:uid="{00000000-0005-0000-0000-0000DA000000}"/>
    <cellStyle name="_국수교수량_02오수공수량(청라)-맨홀공_관기초단위수량_02오수공수량(청라)0827" xfId="250" xr:uid="{00000000-0005-0000-0000-0000DB000000}"/>
    <cellStyle name="_국수교수량_02오수공수량(청라)-맨홀공_관기초단위수량_02오수공수량(청라)0827_2.토공수량산출" xfId="251" xr:uid="{00000000-0005-0000-0000-0000DC000000}"/>
    <cellStyle name="_국수교수량_02오수공수량(청라)-맨홀공_관기초단위수량_02오수공수량(청라)0827_상수공수량산출" xfId="252" xr:uid="{00000000-0005-0000-0000-0000DD000000}"/>
    <cellStyle name="_국수교수량_02오수공수량(청라)-맨홀공_관기초단위수량_2.토공수량산출" xfId="253" xr:uid="{00000000-0005-0000-0000-0000DE000000}"/>
    <cellStyle name="_국수교수량_02오수공수량(청라)-맨홀공_관기초단위수량_상수공수량산출" xfId="254" xr:uid="{00000000-0005-0000-0000-0000DF000000}"/>
    <cellStyle name="_국수교수량_02오수공수량(청라)-맨홀공_상수공수량산출" xfId="255" xr:uid="{00000000-0005-0000-0000-0000E0000000}"/>
    <cellStyle name="_국수교수량_06_유량계실" xfId="256" xr:uid="{00000000-0005-0000-0000-0000E1000000}"/>
    <cellStyle name="_국수교수량_1.광명상수1차(0531)" xfId="257" xr:uid="{00000000-0005-0000-0000-0000E2000000}"/>
    <cellStyle name="_국수교수량_1.광명상수1차(0531)_06_유량계실" xfId="258" xr:uid="{00000000-0005-0000-0000-0000E3000000}"/>
    <cellStyle name="_국수교수량_1.광명상수1차(0531)_상수공수량산출(변실토공)" xfId="259" xr:uid="{00000000-0005-0000-0000-0000E4000000}"/>
    <cellStyle name="_국수교수량_13.급수공사-2차(택)" xfId="260" xr:uid="{00000000-0005-0000-0000-0000E5000000}"/>
    <cellStyle name="_국수교수량_13.급수공사-2차(택)_06_유량계실" xfId="261" xr:uid="{00000000-0005-0000-0000-0000E6000000}"/>
    <cellStyle name="_국수교수량_13.급수공사-2차(택)_상수공수량산출(변실토공)" xfId="262" xr:uid="{00000000-0005-0000-0000-0000E7000000}"/>
    <cellStyle name="_국수교수량_2.토공수량산출" xfId="263" xr:uid="{00000000-0005-0000-0000-0000E8000000}"/>
    <cellStyle name="_국수교수량_2광명상수2차(0523)" xfId="264" xr:uid="{00000000-0005-0000-0000-0000E9000000}"/>
    <cellStyle name="_국수교수량_2광명상수2차(0523)_06_유량계실" xfId="265" xr:uid="{00000000-0005-0000-0000-0000EA000000}"/>
    <cellStyle name="_국수교수량_2광명상수2차(0523)_상수공수량산출(변실토공)" xfId="266" xr:uid="{00000000-0005-0000-0000-0000EB000000}"/>
    <cellStyle name="_국수교수량_2광명상수2차(0531)-11" xfId="267" xr:uid="{00000000-0005-0000-0000-0000EC000000}"/>
    <cellStyle name="_국수교수량_2광명상수2차(0531)-11_06_유량계실" xfId="268" xr:uid="{00000000-0005-0000-0000-0000ED000000}"/>
    <cellStyle name="_국수교수량_2광명상수2차(0531)-11_상수공수량산출(변실토공)" xfId="269" xr:uid="{00000000-0005-0000-0000-0000EE000000}"/>
    <cellStyle name="_국수교수량_H01-우수토공" xfId="270" xr:uid="{00000000-0005-0000-0000-0000EF000000}"/>
    <cellStyle name="_국수교수량_H01-우수토공_2.토공수량산출" xfId="271" xr:uid="{00000000-0005-0000-0000-0000F0000000}"/>
    <cellStyle name="_국수교수량_H01-우수토공_H03-우수관수량" xfId="272" xr:uid="{00000000-0005-0000-0000-0000F1000000}"/>
    <cellStyle name="_국수교수량_H01-우수토공_H03-우수관수량_2.토공수량산출" xfId="273" xr:uid="{00000000-0005-0000-0000-0000F2000000}"/>
    <cellStyle name="_국수교수량_H01-우수토공_H03-우수관수량_상수공수량산출" xfId="274" xr:uid="{00000000-0005-0000-0000-0000F3000000}"/>
    <cellStyle name="_국수교수량_H01-우수토공_상수공수량산출" xfId="275" xr:uid="{00000000-0005-0000-0000-0000F4000000}"/>
    <cellStyle name="_국수교수량_H03-우수관수량" xfId="276" xr:uid="{00000000-0005-0000-0000-0000F5000000}"/>
    <cellStyle name="_국수교수량_H03-우수관수량_2.토공수량산출" xfId="277" xr:uid="{00000000-0005-0000-0000-0000F6000000}"/>
    <cellStyle name="_국수교수량_H03-우수관수량_H03-우수관수량" xfId="278" xr:uid="{00000000-0005-0000-0000-0000F7000000}"/>
    <cellStyle name="_국수교수량_H03-우수관수량_H03-우수관수량_2.토공수량산출" xfId="279" xr:uid="{00000000-0005-0000-0000-0000F8000000}"/>
    <cellStyle name="_국수교수량_H03-우수관수량_H03-우수관수량_상수공수량산출" xfId="280" xr:uid="{00000000-0005-0000-0000-0000F9000000}"/>
    <cellStyle name="_국수교수량_H03-우수관수량_상수공수량산출" xfId="281" xr:uid="{00000000-0005-0000-0000-0000FA000000}"/>
    <cellStyle name="_국수교수량_H04-우수맨홀" xfId="282" xr:uid="{00000000-0005-0000-0000-0000FB000000}"/>
    <cellStyle name="_국수교수량_H04-우수맨홀_2.토공수량산출" xfId="283" xr:uid="{00000000-0005-0000-0000-0000FC000000}"/>
    <cellStyle name="_국수교수량_H04-우수맨홀_맨홀조서(2공구)" xfId="284" xr:uid="{00000000-0005-0000-0000-0000FD000000}"/>
    <cellStyle name="_국수교수량_H04-우수맨홀_맨홀조서(2공구)_2.토공수량산출" xfId="285" xr:uid="{00000000-0005-0000-0000-0000FE000000}"/>
    <cellStyle name="_국수교수량_H04-우수맨홀_맨홀조서(2공구)_상수공수량산출" xfId="286" xr:uid="{00000000-0005-0000-0000-0000FF000000}"/>
    <cellStyle name="_국수교수량_H04-우수맨홀_상수공수량산출" xfId="287" xr:uid="{00000000-0005-0000-0000-000000010000}"/>
    <cellStyle name="_국수교수량_h09-우수맨홀" xfId="288" xr:uid="{00000000-0005-0000-0000-000001010000}"/>
    <cellStyle name="_국수교수량_h09-우수맨홀_2.토공수량산출" xfId="289" xr:uid="{00000000-0005-0000-0000-000002010000}"/>
    <cellStyle name="_국수교수량_h09-우수맨홀_상수공수량산출" xfId="290" xr:uid="{00000000-0005-0000-0000-000003010000}"/>
    <cellStyle name="_국수교수량_관기초단위수량" xfId="291" xr:uid="{00000000-0005-0000-0000-000004010000}"/>
    <cellStyle name="_국수교수량_관기초단위수량_01오수토공(청라)0826" xfId="292" xr:uid="{00000000-0005-0000-0000-000005010000}"/>
    <cellStyle name="_국수교수량_관기초단위수량_01오수토공(청라)0826_2.토공수량산출" xfId="293" xr:uid="{00000000-0005-0000-0000-000006010000}"/>
    <cellStyle name="_국수교수량_관기초단위수량_01오수토공(청라)0826_상수공수량산출" xfId="294" xr:uid="{00000000-0005-0000-0000-000007010000}"/>
    <cellStyle name="_국수교수량_관기초단위수량_02-10.오수공수량1" xfId="295" xr:uid="{00000000-0005-0000-0000-000008010000}"/>
    <cellStyle name="_국수교수량_관기초단위수량_02-10.오수공수량1_2.토공수량산출" xfId="296" xr:uid="{00000000-0005-0000-0000-000009010000}"/>
    <cellStyle name="_국수교수량_관기초단위수량_02-10.오수공수량1_상수공수량산출" xfId="297" xr:uid="{00000000-0005-0000-0000-00000A010000}"/>
    <cellStyle name="_국수교수량_관기초단위수량_02오수공수량(청라)" xfId="298" xr:uid="{00000000-0005-0000-0000-00000B010000}"/>
    <cellStyle name="_국수교수량_관기초단위수량_02오수공수량(청라)_2.토공수량산출" xfId="299" xr:uid="{00000000-0005-0000-0000-00000C010000}"/>
    <cellStyle name="_국수교수량_관기초단위수량_02오수공수량(청라)_상수공수량산출" xfId="300" xr:uid="{00000000-0005-0000-0000-00000D010000}"/>
    <cellStyle name="_국수교수량_관기초단위수량_02오수공수량(청라)0728" xfId="301" xr:uid="{00000000-0005-0000-0000-00000E010000}"/>
    <cellStyle name="_국수교수량_관기초단위수량_02오수공수량(청라)0728_2.토공수량산출" xfId="302" xr:uid="{00000000-0005-0000-0000-00000F010000}"/>
    <cellStyle name="_국수교수량_관기초단위수량_02오수공수량(청라)0728_상수공수량산출" xfId="303" xr:uid="{00000000-0005-0000-0000-000010010000}"/>
    <cellStyle name="_국수교수량_관기초단위수량_02오수공수량(청라)0826" xfId="304" xr:uid="{00000000-0005-0000-0000-000011010000}"/>
    <cellStyle name="_국수교수량_관기초단위수량_02오수공수량(청라)0826_2.토공수량산출" xfId="305" xr:uid="{00000000-0005-0000-0000-000012010000}"/>
    <cellStyle name="_국수교수량_관기초단위수량_02오수공수량(청라)0826_상수공수량산출" xfId="306" xr:uid="{00000000-0005-0000-0000-000013010000}"/>
    <cellStyle name="_국수교수량_관기초단위수량_02오수공수량(청라)0827" xfId="307" xr:uid="{00000000-0005-0000-0000-000014010000}"/>
    <cellStyle name="_국수교수량_관기초단위수량_02오수공수량(청라)0827_2.토공수량산출" xfId="308" xr:uid="{00000000-0005-0000-0000-000015010000}"/>
    <cellStyle name="_국수교수량_관기초단위수량_02오수공수량(청라)0827_상수공수량산출" xfId="309" xr:uid="{00000000-0005-0000-0000-000016010000}"/>
    <cellStyle name="_국수교수량_관기초단위수량_2.토공수량산출" xfId="310" xr:uid="{00000000-0005-0000-0000-000017010000}"/>
    <cellStyle name="_국수교수량_관기초단위수량_상수공수량산출" xfId="311" xr:uid="{00000000-0005-0000-0000-000018010000}"/>
    <cellStyle name="_국수교수량_상수공수량산출" xfId="312" xr:uid="{00000000-0005-0000-0000-000019010000}"/>
    <cellStyle name="_국수교수량_상수공수량산출(변실토공)" xfId="313" xr:uid="{00000000-0005-0000-0000-00001A010000}"/>
    <cellStyle name="_국수교수량_오수-차집관로 환기구" xfId="314" xr:uid="{00000000-0005-0000-0000-00001B010000}"/>
    <cellStyle name="_국수교수량_오수-차집관로 환기구_2.토공수량산출" xfId="315" xr:uid="{00000000-0005-0000-0000-00001C010000}"/>
    <cellStyle name="_국수교수량_오수-차집관로 환기구_상수공수량산출" xfId="316" xr:uid="{00000000-0005-0000-0000-00001D010000}"/>
    <cellStyle name="_국수교수량_원주상수도2차" xfId="317" xr:uid="{00000000-0005-0000-0000-00001E010000}"/>
    <cellStyle name="_국수교수량_원주상수도2차_06_유량계실" xfId="318" xr:uid="{00000000-0005-0000-0000-00001F010000}"/>
    <cellStyle name="_국수교수량_원주상수도2차_1.광명상수1차(0531)" xfId="319" xr:uid="{00000000-0005-0000-0000-000020010000}"/>
    <cellStyle name="_국수교수량_원주상수도2차_1.광명상수1차(0531)_06_유량계실" xfId="320" xr:uid="{00000000-0005-0000-0000-000021010000}"/>
    <cellStyle name="_국수교수량_원주상수도2차_1.광명상수1차(0531)_상수공수량산출(변실토공)" xfId="321" xr:uid="{00000000-0005-0000-0000-000022010000}"/>
    <cellStyle name="_국수교수량_원주상수도2차_2광명상수2차(0523)" xfId="322" xr:uid="{00000000-0005-0000-0000-000023010000}"/>
    <cellStyle name="_국수교수량_원주상수도2차_2광명상수2차(0523)_06_유량계실" xfId="323" xr:uid="{00000000-0005-0000-0000-000024010000}"/>
    <cellStyle name="_국수교수량_원주상수도2차_2광명상수2차(0523)_상수공수량산출(변실토공)" xfId="324" xr:uid="{00000000-0005-0000-0000-000025010000}"/>
    <cellStyle name="_국수교수량_원주상수도2차_2광명상수2차(0531)-11" xfId="325" xr:uid="{00000000-0005-0000-0000-000026010000}"/>
    <cellStyle name="_국수교수량_원주상수도2차_2광명상수2차(0531)-11_06_유량계실" xfId="326" xr:uid="{00000000-0005-0000-0000-000027010000}"/>
    <cellStyle name="_국수교수량_원주상수도2차_2광명상수2차(0531)-11_상수공수량산출(변실토공)" xfId="327" xr:uid="{00000000-0005-0000-0000-000028010000}"/>
    <cellStyle name="_국수교수량_원주상수도2차_상수공수량산출(변실토공)" xfId="328" xr:uid="{00000000-0005-0000-0000-000029010000}"/>
    <cellStyle name="_대국교일반수량" xfId="329" xr:uid="{00000000-0005-0000-0000-00002A010000}"/>
    <cellStyle name="_방동" xfId="330" xr:uid="{00000000-0005-0000-0000-00002B010000}"/>
    <cellStyle name="_방동_03구조~1" xfId="331" xr:uid="{00000000-0005-0000-0000-00002C010000}"/>
    <cellStyle name="_방동_03구조~1_2.토공수량산출" xfId="332" xr:uid="{00000000-0005-0000-0000-00002D010000}"/>
    <cellStyle name="_방동_03구조~1_상수공수량산출" xfId="333" xr:uid="{00000000-0005-0000-0000-00002E010000}"/>
    <cellStyle name="_방동_03구조물공" xfId="334" xr:uid="{00000000-0005-0000-0000-00002F010000}"/>
    <cellStyle name="_방동_03구조물공_2.토공수량산출" xfId="335" xr:uid="{00000000-0005-0000-0000-000030010000}"/>
    <cellStyle name="_방동_03구조물공_상수공수량산출" xfId="336" xr:uid="{00000000-0005-0000-0000-000031010000}"/>
    <cellStyle name="_방동_2.토공수량산출" xfId="337" xr:uid="{00000000-0005-0000-0000-000032010000}"/>
    <cellStyle name="_방동_동막리소교량" xfId="338" xr:uid="{00000000-0005-0000-0000-000033010000}"/>
    <cellStyle name="_방동_동막리소교량_2.토공수량산출" xfId="339" xr:uid="{00000000-0005-0000-0000-000034010000}"/>
    <cellStyle name="_방동_동막리소교량_상수공수량산출" xfId="340" xr:uid="{00000000-0005-0000-0000-000035010000}"/>
    <cellStyle name="_방동_마현12~1" xfId="341" xr:uid="{00000000-0005-0000-0000-000036010000}"/>
    <cellStyle name="_방동_마현12~1_2.토공수량산출" xfId="342" xr:uid="{00000000-0005-0000-0000-000037010000}"/>
    <cellStyle name="_방동_마현12~1_상수공수량산출" xfId="343" xr:uid="{00000000-0005-0000-0000-000038010000}"/>
    <cellStyle name="_방동_문혜3리" xfId="344" xr:uid="{00000000-0005-0000-0000-000039010000}"/>
    <cellStyle name="_방동_문혜3리_2.토공수량산출" xfId="345" xr:uid="{00000000-0005-0000-0000-00003A010000}"/>
    <cellStyle name="_방동_문혜3리_상수공수량산출" xfId="346" xr:uid="{00000000-0005-0000-0000-00003B010000}"/>
    <cellStyle name="_방동_방동" xfId="347" xr:uid="{00000000-0005-0000-0000-00003C010000}"/>
    <cellStyle name="_방동_방동_2.토공수량산출" xfId="348" xr:uid="{00000000-0005-0000-0000-00003D010000}"/>
    <cellStyle name="_방동_방동_상수공수량산출" xfId="349" xr:uid="{00000000-0005-0000-0000-00003E010000}"/>
    <cellStyle name="_방동_산양2리지구" xfId="350" xr:uid="{00000000-0005-0000-0000-00003F010000}"/>
    <cellStyle name="_방동_산양2리지구_2.토공수량산출" xfId="351" xr:uid="{00000000-0005-0000-0000-000040010000}"/>
    <cellStyle name="_방동_산양2리지구_상수공수량산출" xfId="352" xr:uid="{00000000-0005-0000-0000-000041010000}"/>
    <cellStyle name="_방동_산양리지구" xfId="353" xr:uid="{00000000-0005-0000-0000-000042010000}"/>
    <cellStyle name="_방동_산양리지구_2.토공수량산출" xfId="354" xr:uid="{00000000-0005-0000-0000-000043010000}"/>
    <cellStyle name="_방동_산양리지구_상수공수량산출" xfId="355" xr:uid="{00000000-0005-0000-0000-000044010000}"/>
    <cellStyle name="_방동_상수공수량산출" xfId="356" xr:uid="{00000000-0005-0000-0000-000045010000}"/>
    <cellStyle name="_방동_서상2리" xfId="357" xr:uid="{00000000-0005-0000-0000-000046010000}"/>
    <cellStyle name="_방동_서상2리_2.토공수량산출" xfId="358" xr:uid="{00000000-0005-0000-0000-000047010000}"/>
    <cellStyle name="_방동_서상2리_상수공수량산출" xfId="359" xr:uid="{00000000-0005-0000-0000-000048010000}"/>
    <cellStyle name="_방동_오항" xfId="360" xr:uid="{00000000-0005-0000-0000-000049010000}"/>
    <cellStyle name="_방동_오항_2.토공수량산출" xfId="361" xr:uid="{00000000-0005-0000-0000-00004A010000}"/>
    <cellStyle name="_방동_오항_상수공수량산출" xfId="362" xr:uid="{00000000-0005-0000-0000-00004B010000}"/>
    <cellStyle name="_방동_원평" xfId="363" xr:uid="{00000000-0005-0000-0000-00004C010000}"/>
    <cellStyle name="_방동_원평_2.토공수량산출" xfId="364" xr:uid="{00000000-0005-0000-0000-00004D010000}"/>
    <cellStyle name="_방동_원평_상수공수량산출" xfId="365" xr:uid="{00000000-0005-0000-0000-00004E010000}"/>
    <cellStyle name="_방동_추곡" xfId="366" xr:uid="{00000000-0005-0000-0000-00004F010000}"/>
    <cellStyle name="_방동_추곡_2.토공수량산출" xfId="367" xr:uid="{00000000-0005-0000-0000-000050010000}"/>
    <cellStyle name="_방동_추곡_상수공수량산출" xfId="368" xr:uid="{00000000-0005-0000-0000-000051010000}"/>
    <cellStyle name="_암거낙차부" xfId="369" xr:uid="{00000000-0005-0000-0000-000052010000}"/>
    <cellStyle name="_암거낙차부_02오수공수량(청라)-맨홀공" xfId="370" xr:uid="{00000000-0005-0000-0000-000053010000}"/>
    <cellStyle name="_암거낙차부_02오수공수량(청라)-맨홀공(최종)" xfId="371" xr:uid="{00000000-0005-0000-0000-000054010000}"/>
    <cellStyle name="_암거낙차부_02오수공수량(청라)-맨홀공(최종)_01오수토공(청라)0826" xfId="372" xr:uid="{00000000-0005-0000-0000-000055010000}"/>
    <cellStyle name="_암거낙차부_02오수공수량(청라)-맨홀공(최종)_01오수토공(청라)0826_2.토공수량산출" xfId="373" xr:uid="{00000000-0005-0000-0000-000056010000}"/>
    <cellStyle name="_암거낙차부_02오수공수량(청라)-맨홀공(최종)_01오수토공(청라)0826_상수공수량산출" xfId="374" xr:uid="{00000000-0005-0000-0000-000057010000}"/>
    <cellStyle name="_암거낙차부_02오수공수량(청라)-맨홀공(최종)_02-10.오수공수량1" xfId="375" xr:uid="{00000000-0005-0000-0000-000058010000}"/>
    <cellStyle name="_암거낙차부_02오수공수량(청라)-맨홀공(최종)_02-10.오수공수량1_2.토공수량산출" xfId="376" xr:uid="{00000000-0005-0000-0000-000059010000}"/>
    <cellStyle name="_암거낙차부_02오수공수량(청라)-맨홀공(최종)_02-10.오수공수량1_상수공수량산출" xfId="377" xr:uid="{00000000-0005-0000-0000-00005A010000}"/>
    <cellStyle name="_암거낙차부_02오수공수량(청라)-맨홀공(최종)_02오수공수량(청라)" xfId="378" xr:uid="{00000000-0005-0000-0000-00005B010000}"/>
    <cellStyle name="_암거낙차부_02오수공수량(청라)-맨홀공(최종)_02오수공수량(청라)_2.토공수량산출" xfId="379" xr:uid="{00000000-0005-0000-0000-00005C010000}"/>
    <cellStyle name="_암거낙차부_02오수공수량(청라)-맨홀공(최종)_02오수공수량(청라)_상수공수량산출" xfId="380" xr:uid="{00000000-0005-0000-0000-00005D010000}"/>
    <cellStyle name="_암거낙차부_02오수공수량(청라)-맨홀공(최종)_02오수공수량(청라)0728" xfId="381" xr:uid="{00000000-0005-0000-0000-00005E010000}"/>
    <cellStyle name="_암거낙차부_02오수공수량(청라)-맨홀공(최종)_02오수공수량(청라)0728_2.토공수량산출" xfId="382" xr:uid="{00000000-0005-0000-0000-00005F010000}"/>
    <cellStyle name="_암거낙차부_02오수공수량(청라)-맨홀공(최종)_02오수공수량(청라)0728_상수공수량산출" xfId="383" xr:uid="{00000000-0005-0000-0000-000060010000}"/>
    <cellStyle name="_암거낙차부_02오수공수량(청라)-맨홀공(최종)_02오수공수량(청라)0826" xfId="384" xr:uid="{00000000-0005-0000-0000-000061010000}"/>
    <cellStyle name="_암거낙차부_02오수공수량(청라)-맨홀공(최종)_02오수공수량(청라)0826_2.토공수량산출" xfId="385" xr:uid="{00000000-0005-0000-0000-000062010000}"/>
    <cellStyle name="_암거낙차부_02오수공수량(청라)-맨홀공(최종)_02오수공수량(청라)0826_상수공수량산출" xfId="386" xr:uid="{00000000-0005-0000-0000-000063010000}"/>
    <cellStyle name="_암거낙차부_02오수공수량(청라)-맨홀공(최종)_02오수공수량(청라)0827" xfId="387" xr:uid="{00000000-0005-0000-0000-000064010000}"/>
    <cellStyle name="_암거낙차부_02오수공수량(청라)-맨홀공(최종)_02오수공수량(청라)0827_2.토공수량산출" xfId="388" xr:uid="{00000000-0005-0000-0000-000065010000}"/>
    <cellStyle name="_암거낙차부_02오수공수량(청라)-맨홀공(최종)_02오수공수량(청라)0827_상수공수량산출" xfId="389" xr:uid="{00000000-0005-0000-0000-000066010000}"/>
    <cellStyle name="_암거낙차부_02오수공수량(청라)-맨홀공(최종)_2.토공수량산출" xfId="390" xr:uid="{00000000-0005-0000-0000-000067010000}"/>
    <cellStyle name="_암거낙차부_02오수공수량(청라)-맨홀공(최종)_관기초단위수량" xfId="391" xr:uid="{00000000-0005-0000-0000-000068010000}"/>
    <cellStyle name="_암거낙차부_02오수공수량(청라)-맨홀공(최종)_관기초단위수량_01오수토공(청라)0826" xfId="392" xr:uid="{00000000-0005-0000-0000-000069010000}"/>
    <cellStyle name="_암거낙차부_02오수공수량(청라)-맨홀공(최종)_관기초단위수량_01오수토공(청라)0826_2.토공수량산출" xfId="393" xr:uid="{00000000-0005-0000-0000-00006A010000}"/>
    <cellStyle name="_암거낙차부_02오수공수량(청라)-맨홀공(최종)_관기초단위수량_01오수토공(청라)0826_상수공수량산출" xfId="394" xr:uid="{00000000-0005-0000-0000-00006B010000}"/>
    <cellStyle name="_암거낙차부_02오수공수량(청라)-맨홀공(최종)_관기초단위수량_02-10.오수공수량1" xfId="395" xr:uid="{00000000-0005-0000-0000-00006C010000}"/>
    <cellStyle name="_암거낙차부_02오수공수량(청라)-맨홀공(최종)_관기초단위수량_02-10.오수공수량1_2.토공수량산출" xfId="396" xr:uid="{00000000-0005-0000-0000-00006D010000}"/>
    <cellStyle name="_암거낙차부_02오수공수량(청라)-맨홀공(최종)_관기초단위수량_02-10.오수공수량1_상수공수량산출" xfId="397" xr:uid="{00000000-0005-0000-0000-00006E010000}"/>
    <cellStyle name="_암거낙차부_02오수공수량(청라)-맨홀공(최종)_관기초단위수량_02오수공수량(청라)" xfId="398" xr:uid="{00000000-0005-0000-0000-00006F010000}"/>
    <cellStyle name="_암거낙차부_02오수공수량(청라)-맨홀공(최종)_관기초단위수량_02오수공수량(청라)_2.토공수량산출" xfId="399" xr:uid="{00000000-0005-0000-0000-000070010000}"/>
    <cellStyle name="_암거낙차부_02오수공수량(청라)-맨홀공(최종)_관기초단위수량_02오수공수량(청라)_상수공수량산출" xfId="400" xr:uid="{00000000-0005-0000-0000-000071010000}"/>
    <cellStyle name="_암거낙차부_02오수공수량(청라)-맨홀공(최종)_관기초단위수량_02오수공수량(청라)0728" xfId="401" xr:uid="{00000000-0005-0000-0000-000072010000}"/>
    <cellStyle name="_암거낙차부_02오수공수량(청라)-맨홀공(최종)_관기초단위수량_02오수공수량(청라)0728_2.토공수량산출" xfId="402" xr:uid="{00000000-0005-0000-0000-000073010000}"/>
    <cellStyle name="_암거낙차부_02오수공수량(청라)-맨홀공(최종)_관기초단위수량_02오수공수량(청라)0728_상수공수량산출" xfId="403" xr:uid="{00000000-0005-0000-0000-000074010000}"/>
    <cellStyle name="_암거낙차부_02오수공수량(청라)-맨홀공(최종)_관기초단위수량_02오수공수량(청라)0826" xfId="404" xr:uid="{00000000-0005-0000-0000-000075010000}"/>
    <cellStyle name="_암거낙차부_02오수공수량(청라)-맨홀공(최종)_관기초단위수량_02오수공수량(청라)0826_2.토공수량산출" xfId="405" xr:uid="{00000000-0005-0000-0000-000076010000}"/>
    <cellStyle name="_암거낙차부_02오수공수량(청라)-맨홀공(최종)_관기초단위수량_02오수공수량(청라)0826_상수공수량산출" xfId="406" xr:uid="{00000000-0005-0000-0000-000077010000}"/>
    <cellStyle name="_암거낙차부_02오수공수량(청라)-맨홀공(최종)_관기초단위수량_02오수공수량(청라)0827" xfId="407" xr:uid="{00000000-0005-0000-0000-000078010000}"/>
    <cellStyle name="_암거낙차부_02오수공수량(청라)-맨홀공(최종)_관기초단위수량_02오수공수량(청라)0827_2.토공수량산출" xfId="408" xr:uid="{00000000-0005-0000-0000-000079010000}"/>
    <cellStyle name="_암거낙차부_02오수공수량(청라)-맨홀공(최종)_관기초단위수량_02오수공수량(청라)0827_상수공수량산출" xfId="409" xr:uid="{00000000-0005-0000-0000-00007A010000}"/>
    <cellStyle name="_암거낙차부_02오수공수량(청라)-맨홀공(최종)_관기초단위수량_2.토공수량산출" xfId="410" xr:uid="{00000000-0005-0000-0000-00007B010000}"/>
    <cellStyle name="_암거낙차부_02오수공수량(청라)-맨홀공(최종)_관기초단위수량_상수공수량산출" xfId="411" xr:uid="{00000000-0005-0000-0000-00007C010000}"/>
    <cellStyle name="_암거낙차부_02오수공수량(청라)-맨홀공(최종)_상수공수량산출" xfId="412" xr:uid="{00000000-0005-0000-0000-00007D010000}"/>
    <cellStyle name="_암거낙차부_02오수공수량(청라)-맨홀공_01오수토공(청라)0826" xfId="413" xr:uid="{00000000-0005-0000-0000-00007E010000}"/>
    <cellStyle name="_암거낙차부_02오수공수량(청라)-맨홀공_01오수토공(청라)0826_2.토공수량산출" xfId="414" xr:uid="{00000000-0005-0000-0000-00007F010000}"/>
    <cellStyle name="_암거낙차부_02오수공수량(청라)-맨홀공_01오수토공(청라)0826_상수공수량산출" xfId="415" xr:uid="{00000000-0005-0000-0000-000080010000}"/>
    <cellStyle name="_암거낙차부_02오수공수량(청라)-맨홀공_02-10.오수공수량1" xfId="416" xr:uid="{00000000-0005-0000-0000-000081010000}"/>
    <cellStyle name="_암거낙차부_02오수공수량(청라)-맨홀공_02-10.오수공수량1_2.토공수량산출" xfId="417" xr:uid="{00000000-0005-0000-0000-000082010000}"/>
    <cellStyle name="_암거낙차부_02오수공수량(청라)-맨홀공_02-10.오수공수량1_상수공수량산출" xfId="418" xr:uid="{00000000-0005-0000-0000-000083010000}"/>
    <cellStyle name="_암거낙차부_02오수공수량(청라)-맨홀공_02오수공수량(청라)" xfId="419" xr:uid="{00000000-0005-0000-0000-000084010000}"/>
    <cellStyle name="_암거낙차부_02오수공수량(청라)-맨홀공_02오수공수량(청라)_2.토공수량산출" xfId="420" xr:uid="{00000000-0005-0000-0000-000085010000}"/>
    <cellStyle name="_암거낙차부_02오수공수량(청라)-맨홀공_02오수공수량(청라)_상수공수량산출" xfId="421" xr:uid="{00000000-0005-0000-0000-000086010000}"/>
    <cellStyle name="_암거낙차부_02오수공수량(청라)-맨홀공_02오수공수량(청라)0728" xfId="422" xr:uid="{00000000-0005-0000-0000-000087010000}"/>
    <cellStyle name="_암거낙차부_02오수공수량(청라)-맨홀공_02오수공수량(청라)0728_2.토공수량산출" xfId="423" xr:uid="{00000000-0005-0000-0000-000088010000}"/>
    <cellStyle name="_암거낙차부_02오수공수량(청라)-맨홀공_02오수공수량(청라)0728_상수공수량산출" xfId="424" xr:uid="{00000000-0005-0000-0000-000089010000}"/>
    <cellStyle name="_암거낙차부_02오수공수량(청라)-맨홀공_02오수공수량(청라)0826" xfId="425" xr:uid="{00000000-0005-0000-0000-00008A010000}"/>
    <cellStyle name="_암거낙차부_02오수공수량(청라)-맨홀공_02오수공수량(청라)0826_2.토공수량산출" xfId="426" xr:uid="{00000000-0005-0000-0000-00008B010000}"/>
    <cellStyle name="_암거낙차부_02오수공수량(청라)-맨홀공_02오수공수량(청라)0826_상수공수량산출" xfId="427" xr:uid="{00000000-0005-0000-0000-00008C010000}"/>
    <cellStyle name="_암거낙차부_02오수공수량(청라)-맨홀공_02오수공수량(청라)0827" xfId="428" xr:uid="{00000000-0005-0000-0000-00008D010000}"/>
    <cellStyle name="_암거낙차부_02오수공수량(청라)-맨홀공_02오수공수량(청라)0827_2.토공수량산출" xfId="429" xr:uid="{00000000-0005-0000-0000-00008E010000}"/>
    <cellStyle name="_암거낙차부_02오수공수량(청라)-맨홀공_02오수공수량(청라)0827_상수공수량산출" xfId="430" xr:uid="{00000000-0005-0000-0000-00008F010000}"/>
    <cellStyle name="_암거낙차부_02오수공수량(청라)-맨홀공_2.토공수량산출" xfId="431" xr:uid="{00000000-0005-0000-0000-000090010000}"/>
    <cellStyle name="_암거낙차부_02오수공수량(청라)-맨홀공_관기초단위수량" xfId="432" xr:uid="{00000000-0005-0000-0000-000091010000}"/>
    <cellStyle name="_암거낙차부_02오수공수량(청라)-맨홀공_관기초단위수량_01오수토공(청라)0826" xfId="433" xr:uid="{00000000-0005-0000-0000-000092010000}"/>
    <cellStyle name="_암거낙차부_02오수공수량(청라)-맨홀공_관기초단위수량_01오수토공(청라)0826_2.토공수량산출" xfId="434" xr:uid="{00000000-0005-0000-0000-000093010000}"/>
    <cellStyle name="_암거낙차부_02오수공수량(청라)-맨홀공_관기초단위수량_01오수토공(청라)0826_상수공수량산출" xfId="435" xr:uid="{00000000-0005-0000-0000-000094010000}"/>
    <cellStyle name="_암거낙차부_02오수공수량(청라)-맨홀공_관기초단위수량_02-10.오수공수량1" xfId="436" xr:uid="{00000000-0005-0000-0000-000095010000}"/>
    <cellStyle name="_암거낙차부_02오수공수량(청라)-맨홀공_관기초단위수량_02-10.오수공수량1_2.토공수량산출" xfId="437" xr:uid="{00000000-0005-0000-0000-000096010000}"/>
    <cellStyle name="_암거낙차부_02오수공수량(청라)-맨홀공_관기초단위수량_02-10.오수공수량1_상수공수량산출" xfId="438" xr:uid="{00000000-0005-0000-0000-000097010000}"/>
    <cellStyle name="_암거낙차부_02오수공수량(청라)-맨홀공_관기초단위수량_02오수공수량(청라)" xfId="439" xr:uid="{00000000-0005-0000-0000-000098010000}"/>
    <cellStyle name="_암거낙차부_02오수공수량(청라)-맨홀공_관기초단위수량_02오수공수량(청라)_2.토공수량산출" xfId="440" xr:uid="{00000000-0005-0000-0000-000099010000}"/>
    <cellStyle name="_암거낙차부_02오수공수량(청라)-맨홀공_관기초단위수량_02오수공수량(청라)_상수공수량산출" xfId="441" xr:uid="{00000000-0005-0000-0000-00009A010000}"/>
    <cellStyle name="_암거낙차부_02오수공수량(청라)-맨홀공_관기초단위수량_02오수공수량(청라)0728" xfId="442" xr:uid="{00000000-0005-0000-0000-00009B010000}"/>
    <cellStyle name="_암거낙차부_02오수공수량(청라)-맨홀공_관기초단위수량_02오수공수량(청라)0728_2.토공수량산출" xfId="443" xr:uid="{00000000-0005-0000-0000-00009C010000}"/>
    <cellStyle name="_암거낙차부_02오수공수량(청라)-맨홀공_관기초단위수량_02오수공수량(청라)0728_상수공수량산출" xfId="444" xr:uid="{00000000-0005-0000-0000-00009D010000}"/>
    <cellStyle name="_암거낙차부_02오수공수량(청라)-맨홀공_관기초단위수량_02오수공수량(청라)0826" xfId="445" xr:uid="{00000000-0005-0000-0000-00009E010000}"/>
    <cellStyle name="_암거낙차부_02오수공수량(청라)-맨홀공_관기초단위수량_02오수공수량(청라)0826_2.토공수량산출" xfId="446" xr:uid="{00000000-0005-0000-0000-00009F010000}"/>
    <cellStyle name="_암거낙차부_02오수공수량(청라)-맨홀공_관기초단위수량_02오수공수량(청라)0826_상수공수량산출" xfId="447" xr:uid="{00000000-0005-0000-0000-0000A0010000}"/>
    <cellStyle name="_암거낙차부_02오수공수량(청라)-맨홀공_관기초단위수량_02오수공수량(청라)0827" xfId="448" xr:uid="{00000000-0005-0000-0000-0000A1010000}"/>
    <cellStyle name="_암거낙차부_02오수공수량(청라)-맨홀공_관기초단위수량_02오수공수량(청라)0827_2.토공수량산출" xfId="449" xr:uid="{00000000-0005-0000-0000-0000A2010000}"/>
    <cellStyle name="_암거낙차부_02오수공수량(청라)-맨홀공_관기초단위수량_02오수공수량(청라)0827_상수공수량산출" xfId="450" xr:uid="{00000000-0005-0000-0000-0000A3010000}"/>
    <cellStyle name="_암거낙차부_02오수공수량(청라)-맨홀공_관기초단위수량_2.토공수량산출" xfId="451" xr:uid="{00000000-0005-0000-0000-0000A4010000}"/>
    <cellStyle name="_암거낙차부_02오수공수량(청라)-맨홀공_관기초단위수량_상수공수량산출" xfId="452" xr:uid="{00000000-0005-0000-0000-0000A5010000}"/>
    <cellStyle name="_암거낙차부_02오수공수량(청라)-맨홀공_상수공수량산출" xfId="453" xr:uid="{00000000-0005-0000-0000-0000A6010000}"/>
    <cellStyle name="_암거낙차부_2.토공수량산출" xfId="454" xr:uid="{00000000-0005-0000-0000-0000A7010000}"/>
    <cellStyle name="_암거낙차부_H01-우수토공" xfId="455" xr:uid="{00000000-0005-0000-0000-0000A8010000}"/>
    <cellStyle name="_암거낙차부_H01-우수토공_2.토공수량산출" xfId="456" xr:uid="{00000000-0005-0000-0000-0000A9010000}"/>
    <cellStyle name="_암거낙차부_H01-우수토공_H03-우수관수량" xfId="457" xr:uid="{00000000-0005-0000-0000-0000AA010000}"/>
    <cellStyle name="_암거낙차부_H01-우수토공_H03-우수관수량_2.토공수량산출" xfId="458" xr:uid="{00000000-0005-0000-0000-0000AB010000}"/>
    <cellStyle name="_암거낙차부_H01-우수토공_H03-우수관수량_상수공수량산출" xfId="459" xr:uid="{00000000-0005-0000-0000-0000AC010000}"/>
    <cellStyle name="_암거낙차부_H01-우수토공_상수공수량산출" xfId="460" xr:uid="{00000000-0005-0000-0000-0000AD010000}"/>
    <cellStyle name="_암거낙차부_H03-우수관수량" xfId="461" xr:uid="{00000000-0005-0000-0000-0000AE010000}"/>
    <cellStyle name="_암거낙차부_H03-우수관수량_2.토공수량산출" xfId="462" xr:uid="{00000000-0005-0000-0000-0000AF010000}"/>
    <cellStyle name="_암거낙차부_H03-우수관수량_H03-우수관수량" xfId="463" xr:uid="{00000000-0005-0000-0000-0000B0010000}"/>
    <cellStyle name="_암거낙차부_H03-우수관수량_H03-우수관수량_2.토공수량산출" xfId="464" xr:uid="{00000000-0005-0000-0000-0000B1010000}"/>
    <cellStyle name="_암거낙차부_H03-우수관수량_H03-우수관수량_상수공수량산출" xfId="465" xr:uid="{00000000-0005-0000-0000-0000B2010000}"/>
    <cellStyle name="_암거낙차부_H03-우수관수량_상수공수량산출" xfId="466" xr:uid="{00000000-0005-0000-0000-0000B3010000}"/>
    <cellStyle name="_암거낙차부_H04-우수맨홀" xfId="467" xr:uid="{00000000-0005-0000-0000-0000B4010000}"/>
    <cellStyle name="_암거낙차부_H04-우수맨홀_2.토공수량산출" xfId="468" xr:uid="{00000000-0005-0000-0000-0000B5010000}"/>
    <cellStyle name="_암거낙차부_H04-우수맨홀_맨홀조서(2공구)" xfId="469" xr:uid="{00000000-0005-0000-0000-0000B6010000}"/>
    <cellStyle name="_암거낙차부_H04-우수맨홀_맨홀조서(2공구)_2.토공수량산출" xfId="470" xr:uid="{00000000-0005-0000-0000-0000B7010000}"/>
    <cellStyle name="_암거낙차부_H04-우수맨홀_맨홀조서(2공구)_상수공수량산출" xfId="471" xr:uid="{00000000-0005-0000-0000-0000B8010000}"/>
    <cellStyle name="_암거낙차부_H04-우수맨홀_상수공수량산출" xfId="472" xr:uid="{00000000-0005-0000-0000-0000B9010000}"/>
    <cellStyle name="_암거낙차부_h09-우수맨홀" xfId="473" xr:uid="{00000000-0005-0000-0000-0000BA010000}"/>
    <cellStyle name="_암거낙차부_h09-우수맨홀_2.토공수량산출" xfId="474" xr:uid="{00000000-0005-0000-0000-0000BB010000}"/>
    <cellStyle name="_암거낙차부_h09-우수맨홀_상수공수량산출" xfId="475" xr:uid="{00000000-0005-0000-0000-0000BC010000}"/>
    <cellStyle name="_암거낙차부_관기초단위수량" xfId="476" xr:uid="{00000000-0005-0000-0000-0000BD010000}"/>
    <cellStyle name="_암거낙차부_관기초단위수량_01오수토공(청라)0826" xfId="477" xr:uid="{00000000-0005-0000-0000-0000BE010000}"/>
    <cellStyle name="_암거낙차부_관기초단위수량_01오수토공(청라)0826_2.토공수량산출" xfId="478" xr:uid="{00000000-0005-0000-0000-0000BF010000}"/>
    <cellStyle name="_암거낙차부_관기초단위수량_01오수토공(청라)0826_상수공수량산출" xfId="479" xr:uid="{00000000-0005-0000-0000-0000C0010000}"/>
    <cellStyle name="_암거낙차부_관기초단위수량_02-10.오수공수량1" xfId="480" xr:uid="{00000000-0005-0000-0000-0000C1010000}"/>
    <cellStyle name="_암거낙차부_관기초단위수량_02-10.오수공수량1_2.토공수량산출" xfId="481" xr:uid="{00000000-0005-0000-0000-0000C2010000}"/>
    <cellStyle name="_암거낙차부_관기초단위수량_02-10.오수공수량1_상수공수량산출" xfId="482" xr:uid="{00000000-0005-0000-0000-0000C3010000}"/>
    <cellStyle name="_암거낙차부_관기초단위수량_02오수공수량(청라)" xfId="483" xr:uid="{00000000-0005-0000-0000-0000C4010000}"/>
    <cellStyle name="_암거낙차부_관기초단위수량_02오수공수량(청라)_2.토공수량산출" xfId="484" xr:uid="{00000000-0005-0000-0000-0000C5010000}"/>
    <cellStyle name="_암거낙차부_관기초단위수량_02오수공수량(청라)_상수공수량산출" xfId="485" xr:uid="{00000000-0005-0000-0000-0000C6010000}"/>
    <cellStyle name="_암거낙차부_관기초단위수량_02오수공수량(청라)0728" xfId="486" xr:uid="{00000000-0005-0000-0000-0000C7010000}"/>
    <cellStyle name="_암거낙차부_관기초단위수량_02오수공수량(청라)0728_2.토공수량산출" xfId="487" xr:uid="{00000000-0005-0000-0000-0000C8010000}"/>
    <cellStyle name="_암거낙차부_관기초단위수량_02오수공수량(청라)0728_상수공수량산출" xfId="488" xr:uid="{00000000-0005-0000-0000-0000C9010000}"/>
    <cellStyle name="_암거낙차부_관기초단위수량_02오수공수량(청라)0826" xfId="489" xr:uid="{00000000-0005-0000-0000-0000CA010000}"/>
    <cellStyle name="_암거낙차부_관기초단위수량_02오수공수량(청라)0826_2.토공수량산출" xfId="490" xr:uid="{00000000-0005-0000-0000-0000CB010000}"/>
    <cellStyle name="_암거낙차부_관기초단위수량_02오수공수량(청라)0826_상수공수량산출" xfId="491" xr:uid="{00000000-0005-0000-0000-0000CC010000}"/>
    <cellStyle name="_암거낙차부_관기초단위수량_02오수공수량(청라)0827" xfId="492" xr:uid="{00000000-0005-0000-0000-0000CD010000}"/>
    <cellStyle name="_암거낙차부_관기초단위수량_02오수공수량(청라)0827_2.토공수량산출" xfId="493" xr:uid="{00000000-0005-0000-0000-0000CE010000}"/>
    <cellStyle name="_암거낙차부_관기초단위수량_02오수공수량(청라)0827_상수공수량산출" xfId="494" xr:uid="{00000000-0005-0000-0000-0000CF010000}"/>
    <cellStyle name="_암거낙차부_관기초단위수량_2.토공수량산출" xfId="495" xr:uid="{00000000-0005-0000-0000-0000D0010000}"/>
    <cellStyle name="_암거낙차부_관기초단위수량_상수공수량산출" xfId="496" xr:uid="{00000000-0005-0000-0000-0000D1010000}"/>
    <cellStyle name="_암거낙차부_상수공수량산출" xfId="497" xr:uid="{00000000-0005-0000-0000-0000D2010000}"/>
    <cellStyle name="_암거낙차부_오수-차집관로 환기구" xfId="498" xr:uid="{00000000-0005-0000-0000-0000D3010000}"/>
    <cellStyle name="_암거낙차부_오수-차집관로 환기구_2.토공수량산출" xfId="499" xr:uid="{00000000-0005-0000-0000-0000D4010000}"/>
    <cellStyle name="_암거낙차부_오수-차집관로 환기구_상수공수량산출" xfId="500" xr:uid="{00000000-0005-0000-0000-0000D5010000}"/>
    <cellStyle name="_오수가압부분격점수량" xfId="501" xr:uid="{00000000-0005-0000-0000-0000D6010000}"/>
    <cellStyle name="_오수가압부분격점수량_002-오수관로" xfId="502" xr:uid="{00000000-0005-0000-0000-0000D7010000}"/>
    <cellStyle name="_오수가압부분격점수량_002-오수관로_06_유량계실" xfId="503" xr:uid="{00000000-0005-0000-0000-0000D8010000}"/>
    <cellStyle name="_오수가압부분격점수량_002-오수관로_상수공수량산출(변실토공)" xfId="504" xr:uid="{00000000-0005-0000-0000-0000D9010000}"/>
    <cellStyle name="_오수가압부분격점수량_06_유량계실" xfId="505" xr:uid="{00000000-0005-0000-0000-0000DA010000}"/>
    <cellStyle name="_오수가압부분격점수량_상수공수량산출(변실토공)" xfId="506" xr:uid="{00000000-0005-0000-0000-0000DB010000}"/>
    <cellStyle name="_오수가압부분격점수량_오수관수량" xfId="507" xr:uid="{00000000-0005-0000-0000-0000DC010000}"/>
    <cellStyle name="_오수가압부분격점수량_오수관수량_002-오수관로" xfId="508" xr:uid="{00000000-0005-0000-0000-0000DD010000}"/>
    <cellStyle name="_오수가압부분격점수량_오수관수량_002-오수관로_06_유량계실" xfId="509" xr:uid="{00000000-0005-0000-0000-0000DE010000}"/>
    <cellStyle name="_오수가압부분격점수량_오수관수량_002-오수관로_상수공수량산출(변실토공)" xfId="510" xr:uid="{00000000-0005-0000-0000-0000DF010000}"/>
    <cellStyle name="_오수가압부분격점수량_오수관수량_06_유량계실" xfId="511" xr:uid="{00000000-0005-0000-0000-0000E0010000}"/>
    <cellStyle name="_오수가압부분격점수량_오수관수량_상수공수량산출(변실토공)" xfId="512" xr:uid="{00000000-0005-0000-0000-0000E1010000}"/>
    <cellStyle name="_오수관수량" xfId="513" xr:uid="{00000000-0005-0000-0000-0000E2010000}"/>
    <cellStyle name="_오수관수량_002-오수관로" xfId="514" xr:uid="{00000000-0005-0000-0000-0000E3010000}"/>
    <cellStyle name="_오수관수량_002-오수관로_06_유량계실" xfId="515" xr:uid="{00000000-0005-0000-0000-0000E4010000}"/>
    <cellStyle name="_오수관수량_002-오수관로_상수공수량산출(변실토공)" xfId="516" xr:uid="{00000000-0005-0000-0000-0000E5010000}"/>
    <cellStyle name="_오수관수량_06_유량계실" xfId="517" xr:uid="{00000000-0005-0000-0000-0000E6010000}"/>
    <cellStyle name="_오수관수량_상수공수량산출(변실토공)" xfId="518" xr:uid="{00000000-0005-0000-0000-0000E7010000}"/>
    <cellStyle name="_오수관수량_오수관수량" xfId="519" xr:uid="{00000000-0005-0000-0000-0000E8010000}"/>
    <cellStyle name="_오수관수량_오수관수량_002-오수관로" xfId="520" xr:uid="{00000000-0005-0000-0000-0000E9010000}"/>
    <cellStyle name="_오수관수량_오수관수량_002-오수관로_06_유량계실" xfId="521" xr:uid="{00000000-0005-0000-0000-0000EA010000}"/>
    <cellStyle name="_오수관수량_오수관수량_002-오수관로_상수공수량산출(변실토공)" xfId="522" xr:uid="{00000000-0005-0000-0000-0000EB010000}"/>
    <cellStyle name="_오수관수량_오수관수량_06_유량계실" xfId="523" xr:uid="{00000000-0005-0000-0000-0000EC010000}"/>
    <cellStyle name="_오수관수량_오수관수량_상수공수량산출(변실토공)" xfId="524" xr:uid="{00000000-0005-0000-0000-0000ED010000}"/>
    <cellStyle name="_우수관수량" xfId="525" xr:uid="{00000000-0005-0000-0000-0000EE010000}"/>
    <cellStyle name="_자재집계" xfId="526" xr:uid="{00000000-0005-0000-0000-0000EF010000}"/>
    <cellStyle name="_자재집계_002-오수관로" xfId="527" xr:uid="{00000000-0005-0000-0000-0000F0010000}"/>
    <cellStyle name="_자재집계_002-오수관로_06_유량계실" xfId="528" xr:uid="{00000000-0005-0000-0000-0000F1010000}"/>
    <cellStyle name="_자재집계_002-오수관로_상수공수량산출(변실토공)" xfId="529" xr:uid="{00000000-0005-0000-0000-0000F2010000}"/>
    <cellStyle name="_자재집계_06_유량계실" xfId="530" xr:uid="{00000000-0005-0000-0000-0000F3010000}"/>
    <cellStyle name="_자재집계_상수공수량산출(변실토공)" xfId="531" xr:uid="{00000000-0005-0000-0000-0000F4010000}"/>
    <cellStyle name="_자재집계_오수관수량" xfId="532" xr:uid="{00000000-0005-0000-0000-0000F5010000}"/>
    <cellStyle name="_자재집계_오수관수량_002-오수관로" xfId="533" xr:uid="{00000000-0005-0000-0000-0000F6010000}"/>
    <cellStyle name="_자재집계_오수관수량_002-오수관로_06_유량계실" xfId="534" xr:uid="{00000000-0005-0000-0000-0000F7010000}"/>
    <cellStyle name="_자재집계_오수관수량_002-오수관로_상수공수량산출(변실토공)" xfId="535" xr:uid="{00000000-0005-0000-0000-0000F8010000}"/>
    <cellStyle name="_자재집계_오수관수량_06_유량계실" xfId="536" xr:uid="{00000000-0005-0000-0000-0000F9010000}"/>
    <cellStyle name="_자재집계_오수관수량_상수공수량산출(변실토공)" xfId="537" xr:uid="{00000000-0005-0000-0000-0000FA010000}"/>
    <cellStyle name="_추곡" xfId="538" xr:uid="{00000000-0005-0000-0000-0000FB010000}"/>
    <cellStyle name="_추곡_2.토공수량산출" xfId="539" xr:uid="{00000000-0005-0000-0000-0000FC010000}"/>
    <cellStyle name="_추곡_상수공수량산출" xfId="540" xr:uid="{00000000-0005-0000-0000-0000FD010000}"/>
    <cellStyle name="_추곡_추곡" xfId="541" xr:uid="{00000000-0005-0000-0000-0000FE010000}"/>
    <cellStyle name="_추곡_추곡_2.토공수량산출" xfId="542" xr:uid="{00000000-0005-0000-0000-0000FF010000}"/>
    <cellStyle name="_추곡_추곡_상수공수량산출" xfId="543" xr:uid="{00000000-0005-0000-0000-000000020000}"/>
    <cellStyle name="_표지" xfId="544" xr:uid="{00000000-0005-0000-0000-000001020000}"/>
    <cellStyle name="’E‰Y [0.00]_laroux" xfId="545" xr:uid="{00000000-0005-0000-0000-000002020000}"/>
    <cellStyle name="’E‰Y_laroux" xfId="546" xr:uid="{00000000-0005-0000-0000-000003020000}"/>
    <cellStyle name="1" xfId="547" xr:uid="{00000000-0005-0000-0000-000004020000}"/>
    <cellStyle name="1_05-2.오수연결관" xfId="548" xr:uid="{00000000-0005-0000-0000-000005020000}"/>
    <cellStyle name="1_1.오수공(내역서수량및자재-재료집계표)" xfId="549" xr:uid="{00000000-0005-0000-0000-000006020000}"/>
    <cellStyle name="1_laroux" xfId="550" xr:uid="{00000000-0005-0000-0000-000007020000}"/>
    <cellStyle name="1_laroux_ATC-YOON1" xfId="551" xr:uid="{00000000-0005-0000-0000-000008020000}"/>
    <cellStyle name="1_단가조사표" xfId="552" xr:uid="{00000000-0005-0000-0000-000009020000}"/>
    <cellStyle name="1_단가조사표_1011소각" xfId="553" xr:uid="{00000000-0005-0000-0000-00000A020000}"/>
    <cellStyle name="1_단가조사표_1113교~1" xfId="554" xr:uid="{00000000-0005-0000-0000-00000B020000}"/>
    <cellStyle name="1_단가조사표_121내역" xfId="555" xr:uid="{00000000-0005-0000-0000-00000C020000}"/>
    <cellStyle name="1_단가조사표_객토량" xfId="556" xr:uid="{00000000-0005-0000-0000-00000D020000}"/>
    <cellStyle name="1_단가조사표_교통센~1" xfId="557" xr:uid="{00000000-0005-0000-0000-00000E020000}"/>
    <cellStyle name="1_단가조사표_교통센터412" xfId="558" xr:uid="{00000000-0005-0000-0000-00000F020000}"/>
    <cellStyle name="1_단가조사표_교통수" xfId="559" xr:uid="{00000000-0005-0000-0000-000010020000}"/>
    <cellStyle name="1_단가조사표_교통수량산출서" xfId="560" xr:uid="{00000000-0005-0000-0000-000011020000}"/>
    <cellStyle name="1_단가조사표_구조물대가 (2)" xfId="561" xr:uid="{00000000-0005-0000-0000-000012020000}"/>
    <cellStyle name="1_단가조사표_내역서 (2)" xfId="562" xr:uid="{00000000-0005-0000-0000-000013020000}"/>
    <cellStyle name="1_단가조사표_대전관저지구" xfId="563" xr:uid="{00000000-0005-0000-0000-000014020000}"/>
    <cellStyle name="1_단가조사표_동측지~1" xfId="564" xr:uid="{00000000-0005-0000-0000-000015020000}"/>
    <cellStyle name="1_단가조사표_동측지원422" xfId="565" xr:uid="{00000000-0005-0000-0000-000016020000}"/>
    <cellStyle name="1_단가조사표_동측지원512" xfId="566" xr:uid="{00000000-0005-0000-0000-000017020000}"/>
    <cellStyle name="1_단가조사표_동측지원524" xfId="567" xr:uid="{00000000-0005-0000-0000-000018020000}"/>
    <cellStyle name="1_단가조사표_부대422" xfId="568" xr:uid="{00000000-0005-0000-0000-000019020000}"/>
    <cellStyle name="1_단가조사표_부대시설" xfId="569" xr:uid="{00000000-0005-0000-0000-00001A020000}"/>
    <cellStyle name="1_단가조사표_소각수~1" xfId="570" xr:uid="{00000000-0005-0000-0000-00001B020000}"/>
    <cellStyle name="1_단가조사표_소각수내역서" xfId="571" xr:uid="{00000000-0005-0000-0000-00001C020000}"/>
    <cellStyle name="1_단가조사표_소각수목2" xfId="572" xr:uid="{00000000-0005-0000-0000-00001D020000}"/>
    <cellStyle name="1_단가조사표_수량산출서 (2)" xfId="573" xr:uid="{00000000-0005-0000-0000-00001E020000}"/>
    <cellStyle name="1_단가조사표_엑스포~1" xfId="574" xr:uid="{00000000-0005-0000-0000-00001F020000}"/>
    <cellStyle name="1_단가조사표_엑스포한빛1" xfId="575" xr:uid="{00000000-0005-0000-0000-000020020000}"/>
    <cellStyle name="1_단가조사표_여객터미널331" xfId="576" xr:uid="{00000000-0005-0000-0000-000021020000}"/>
    <cellStyle name="1_단가조사표_여객터미널513" xfId="577" xr:uid="{00000000-0005-0000-0000-000022020000}"/>
    <cellStyle name="1_단가조사표_여객터미널629" xfId="578" xr:uid="{00000000-0005-0000-0000-000023020000}"/>
    <cellStyle name="1_단가조사표_외곽도로616" xfId="579" xr:uid="{00000000-0005-0000-0000-000024020000}"/>
    <cellStyle name="1_단가조사표_용인죽전수량" xfId="580" xr:uid="{00000000-0005-0000-0000-000025020000}"/>
    <cellStyle name="1_단가조사표_원가계~1" xfId="581" xr:uid="{00000000-0005-0000-0000-000026020000}"/>
    <cellStyle name="1_단가조사표_유기질" xfId="582" xr:uid="{00000000-0005-0000-0000-000027020000}"/>
    <cellStyle name="1_단가조사표_자재조서 (2)" xfId="583" xr:uid="{00000000-0005-0000-0000-000028020000}"/>
    <cellStyle name="1_단가조사표_총괄내역" xfId="584" xr:uid="{00000000-0005-0000-0000-000029020000}"/>
    <cellStyle name="1_단가조사표_총괄내역 (2)" xfId="585" xr:uid="{00000000-0005-0000-0000-00002A020000}"/>
    <cellStyle name="1_단가조사표_터미널도로403" xfId="586" xr:uid="{00000000-0005-0000-0000-00002B020000}"/>
    <cellStyle name="1_단가조사표_터미널도로429" xfId="587" xr:uid="{00000000-0005-0000-0000-00002C020000}"/>
    <cellStyle name="1_단가조사표_포장일위" xfId="588" xr:uid="{00000000-0005-0000-0000-00002D020000}"/>
    <cellStyle name="1_상수공수량산출" xfId="589" xr:uid="{00000000-0005-0000-0000-00002E020000}"/>
    <cellStyle name="2" xfId="590" xr:uid="{00000000-0005-0000-0000-00002F020000}"/>
    <cellStyle name="2)" xfId="591" xr:uid="{00000000-0005-0000-0000-000030020000}"/>
    <cellStyle name="2_05-2.오수연결관" xfId="592" xr:uid="{00000000-0005-0000-0000-000031020000}"/>
    <cellStyle name="2_1.오수공(내역서수량및자재-재료집계표)" xfId="593" xr:uid="{00000000-0005-0000-0000-000032020000}"/>
    <cellStyle name="2_laroux" xfId="594" xr:uid="{00000000-0005-0000-0000-000033020000}"/>
    <cellStyle name="2_laroux_ATC-YOON1" xfId="595" xr:uid="{00000000-0005-0000-0000-000034020000}"/>
    <cellStyle name="2_단가조사표" xfId="596" xr:uid="{00000000-0005-0000-0000-000035020000}"/>
    <cellStyle name="2_단가조사표_1011소각" xfId="597" xr:uid="{00000000-0005-0000-0000-000036020000}"/>
    <cellStyle name="2_단가조사표_1113교~1" xfId="598" xr:uid="{00000000-0005-0000-0000-000037020000}"/>
    <cellStyle name="2_단가조사표_121내역" xfId="599" xr:uid="{00000000-0005-0000-0000-000038020000}"/>
    <cellStyle name="2_단가조사표_객토량" xfId="600" xr:uid="{00000000-0005-0000-0000-000039020000}"/>
    <cellStyle name="2_단가조사표_교통센~1" xfId="601" xr:uid="{00000000-0005-0000-0000-00003A020000}"/>
    <cellStyle name="2_단가조사표_교통센터412" xfId="602" xr:uid="{00000000-0005-0000-0000-00003B020000}"/>
    <cellStyle name="2_단가조사표_교통수" xfId="603" xr:uid="{00000000-0005-0000-0000-00003C020000}"/>
    <cellStyle name="2_단가조사표_교통수량산출서" xfId="604" xr:uid="{00000000-0005-0000-0000-00003D020000}"/>
    <cellStyle name="2_단가조사표_구조물대가 (2)" xfId="605" xr:uid="{00000000-0005-0000-0000-00003E020000}"/>
    <cellStyle name="2_단가조사표_내역서 (2)" xfId="606" xr:uid="{00000000-0005-0000-0000-00003F020000}"/>
    <cellStyle name="2_단가조사표_대전관저지구" xfId="607" xr:uid="{00000000-0005-0000-0000-000040020000}"/>
    <cellStyle name="2_단가조사표_동측지~1" xfId="608" xr:uid="{00000000-0005-0000-0000-000041020000}"/>
    <cellStyle name="2_단가조사표_동측지원422" xfId="609" xr:uid="{00000000-0005-0000-0000-000042020000}"/>
    <cellStyle name="2_단가조사표_동측지원512" xfId="610" xr:uid="{00000000-0005-0000-0000-000043020000}"/>
    <cellStyle name="2_단가조사표_동측지원524" xfId="611" xr:uid="{00000000-0005-0000-0000-000044020000}"/>
    <cellStyle name="2_단가조사표_부대422" xfId="612" xr:uid="{00000000-0005-0000-0000-000045020000}"/>
    <cellStyle name="2_단가조사표_부대시설" xfId="613" xr:uid="{00000000-0005-0000-0000-000046020000}"/>
    <cellStyle name="2_단가조사표_소각수~1" xfId="614" xr:uid="{00000000-0005-0000-0000-000047020000}"/>
    <cellStyle name="2_단가조사표_소각수내역서" xfId="615" xr:uid="{00000000-0005-0000-0000-000048020000}"/>
    <cellStyle name="2_단가조사표_소각수목2" xfId="616" xr:uid="{00000000-0005-0000-0000-000049020000}"/>
    <cellStyle name="2_단가조사표_수량산출서 (2)" xfId="617" xr:uid="{00000000-0005-0000-0000-00004A020000}"/>
    <cellStyle name="2_단가조사표_엑스포~1" xfId="618" xr:uid="{00000000-0005-0000-0000-00004B020000}"/>
    <cellStyle name="2_단가조사표_엑스포한빛1" xfId="619" xr:uid="{00000000-0005-0000-0000-00004C020000}"/>
    <cellStyle name="2_단가조사표_여객터미널331" xfId="620" xr:uid="{00000000-0005-0000-0000-00004D020000}"/>
    <cellStyle name="2_단가조사표_여객터미널513" xfId="621" xr:uid="{00000000-0005-0000-0000-00004E020000}"/>
    <cellStyle name="2_단가조사표_여객터미널629" xfId="622" xr:uid="{00000000-0005-0000-0000-00004F020000}"/>
    <cellStyle name="2_단가조사표_외곽도로616" xfId="623" xr:uid="{00000000-0005-0000-0000-000050020000}"/>
    <cellStyle name="2_단가조사표_용인죽전수량" xfId="624" xr:uid="{00000000-0005-0000-0000-000051020000}"/>
    <cellStyle name="2_단가조사표_원가계~1" xfId="625" xr:uid="{00000000-0005-0000-0000-000052020000}"/>
    <cellStyle name="2_단가조사표_유기질" xfId="626" xr:uid="{00000000-0005-0000-0000-000053020000}"/>
    <cellStyle name="2_단가조사표_자재조서 (2)" xfId="627" xr:uid="{00000000-0005-0000-0000-000054020000}"/>
    <cellStyle name="2_단가조사표_총괄내역" xfId="628" xr:uid="{00000000-0005-0000-0000-000055020000}"/>
    <cellStyle name="2_단가조사표_총괄내역 (2)" xfId="629" xr:uid="{00000000-0005-0000-0000-000056020000}"/>
    <cellStyle name="2_단가조사표_터미널도로403" xfId="630" xr:uid="{00000000-0005-0000-0000-000057020000}"/>
    <cellStyle name="2_단가조사표_터미널도로429" xfId="631" xr:uid="{00000000-0005-0000-0000-000058020000}"/>
    <cellStyle name="2_단가조사표_포장일위" xfId="632" xr:uid="{00000000-0005-0000-0000-000059020000}"/>
    <cellStyle name="2_상수공수량산출" xfId="633" xr:uid="{00000000-0005-0000-0000-00005A020000}"/>
    <cellStyle name="3" xfId="634" xr:uid="{00000000-0005-0000-0000-00005B020000}"/>
    <cellStyle name="6" xfId="635" xr:uid="{00000000-0005-0000-0000-00005C020000}"/>
    <cellStyle name="96" xfId="636" xr:uid="{00000000-0005-0000-0000-00005D020000}"/>
    <cellStyle name="a [0]_mud plant bolted" xfId="637" xr:uid="{00000000-0005-0000-0000-00005E020000}"/>
    <cellStyle name="a)" xfId="638" xr:uid="{00000000-0005-0000-0000-00005F020000}"/>
    <cellStyle name="AeE­ [0]_ 2ÆAAþº°" xfId="639" xr:uid="{00000000-0005-0000-0000-000060020000}"/>
    <cellStyle name="ÅëÈ­ [0]_»óºÎ¼ö·®Áý°è" xfId="640" xr:uid="{00000000-0005-0000-0000-000061020000}"/>
    <cellStyle name="AeE­ [0]_A¾CO½A¼³ " xfId="641" xr:uid="{00000000-0005-0000-0000-000062020000}"/>
    <cellStyle name="AeE­_ 2ÆAAþº° " xfId="642" xr:uid="{00000000-0005-0000-0000-000063020000}"/>
    <cellStyle name="ÅëÈ­_»óºÎ¼ö·®Áý°è " xfId="643" xr:uid="{00000000-0005-0000-0000-000064020000}"/>
    <cellStyle name="AeE­_A¾CO½A¼³ " xfId="644" xr:uid="{00000000-0005-0000-0000-000065020000}"/>
    <cellStyle name="ALIGNMENT" xfId="645" xr:uid="{00000000-0005-0000-0000-000066020000}"/>
    <cellStyle name="AÞ¸¶ [0]_ 2ÆAAþº° " xfId="646" xr:uid="{00000000-0005-0000-0000-000067020000}"/>
    <cellStyle name="ÄÞ¸¶ [0]_»óºÎ¼ö·®Áý°è " xfId="647" xr:uid="{00000000-0005-0000-0000-000068020000}"/>
    <cellStyle name="AÞ¸¶ [0]_A¾CO½A¼³ " xfId="648" xr:uid="{00000000-0005-0000-0000-000069020000}"/>
    <cellStyle name="AÞ¸¶_ 2ÆAAþº° " xfId="649" xr:uid="{00000000-0005-0000-0000-00006A020000}"/>
    <cellStyle name="ÄÞ¸¶_»óºÎ¼ö·®Áý°è " xfId="650" xr:uid="{00000000-0005-0000-0000-00006B020000}"/>
    <cellStyle name="AÞ¸¶_A¾CO½A¼³ " xfId="651" xr:uid="{00000000-0005-0000-0000-00006C020000}"/>
    <cellStyle name="BA" xfId="652" xr:uid="{00000000-0005-0000-0000-00006D020000}"/>
    <cellStyle name="b椬ៜ_x000c_Comma_ODCOS " xfId="653" xr:uid="{00000000-0005-0000-0000-00006E020000}"/>
    <cellStyle name="C￥AØ_ 2ÆAAþº° " xfId="654" xr:uid="{00000000-0005-0000-0000-00006F020000}"/>
    <cellStyle name="Ç¥ÁØ_»óºÎ¼ö·®Áý°è " xfId="655" xr:uid="{00000000-0005-0000-0000-000070020000}"/>
    <cellStyle name="C￥AØ_≫c¾÷ºIº° AN°e " xfId="656" xr:uid="{00000000-0005-0000-0000-000071020000}"/>
    <cellStyle name="Ç¥ÁØ_½½·¡ºêÃ¶±ÙÁý°è " xfId="657" xr:uid="{00000000-0005-0000-0000-000072020000}"/>
    <cellStyle name="Calc Currency (0)" xfId="658" xr:uid="{00000000-0005-0000-0000-000073020000}"/>
    <cellStyle name="category" xfId="659" xr:uid="{00000000-0005-0000-0000-000074020000}"/>
    <cellStyle name="Comma" xfId="660" xr:uid="{00000000-0005-0000-0000-000075020000}"/>
    <cellStyle name="Comma [0]" xfId="661" xr:uid="{00000000-0005-0000-0000-000076020000}"/>
    <cellStyle name="comma zerodec" xfId="662" xr:uid="{00000000-0005-0000-0000-000077020000}"/>
    <cellStyle name="Comma_ SG&amp;A Bridge " xfId="663" xr:uid="{00000000-0005-0000-0000-000078020000}"/>
    <cellStyle name="Comma0" xfId="664" xr:uid="{00000000-0005-0000-0000-000079020000}"/>
    <cellStyle name="Curren" xfId="665" xr:uid="{00000000-0005-0000-0000-00007A020000}"/>
    <cellStyle name="Currenby_Cash&amp;DSO Chart" xfId="666" xr:uid="{00000000-0005-0000-0000-00007B020000}"/>
    <cellStyle name="Currency" xfId="667" xr:uid="{00000000-0005-0000-0000-00007C020000}"/>
    <cellStyle name="Currency [0]" xfId="668" xr:uid="{00000000-0005-0000-0000-00007D020000}"/>
    <cellStyle name="Currency [ﺜ]_P&amp;L_laroux" xfId="669" xr:uid="{00000000-0005-0000-0000-00007E020000}"/>
    <cellStyle name="Currency_ SG&amp;A Bridge " xfId="670" xr:uid="{00000000-0005-0000-0000-00007F020000}"/>
    <cellStyle name="Currency0" xfId="671" xr:uid="{00000000-0005-0000-0000-000080020000}"/>
    <cellStyle name="Currency1" xfId="672" xr:uid="{00000000-0005-0000-0000-000081020000}"/>
    <cellStyle name="Date" xfId="673" xr:uid="{00000000-0005-0000-0000-000082020000}"/>
    <cellStyle name="de" xfId="674" xr:uid="{00000000-0005-0000-0000-000083020000}"/>
    <cellStyle name="Dezimal [0]_Compiling Utility Macros" xfId="675" xr:uid="{00000000-0005-0000-0000-000084020000}"/>
    <cellStyle name="Dezimal_Compiling Utility Macros" xfId="676" xr:uid="{00000000-0005-0000-0000-000085020000}"/>
    <cellStyle name="Dollar (zero dec)" xfId="677" xr:uid="{00000000-0005-0000-0000-000086020000}"/>
    <cellStyle name="EA" xfId="678" xr:uid="{00000000-0005-0000-0000-000087020000}"/>
    <cellStyle name="Euro" xfId="679" xr:uid="{00000000-0005-0000-0000-000088020000}"/>
    <cellStyle name="F2" xfId="680" xr:uid="{00000000-0005-0000-0000-000089020000}"/>
    <cellStyle name="F3" xfId="681" xr:uid="{00000000-0005-0000-0000-00008A020000}"/>
    <cellStyle name="F4" xfId="682" xr:uid="{00000000-0005-0000-0000-00008B020000}"/>
    <cellStyle name="F5" xfId="683" xr:uid="{00000000-0005-0000-0000-00008C020000}"/>
    <cellStyle name="F6" xfId="684" xr:uid="{00000000-0005-0000-0000-00008D020000}"/>
    <cellStyle name="F7" xfId="685" xr:uid="{00000000-0005-0000-0000-00008E020000}"/>
    <cellStyle name="F8" xfId="686" xr:uid="{00000000-0005-0000-0000-00008F020000}"/>
    <cellStyle name="Fixed" xfId="687" xr:uid="{00000000-0005-0000-0000-000090020000}"/>
    <cellStyle name="g" xfId="688" xr:uid="{00000000-0005-0000-0000-000091020000}"/>
    <cellStyle name="Grey" xfId="689" xr:uid="{00000000-0005-0000-0000-000092020000}"/>
    <cellStyle name="H1" xfId="690" xr:uid="{00000000-0005-0000-0000-000093020000}"/>
    <cellStyle name="H2" xfId="691" xr:uid="{00000000-0005-0000-0000-000094020000}"/>
    <cellStyle name="HEADER" xfId="692" xr:uid="{00000000-0005-0000-0000-000095020000}"/>
    <cellStyle name="Header1" xfId="693" xr:uid="{00000000-0005-0000-0000-000096020000}"/>
    <cellStyle name="Header2" xfId="694" xr:uid="{00000000-0005-0000-0000-000097020000}"/>
    <cellStyle name="Heading 1" xfId="695" xr:uid="{00000000-0005-0000-0000-000098020000}"/>
    <cellStyle name="Heading 2" xfId="696" xr:uid="{00000000-0005-0000-0000-000099020000}"/>
    <cellStyle name="Heading1" xfId="697" xr:uid="{00000000-0005-0000-0000-00009A020000}"/>
    <cellStyle name="Heading2" xfId="698" xr:uid="{00000000-0005-0000-0000-00009B020000}"/>
    <cellStyle name="Hyperlink_NEGS" xfId="699" xr:uid="{00000000-0005-0000-0000-00009C020000}"/>
    <cellStyle name="Input [yellow]" xfId="700" xr:uid="{00000000-0005-0000-0000-00009D020000}"/>
    <cellStyle name="Midtitle" xfId="701" xr:uid="{00000000-0005-0000-0000-00009E020000}"/>
    <cellStyle name="Milliers [0]_399GC10" xfId="702" xr:uid="{00000000-0005-0000-0000-00009F020000}"/>
    <cellStyle name="Milliers_399GC10" xfId="703" xr:uid="{00000000-0005-0000-0000-0000A0020000}"/>
    <cellStyle name="Model" xfId="704" xr:uid="{00000000-0005-0000-0000-0000A1020000}"/>
    <cellStyle name="Mon?aire [0]_399GC10" xfId="705" xr:uid="{00000000-0005-0000-0000-0000A2020000}"/>
    <cellStyle name="Mon?aire_399GC10" xfId="706" xr:uid="{00000000-0005-0000-0000-0000A3020000}"/>
    <cellStyle name="n" xfId="707" xr:uid="{00000000-0005-0000-0000-0000A4020000}"/>
    <cellStyle name="no dec" xfId="708" xr:uid="{00000000-0005-0000-0000-0000A5020000}"/>
    <cellStyle name="normal" xfId="709" xr:uid="{00000000-0005-0000-0000-0000A6020000}"/>
    <cellStyle name="Normal - Style1" xfId="710" xr:uid="{00000000-0005-0000-0000-0000A7020000}"/>
    <cellStyle name="Normal - Style2" xfId="711" xr:uid="{00000000-0005-0000-0000-0000A8020000}"/>
    <cellStyle name="Normal - Style3" xfId="712" xr:uid="{00000000-0005-0000-0000-0000A9020000}"/>
    <cellStyle name="Normal - Style4" xfId="713" xr:uid="{00000000-0005-0000-0000-0000AA020000}"/>
    <cellStyle name="Normal - Style5" xfId="714" xr:uid="{00000000-0005-0000-0000-0000AB020000}"/>
    <cellStyle name="Normal - Style6" xfId="715" xr:uid="{00000000-0005-0000-0000-0000AC020000}"/>
    <cellStyle name="Normal - Style7" xfId="716" xr:uid="{00000000-0005-0000-0000-0000AD020000}"/>
    <cellStyle name="Normal - Style8" xfId="717" xr:uid="{00000000-0005-0000-0000-0000AE020000}"/>
    <cellStyle name="Normal - 유형1" xfId="718" xr:uid="{00000000-0005-0000-0000-0000AF020000}"/>
    <cellStyle name="Normal_ SG&amp;A Bridge " xfId="719" xr:uid="{00000000-0005-0000-0000-0000B0020000}"/>
    <cellStyle name="O" xfId="720" xr:uid="{00000000-0005-0000-0000-0000B1020000}"/>
    <cellStyle name="OD" xfId="721" xr:uid="{00000000-0005-0000-0000-0000B2020000}"/>
    <cellStyle name="Œ…?æ맖?e [0.00]_laroux" xfId="722" xr:uid="{00000000-0005-0000-0000-0000B3020000}"/>
    <cellStyle name="Œ…?æ맖?e_laroux" xfId="723" xr:uid="{00000000-0005-0000-0000-0000B4020000}"/>
    <cellStyle name="Percent" xfId="724" xr:uid="{00000000-0005-0000-0000-0000B5020000}"/>
    <cellStyle name="Percent [2]" xfId="725" xr:uid="{00000000-0005-0000-0000-0000B6020000}"/>
    <cellStyle name="Percent_0.오수관수량" xfId="726" xr:uid="{00000000-0005-0000-0000-0000B7020000}"/>
    <cellStyle name="Q1" xfId="727" xr:uid="{00000000-0005-0000-0000-0000B8020000}"/>
    <cellStyle name="Q4" xfId="728" xr:uid="{00000000-0005-0000-0000-0000B9020000}"/>
    <cellStyle name="s" xfId="729" xr:uid="{00000000-0005-0000-0000-0000BA020000}"/>
    <cellStyle name="S " xfId="730" xr:uid="{00000000-0005-0000-0000-0000BB020000}"/>
    <cellStyle name="Standard_Anpassen der Amortisation" xfId="731" xr:uid="{00000000-0005-0000-0000-0000BC020000}"/>
    <cellStyle name="subhead" xfId="732" xr:uid="{00000000-0005-0000-0000-0000BD020000}"/>
    <cellStyle name="t1" xfId="733" xr:uid="{00000000-0005-0000-0000-0000BE020000}"/>
    <cellStyle name="testtitle" xfId="734" xr:uid="{00000000-0005-0000-0000-0000BF020000}"/>
    <cellStyle name="title [1]" xfId="735" xr:uid="{00000000-0005-0000-0000-0000C0020000}"/>
    <cellStyle name="title [2]" xfId="736" xr:uid="{00000000-0005-0000-0000-0000C1020000}"/>
    <cellStyle name="ton" xfId="737" xr:uid="{00000000-0005-0000-0000-0000C2020000}"/>
    <cellStyle name="Total" xfId="738" xr:uid="{00000000-0005-0000-0000-0000C3020000}"/>
    <cellStyle name="UM" xfId="739" xr:uid="{00000000-0005-0000-0000-0000C4020000}"/>
    <cellStyle name="W?rung [0]_Compiling Utility Macros" xfId="740" xr:uid="{00000000-0005-0000-0000-0000C5020000}"/>
    <cellStyle name="W?rung_Compiling Utility Macros" xfId="741" xr:uid="{00000000-0005-0000-0000-0000C6020000}"/>
    <cellStyle name="고정소숫점" xfId="742" xr:uid="{00000000-0005-0000-0000-0000C7020000}"/>
    <cellStyle name="고정출력1" xfId="743" xr:uid="{00000000-0005-0000-0000-0000C8020000}"/>
    <cellStyle name="고정출력2" xfId="744" xr:uid="{00000000-0005-0000-0000-0000C9020000}"/>
    <cellStyle name="날짜" xfId="745" xr:uid="{00000000-0005-0000-0000-0000CA020000}"/>
    <cellStyle name="내역서" xfId="746" xr:uid="{00000000-0005-0000-0000-0000CB020000}"/>
    <cellStyle name="달러" xfId="747" xr:uid="{00000000-0005-0000-0000-0000CC020000}"/>
    <cellStyle name="뒤에 오는 하이퍼링크_05-B우수관로공" xfId="748" xr:uid="{00000000-0005-0000-0000-0000CD020000}"/>
    <cellStyle name="똿떓죶Ø괻 [0.00]_PRODUCT DETAIL Q1" xfId="749" xr:uid="{00000000-0005-0000-0000-0000CE020000}"/>
    <cellStyle name="똿떓죶Ø괻_PRODUCT DETAIL Q1" xfId="750" xr:uid="{00000000-0005-0000-0000-0000CF020000}"/>
    <cellStyle name="똿뗦먛귟 [0.00]_PRODUCT DETAIL Q1" xfId="751" xr:uid="{00000000-0005-0000-0000-0000D0020000}"/>
    <cellStyle name="똿뗦먛귟_PRODUCT DETAIL Q1" xfId="752" xr:uid="{00000000-0005-0000-0000-0000D1020000}"/>
    <cellStyle name="묮뎋 [0.00]_PRODUCT DETAIL Q1" xfId="753" xr:uid="{00000000-0005-0000-0000-0000D2020000}"/>
    <cellStyle name="묮뎋_PRODUCT DETAIL Q1" xfId="754" xr:uid="{00000000-0005-0000-0000-0000D3020000}"/>
    <cellStyle name="믅됞 [0.00]_PRODUCT DETAIL Q1" xfId="755" xr:uid="{00000000-0005-0000-0000-0000D4020000}"/>
    <cellStyle name="믅됞_PRODUCT DETAIL Q1" xfId="756" xr:uid="{00000000-0005-0000-0000-0000D5020000}"/>
    <cellStyle name="백" xfId="757" xr:uid="{00000000-0005-0000-0000-0000D6020000}"/>
    <cellStyle name="백_1.오수공(내역서수량및자재-재료집계표)" xfId="758" xr:uid="{00000000-0005-0000-0000-0000D7020000}"/>
    <cellStyle name="백_상수공수량산출" xfId="759" xr:uid="{00000000-0005-0000-0000-0000D8020000}"/>
    <cellStyle name="백분율" xfId="823" builtinId="5"/>
    <cellStyle name="백분율 [0]" xfId="760" xr:uid="{00000000-0005-0000-0000-0000DA020000}"/>
    <cellStyle name="백분율 [2]" xfId="761" xr:uid="{00000000-0005-0000-0000-0000DB020000}"/>
    <cellStyle name="백분율 2" xfId="3" xr:uid="{00000000-0005-0000-0000-0000DC020000}"/>
    <cellStyle name="백분율 2 2" xfId="4" xr:uid="{00000000-0005-0000-0000-0000DD020000}"/>
    <cellStyle name="뷭?_BOOKSHIP" xfId="762" xr:uid="{00000000-0005-0000-0000-0000DE020000}"/>
    <cellStyle name="선택영역" xfId="763" xr:uid="{00000000-0005-0000-0000-0000DF020000}"/>
    <cellStyle name="소숫점0" xfId="764" xr:uid="{00000000-0005-0000-0000-0000E0020000}"/>
    <cellStyle name="소숫점3" xfId="765" xr:uid="{00000000-0005-0000-0000-0000E1020000}"/>
    <cellStyle name="수량산출" xfId="766" xr:uid="{00000000-0005-0000-0000-0000E2020000}"/>
    <cellStyle name="숫자(R)" xfId="767" xr:uid="{00000000-0005-0000-0000-0000E3020000}"/>
    <cellStyle name="쉼표 [0]" xfId="27" builtinId="6"/>
    <cellStyle name="쉼표 [0] 13" xfId="816" xr:uid="{00000000-0005-0000-0000-0000E5020000}"/>
    <cellStyle name="쉼표 [0] 2" xfId="6" xr:uid="{00000000-0005-0000-0000-0000E6020000}"/>
    <cellStyle name="쉼표 [0] 2 2" xfId="7" xr:uid="{00000000-0005-0000-0000-0000E7020000}"/>
    <cellStyle name="쉼표 [0] 2 2 2" xfId="8" xr:uid="{00000000-0005-0000-0000-0000E8020000}"/>
    <cellStyle name="쉼표 [0] 2 4" xfId="830" xr:uid="{00000000-0005-0000-0000-0000E9020000}"/>
    <cellStyle name="쉼표 [0] 3" xfId="5" xr:uid="{00000000-0005-0000-0000-0000EA020000}"/>
    <cellStyle name="쉼표 [0] 3 2" xfId="9" xr:uid="{00000000-0005-0000-0000-0000EB020000}"/>
    <cellStyle name="쉼표 [0] 3 3" xfId="10" xr:uid="{00000000-0005-0000-0000-0000EC020000}"/>
    <cellStyle name="쉼표 [0] 3 4" xfId="11" xr:uid="{00000000-0005-0000-0000-0000ED020000}"/>
    <cellStyle name="쉼표 [0] 3 5" xfId="12" xr:uid="{00000000-0005-0000-0000-0000EE020000}"/>
    <cellStyle name="쉼표 [0] 4" xfId="813" xr:uid="{00000000-0005-0000-0000-0000EF020000}"/>
    <cellStyle name="쉼표 [0]_배수공" xfId="818" xr:uid="{00000000-0005-0000-0000-0000F0020000}"/>
    <cellStyle name="스타일 1" xfId="768" xr:uid="{00000000-0005-0000-0000-0000F1020000}"/>
    <cellStyle name="안건회계법인" xfId="769" xr:uid="{00000000-0005-0000-0000-0000F2020000}"/>
    <cellStyle name="열어본 하이퍼링크" xfId="770" xr:uid="{00000000-0005-0000-0000-0000F3020000}"/>
    <cellStyle name="우괄호_박심배수구조물공" xfId="771" xr:uid="{00000000-0005-0000-0000-0000F4020000}"/>
    <cellStyle name="우측양괄호" xfId="772" xr:uid="{00000000-0005-0000-0000-0000F5020000}"/>
    <cellStyle name="유1" xfId="773" xr:uid="{00000000-0005-0000-0000-0000F6020000}"/>
    <cellStyle name="일반" xfId="774" xr:uid="{00000000-0005-0000-0000-0000F7020000}"/>
    <cellStyle name="자리수" xfId="775" xr:uid="{00000000-0005-0000-0000-0000F8020000}"/>
    <cellStyle name="자리수0" xfId="776" xr:uid="{00000000-0005-0000-0000-0000F9020000}"/>
    <cellStyle name="제곱" xfId="777" xr:uid="{00000000-0005-0000-0000-0000FA020000}"/>
    <cellStyle name="좌괄호_박심배수구조물공" xfId="778" xr:uid="{00000000-0005-0000-0000-0000FB020000}"/>
    <cellStyle name="좌측양괄호" xfId="779" xr:uid="{00000000-0005-0000-0000-0000FC020000}"/>
    <cellStyle name="지정되지 않음" xfId="780" xr:uid="{00000000-0005-0000-0000-0000FD020000}"/>
    <cellStyle name="콤" xfId="781" xr:uid="{00000000-0005-0000-0000-0000FE020000}"/>
    <cellStyle name="콤_1.오수공(내역서수량및자재-재료집계표)" xfId="782" xr:uid="{00000000-0005-0000-0000-0000FF020000}"/>
    <cellStyle name="콤_상수공수량산출" xfId="783" xr:uid="{00000000-0005-0000-0000-000000030000}"/>
    <cellStyle name="콤마 [" xfId="784" xr:uid="{00000000-0005-0000-0000-000001030000}"/>
    <cellStyle name="콤마 [0.00]" xfId="785" xr:uid="{00000000-0005-0000-0000-000002030000}"/>
    <cellStyle name="콤마 [0]_  종  합  " xfId="786" xr:uid="{00000000-0005-0000-0000-000003030000}"/>
    <cellStyle name="콤마 [000]" xfId="787" xr:uid="{00000000-0005-0000-0000-000004030000}"/>
    <cellStyle name="콤마 [1]" xfId="788" xr:uid="{00000000-0005-0000-0000-000005030000}"/>
    <cellStyle name="콤마 [2]" xfId="789" xr:uid="{00000000-0005-0000-0000-000006030000}"/>
    <cellStyle name="콤마[ ]" xfId="790" xr:uid="{00000000-0005-0000-0000-000007030000}"/>
    <cellStyle name="콤마[*]" xfId="791" xr:uid="{00000000-0005-0000-0000-000008030000}"/>
    <cellStyle name="콤마[,]" xfId="792" xr:uid="{00000000-0005-0000-0000-000009030000}"/>
    <cellStyle name="콤마[.]" xfId="793" xr:uid="{00000000-0005-0000-0000-00000A030000}"/>
    <cellStyle name="콤마[0]" xfId="794" xr:uid="{00000000-0005-0000-0000-00000B030000}"/>
    <cellStyle name="콤마_  종  합  " xfId="795" xr:uid="{00000000-0005-0000-0000-00000C030000}"/>
    <cellStyle name="타이틀" xfId="796" xr:uid="{00000000-0005-0000-0000-00000D030000}"/>
    <cellStyle name="토공" xfId="797" xr:uid="{00000000-0005-0000-0000-00000E030000}"/>
    <cellStyle name="통" xfId="798" xr:uid="{00000000-0005-0000-0000-00000F030000}"/>
    <cellStyle name="통_1.오수공(내역서수량및자재-재료집계표)" xfId="799" xr:uid="{00000000-0005-0000-0000-000010030000}"/>
    <cellStyle name="통_상수공수량산출" xfId="800" xr:uid="{00000000-0005-0000-0000-000011030000}"/>
    <cellStyle name="통화 [" xfId="801" xr:uid="{00000000-0005-0000-0000-000012030000}"/>
    <cellStyle name="통화 [0㉝〸" xfId="802" xr:uid="{00000000-0005-0000-0000-000013030000}"/>
    <cellStyle name="퍼센트" xfId="803" xr:uid="{00000000-0005-0000-0000-000014030000}"/>
    <cellStyle name="표" xfId="804" xr:uid="{00000000-0005-0000-0000-000015030000}"/>
    <cellStyle name="표_1.오수공(내역서수량및자재-재료집계표)" xfId="805" xr:uid="{00000000-0005-0000-0000-000016030000}"/>
    <cellStyle name="표_상수공수량산출" xfId="806" xr:uid="{00000000-0005-0000-0000-000017030000}"/>
    <cellStyle name="표준" xfId="0" builtinId="0"/>
    <cellStyle name="표준 10" xfId="819" xr:uid="{00000000-0005-0000-0000-000019030000}"/>
    <cellStyle name="표준 10 2" xfId="821" xr:uid="{00000000-0005-0000-0000-00001A030000}"/>
    <cellStyle name="표준 109" xfId="820" xr:uid="{00000000-0005-0000-0000-00001B030000}"/>
    <cellStyle name="표준 11" xfId="822" xr:uid="{00000000-0005-0000-0000-00001C030000}"/>
    <cellStyle name="표준 12" xfId="815" xr:uid="{00000000-0005-0000-0000-00001D030000}"/>
    <cellStyle name="표준 13" xfId="831" xr:uid="{00000000-0005-0000-0000-00001E030000}"/>
    <cellStyle name="표준 14" xfId="832" xr:uid="{00000000-0005-0000-0000-00001F030000}"/>
    <cellStyle name="표준 143" xfId="836" xr:uid="{00000000-0005-0000-0000-000020030000}"/>
    <cellStyle name="표준 15" xfId="833" xr:uid="{00000000-0005-0000-0000-000021030000}"/>
    <cellStyle name="표준 16" xfId="834" xr:uid="{00000000-0005-0000-0000-000022030000}"/>
    <cellStyle name="표준 17" xfId="835" xr:uid="{00000000-0005-0000-0000-000023030000}"/>
    <cellStyle name="표준 18" xfId="837" xr:uid="{00000000-0005-0000-0000-000024030000}"/>
    <cellStyle name="표준 2" xfId="2" xr:uid="{00000000-0005-0000-0000-000025030000}"/>
    <cellStyle name="표준 2 2" xfId="14" xr:uid="{00000000-0005-0000-0000-000026030000}"/>
    <cellStyle name="표준 2 2 2" xfId="15" xr:uid="{00000000-0005-0000-0000-000027030000}"/>
    <cellStyle name="표준 2 2 2 2" xfId="16" xr:uid="{00000000-0005-0000-0000-000028030000}"/>
    <cellStyle name="표준 2 2 2 2 2" xfId="30" xr:uid="{00000000-0005-0000-0000-000029030000}"/>
    <cellStyle name="표준 2 3" xfId="17" xr:uid="{00000000-0005-0000-0000-00002A030000}"/>
    <cellStyle name="표준 2 4" xfId="13" xr:uid="{00000000-0005-0000-0000-00002B030000}"/>
    <cellStyle name="표준 2 5" xfId="29" xr:uid="{00000000-0005-0000-0000-00002C030000}"/>
    <cellStyle name="표준 3" xfId="1" xr:uid="{00000000-0005-0000-0000-00002D030000}"/>
    <cellStyle name="표준 3 2" xfId="19" xr:uid="{00000000-0005-0000-0000-00002E030000}"/>
    <cellStyle name="표준 3 3" xfId="20" xr:uid="{00000000-0005-0000-0000-00002F030000}"/>
    <cellStyle name="표준 3 4" xfId="21" xr:uid="{00000000-0005-0000-0000-000030030000}"/>
    <cellStyle name="표준 3 5" xfId="22" xr:uid="{00000000-0005-0000-0000-000031030000}"/>
    <cellStyle name="표준 3 6" xfId="18" xr:uid="{00000000-0005-0000-0000-000032030000}"/>
    <cellStyle name="표준 4" xfId="23" xr:uid="{00000000-0005-0000-0000-000033030000}"/>
    <cellStyle name="표준 4 2" xfId="829" xr:uid="{00000000-0005-0000-0000-000034030000}"/>
    <cellStyle name="표준 5" xfId="24" xr:uid="{00000000-0005-0000-0000-000035030000}"/>
    <cellStyle name="표준 6" xfId="25" xr:uid="{00000000-0005-0000-0000-000036030000}"/>
    <cellStyle name="표준 67" xfId="824" xr:uid="{00000000-0005-0000-0000-000037030000}"/>
    <cellStyle name="표준 7" xfId="26" xr:uid="{00000000-0005-0000-0000-000038030000}"/>
    <cellStyle name="표준 8" xfId="28" xr:uid="{00000000-0005-0000-0000-000039030000}"/>
    <cellStyle name="표준 9" xfId="814" xr:uid="{00000000-0005-0000-0000-00003A030000}"/>
    <cellStyle name="표준_12_수리계산0503" xfId="825" xr:uid="{00000000-0005-0000-0000-00003B030000}"/>
    <cellStyle name="標準_Akia(F）-8" xfId="807" xr:uid="{00000000-0005-0000-0000-00003C030000}"/>
    <cellStyle name="표준_Sheet2" xfId="826" xr:uid="{00000000-0005-0000-0000-00003D030000}"/>
    <cellStyle name="표준_동계천" xfId="827" xr:uid="{00000000-0005-0000-0000-00003E030000}"/>
    <cellStyle name="표준_배수공" xfId="817" xr:uid="{00000000-0005-0000-0000-00003F030000}"/>
    <cellStyle name="표준_오수수량(가오)" xfId="828" xr:uid="{00000000-0005-0000-0000-000040030000}"/>
    <cellStyle name="표준1" xfId="808" xr:uid="{00000000-0005-0000-0000-000041030000}"/>
    <cellStyle name="표준2" xfId="809" xr:uid="{00000000-0005-0000-0000-000042030000}"/>
    <cellStyle name="합산" xfId="810" xr:uid="{00000000-0005-0000-0000-000043030000}"/>
    <cellStyle name="화폐기호" xfId="811" xr:uid="{00000000-0005-0000-0000-000044030000}"/>
    <cellStyle name="화폐기호0" xfId="812" xr:uid="{00000000-0005-0000-0000-000045030000}"/>
  </cellStyles>
  <dxfs count="2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CC"/>
      <color rgb="FFFFFFCC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wmf"/><Relationship Id="rId1" Type="http://schemas.openxmlformats.org/officeDocument/2006/relationships/image" Target="../media/image7.w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848139</xdr:colOff>
      <xdr:row>3</xdr:row>
      <xdr:rowOff>102290</xdr:rowOff>
    </xdr:from>
    <xdr:to>
      <xdr:col>12</xdr:col>
      <xdr:colOff>622852</xdr:colOff>
      <xdr:row>23</xdr:row>
      <xdr:rowOff>64190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8139" y="1188140"/>
          <a:ext cx="6051688" cy="453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990600</xdr:colOff>
      <xdr:row>39</xdr:row>
      <xdr:rowOff>142875</xdr:rowOff>
    </xdr:from>
    <xdr:to>
      <xdr:col>13</xdr:col>
      <xdr:colOff>112643</xdr:colOff>
      <xdr:row>59</xdr:row>
      <xdr:rowOff>104774</xdr:rowOff>
    </xdr:to>
    <xdr:pic>
      <xdr:nvPicPr>
        <xdr:cNvPr id="3" name="Picture 8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10363200"/>
          <a:ext cx="6048375" cy="453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0</xdr:colOff>
          <xdr:row>0</xdr:row>
          <xdr:rowOff>0</xdr:rowOff>
        </xdr:to>
        <xdr:sp macro="" textlink="">
          <xdr:nvSpPr>
            <xdr:cNvPr id="35841" name="Object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0</xdr:colOff>
          <xdr:row>0</xdr:row>
          <xdr:rowOff>0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B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466164</xdr:colOff>
      <xdr:row>1</xdr:row>
      <xdr:rowOff>73960</xdr:rowOff>
    </xdr:from>
    <xdr:to>
      <xdr:col>13</xdr:col>
      <xdr:colOff>470647</xdr:colOff>
      <xdr:row>25</xdr:row>
      <xdr:rowOff>23049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164" y="701489"/>
          <a:ext cx="7165042" cy="53391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528916</xdr:colOff>
      <xdr:row>39</xdr:row>
      <xdr:rowOff>203948</xdr:rowOff>
    </xdr:from>
    <xdr:to>
      <xdr:col>13</xdr:col>
      <xdr:colOff>89646</xdr:colOff>
      <xdr:row>62</xdr:row>
      <xdr:rowOff>57693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916" y="831477"/>
          <a:ext cx="6721289" cy="50084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3</xdr:col>
          <xdr:colOff>0</xdr:colOff>
          <xdr:row>0</xdr:row>
          <xdr:rowOff>0</xdr:rowOff>
        </xdr:to>
        <xdr:sp macro="" textlink="">
          <xdr:nvSpPr>
            <xdr:cNvPr id="71681" name="Object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FFFF" mc:Ignorable="a14" a14:legacySpreadsheetColorIndex="9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324969</xdr:colOff>
      <xdr:row>1</xdr:row>
      <xdr:rowOff>44823</xdr:rowOff>
    </xdr:from>
    <xdr:to>
      <xdr:col>13</xdr:col>
      <xdr:colOff>507917</xdr:colOff>
      <xdr:row>25</xdr:row>
      <xdr:rowOff>44823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4969" y="672352"/>
          <a:ext cx="7343507" cy="53900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331695</xdr:colOff>
      <xdr:row>37</xdr:row>
      <xdr:rowOff>62751</xdr:rowOff>
    </xdr:from>
    <xdr:to>
      <xdr:col>13</xdr:col>
      <xdr:colOff>514643</xdr:colOff>
      <xdr:row>61</xdr:row>
      <xdr:rowOff>73958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695" y="11089339"/>
          <a:ext cx="7343507" cy="53900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685800</xdr:colOff>
      <xdr:row>5</xdr:row>
      <xdr:rowOff>276225</xdr:rowOff>
    </xdr:from>
    <xdr:to>
      <xdr:col>6</xdr:col>
      <xdr:colOff>0</xdr:colOff>
      <xdr:row>20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743075"/>
          <a:ext cx="4648200" cy="433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714375</xdr:colOff>
      <xdr:row>6</xdr:row>
      <xdr:rowOff>123825</xdr:rowOff>
    </xdr:from>
    <xdr:to>
      <xdr:col>6</xdr:col>
      <xdr:colOff>19050</xdr:colOff>
      <xdr:row>21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1885950"/>
          <a:ext cx="4638675" cy="432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173935</xdr:colOff>
      <xdr:row>4</xdr:row>
      <xdr:rowOff>38100</xdr:rowOff>
    </xdr:from>
    <xdr:to>
      <xdr:col>22</xdr:col>
      <xdr:colOff>0</xdr:colOff>
      <xdr:row>12</xdr:row>
      <xdr:rowOff>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>
          <a:spLocks noChangeArrowheads="1"/>
        </xdr:cNvSpPr>
      </xdr:nvSpPr>
      <xdr:spPr bwMode="auto">
        <a:xfrm>
          <a:off x="2542761" y="841513"/>
          <a:ext cx="1466022" cy="1088335"/>
        </a:xfrm>
        <a:prstGeom prst="ellipse">
          <a:avLst/>
        </a:prstGeom>
        <a:solidFill>
          <a:srgbClr val="FFFFFF"/>
        </a:solidFill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142875</xdr:colOff>
      <xdr:row>4</xdr:row>
      <xdr:rowOff>171450</xdr:rowOff>
    </xdr:from>
    <xdr:to>
      <xdr:col>21</xdr:col>
      <xdr:colOff>38100</xdr:colOff>
      <xdr:row>11</xdr:row>
      <xdr:rowOff>38100</xdr:rowOff>
    </xdr:to>
    <xdr:sp macro="" textlink="">
      <xdr:nvSpPr>
        <xdr:cNvPr id="3" name="Oval 3" descr="밝은 정방향 사선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>
          <a:spLocks noChangeArrowheads="1"/>
        </xdr:cNvSpPr>
      </xdr:nvSpPr>
      <xdr:spPr bwMode="auto">
        <a:xfrm>
          <a:off x="2676525" y="952500"/>
          <a:ext cx="1162050" cy="895350"/>
        </a:xfrm>
        <a:prstGeom prst="ellipse">
          <a:avLst/>
        </a:pr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7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4" name="Line 7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>
          <a:spLocks noChangeShapeType="1"/>
        </xdr:cNvSpPr>
      </xdr:nvSpPr>
      <xdr:spPr bwMode="auto">
        <a:xfrm>
          <a:off x="3819525" y="1238250"/>
          <a:ext cx="8858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38100</xdr:colOff>
      <xdr:row>8</xdr:row>
      <xdr:rowOff>133350</xdr:rowOff>
    </xdr:from>
    <xdr:to>
      <xdr:col>26</xdr:col>
      <xdr:colOff>19050</xdr:colOff>
      <xdr:row>8</xdr:row>
      <xdr:rowOff>133350</xdr:rowOff>
    </xdr:to>
    <xdr:sp macro="" textlink="">
      <xdr:nvSpPr>
        <xdr:cNvPr id="5" name="Line 8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>
          <a:spLocks noChangeShapeType="1"/>
        </xdr:cNvSpPr>
      </xdr:nvSpPr>
      <xdr:spPr bwMode="auto">
        <a:xfrm>
          <a:off x="3838575" y="1514475"/>
          <a:ext cx="8858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7</xdr:row>
      <xdr:rowOff>0</xdr:rowOff>
    </xdr:from>
    <xdr:to>
      <xdr:col>15</xdr:col>
      <xdr:colOff>9525</xdr:colOff>
      <xdr:row>7</xdr:row>
      <xdr:rowOff>0</xdr:rowOff>
    </xdr:to>
    <xdr:sp macro="" textlink="">
      <xdr:nvSpPr>
        <xdr:cNvPr id="6" name="Line 9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>
          <a:spLocks noChangeShapeType="1"/>
        </xdr:cNvSpPr>
      </xdr:nvSpPr>
      <xdr:spPr bwMode="auto">
        <a:xfrm>
          <a:off x="1809750" y="1238250"/>
          <a:ext cx="9144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8</xdr:row>
      <xdr:rowOff>133350</xdr:rowOff>
    </xdr:from>
    <xdr:to>
      <xdr:col>15</xdr:col>
      <xdr:colOff>0</xdr:colOff>
      <xdr:row>8</xdr:row>
      <xdr:rowOff>133350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SpPr>
          <a:spLocks noChangeShapeType="1"/>
        </xdr:cNvSpPr>
      </xdr:nvSpPr>
      <xdr:spPr bwMode="auto">
        <a:xfrm>
          <a:off x="1809750" y="1514475"/>
          <a:ext cx="904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8</xdr:row>
      <xdr:rowOff>161925</xdr:rowOff>
    </xdr:from>
    <xdr:to>
      <xdr:col>26</xdr:col>
      <xdr:colOff>9525</xdr:colOff>
      <xdr:row>8</xdr:row>
      <xdr:rowOff>161925</xdr:rowOff>
    </xdr:to>
    <xdr:sp macro="" textlink="">
      <xdr:nvSpPr>
        <xdr:cNvPr id="8" name="Line 1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>
          <a:spLocks noChangeShapeType="1"/>
        </xdr:cNvSpPr>
      </xdr:nvSpPr>
      <xdr:spPr bwMode="auto">
        <a:xfrm>
          <a:off x="3819525" y="1524000"/>
          <a:ext cx="8953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171450</xdr:colOff>
      <xdr:row>6</xdr:row>
      <xdr:rowOff>152400</xdr:rowOff>
    </xdr:from>
    <xdr:to>
      <xdr:col>25</xdr:col>
      <xdr:colOff>171450</xdr:colOff>
      <xdr:row>6</xdr:row>
      <xdr:rowOff>152400</xdr:rowOff>
    </xdr:to>
    <xdr:sp macro="" textlink="">
      <xdr:nvSpPr>
        <xdr:cNvPr id="9" name="Line 12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>
          <a:spLocks noChangeShapeType="1"/>
        </xdr:cNvSpPr>
      </xdr:nvSpPr>
      <xdr:spPr bwMode="auto">
        <a:xfrm>
          <a:off x="3790950" y="1238250"/>
          <a:ext cx="904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171450</xdr:colOff>
      <xdr:row>6</xdr:row>
      <xdr:rowOff>152400</xdr:rowOff>
    </xdr:from>
    <xdr:to>
      <xdr:col>15</xdr:col>
      <xdr:colOff>9525</xdr:colOff>
      <xdr:row>6</xdr:row>
      <xdr:rowOff>152400</xdr:rowOff>
    </xdr:to>
    <xdr:sp macro="" textlink="">
      <xdr:nvSpPr>
        <xdr:cNvPr id="10" name="Line 13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>
          <a:spLocks noChangeShapeType="1"/>
        </xdr:cNvSpPr>
      </xdr:nvSpPr>
      <xdr:spPr bwMode="auto">
        <a:xfrm>
          <a:off x="1800225" y="1238250"/>
          <a:ext cx="923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171450</xdr:colOff>
      <xdr:row>8</xdr:row>
      <xdr:rowOff>161925</xdr:rowOff>
    </xdr:from>
    <xdr:to>
      <xdr:col>14</xdr:col>
      <xdr:colOff>161925</xdr:colOff>
      <xdr:row>8</xdr:row>
      <xdr:rowOff>161925</xdr:rowOff>
    </xdr:to>
    <xdr:sp macro="" textlink="">
      <xdr:nvSpPr>
        <xdr:cNvPr id="11" name="Line 14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>
          <a:spLocks noChangeShapeType="1"/>
        </xdr:cNvSpPr>
      </xdr:nvSpPr>
      <xdr:spPr bwMode="auto">
        <a:xfrm>
          <a:off x="1800225" y="1524000"/>
          <a:ext cx="8953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6</xdr:row>
      <xdr:rowOff>76200</xdr:rowOff>
    </xdr:from>
    <xdr:to>
      <xdr:col>26</xdr:col>
      <xdr:colOff>0</xdr:colOff>
      <xdr:row>9</xdr:row>
      <xdr:rowOff>123825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>
          <a:spLocks noChangeShapeType="1"/>
        </xdr:cNvSpPr>
      </xdr:nvSpPr>
      <xdr:spPr bwMode="auto">
        <a:xfrm>
          <a:off x="4705350" y="1171575"/>
          <a:ext cx="0" cy="47625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10</xdr:col>
      <xdr:colOff>0</xdr:colOff>
      <xdr:row>6</xdr:row>
      <xdr:rowOff>66675</xdr:rowOff>
    </xdr:from>
    <xdr:to>
      <xdr:col>10</xdr:col>
      <xdr:colOff>0</xdr:colOff>
      <xdr:row>9</xdr:row>
      <xdr:rowOff>114300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>
          <a:spLocks noChangeShapeType="1"/>
        </xdr:cNvSpPr>
      </xdr:nvSpPr>
      <xdr:spPr bwMode="auto">
        <a:xfrm>
          <a:off x="1809750" y="1162050"/>
          <a:ext cx="0" cy="47625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14</xdr:col>
      <xdr:colOff>142875</xdr:colOff>
      <xdr:row>7</xdr:row>
      <xdr:rowOff>0</xdr:rowOff>
    </xdr:from>
    <xdr:to>
      <xdr:col>21</xdr:col>
      <xdr:colOff>38100</xdr:colOff>
      <xdr:row>8</xdr:row>
      <xdr:rowOff>133350</xdr:rowOff>
    </xdr:to>
    <xdr:sp macro="" textlink="">
      <xdr:nvSpPr>
        <xdr:cNvPr id="14" name="Freeform 17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>
          <a:spLocks/>
        </xdr:cNvSpPr>
      </xdr:nvSpPr>
      <xdr:spPr bwMode="auto">
        <a:xfrm>
          <a:off x="2676525" y="1238250"/>
          <a:ext cx="1162050" cy="276225"/>
        </a:xfrm>
        <a:custGeom>
          <a:avLst/>
          <a:gdLst>
            <a:gd name="T0" fmla="*/ 2147483647 w 122"/>
            <a:gd name="T1" fmla="*/ 0 h 33"/>
            <a:gd name="T2" fmla="*/ 2147483647 w 122"/>
            <a:gd name="T3" fmla="*/ 0 h 33"/>
            <a:gd name="T4" fmla="*/ 2147483647 w 122"/>
            <a:gd name="T5" fmla="*/ 2147483647 h 33"/>
            <a:gd name="T6" fmla="*/ 2147483647 w 122"/>
            <a:gd name="T7" fmla="*/ 2147483647 h 33"/>
            <a:gd name="T8" fmla="*/ 2147483647 w 122"/>
            <a:gd name="T9" fmla="*/ 2147483647 h 33"/>
            <a:gd name="T10" fmla="*/ 2147483647 w 122"/>
            <a:gd name="T11" fmla="*/ 2147483647 h 33"/>
            <a:gd name="T12" fmla="*/ 0 w 122"/>
            <a:gd name="T13" fmla="*/ 2147483647 h 33"/>
            <a:gd name="T14" fmla="*/ 0 w 122"/>
            <a:gd name="T15" fmla="*/ 2147483647 h 33"/>
            <a:gd name="T16" fmla="*/ 0 w 122"/>
            <a:gd name="T17" fmla="*/ 2147483647 h 33"/>
            <a:gd name="T18" fmla="*/ 2147483647 w 122"/>
            <a:gd name="T19" fmla="*/ 2147483647 h 33"/>
            <a:gd name="T20" fmla="*/ 2147483647 w 122"/>
            <a:gd name="T21" fmla="*/ 0 h 33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122"/>
            <a:gd name="T34" fmla="*/ 0 h 33"/>
            <a:gd name="T35" fmla="*/ 122 w 122"/>
            <a:gd name="T36" fmla="*/ 33 h 33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122" h="33">
              <a:moveTo>
                <a:pt x="4" y="0"/>
              </a:moveTo>
              <a:lnTo>
                <a:pt x="119" y="0"/>
              </a:lnTo>
              <a:lnTo>
                <a:pt x="121" y="10"/>
              </a:lnTo>
              <a:lnTo>
                <a:pt x="122" y="18"/>
              </a:lnTo>
              <a:lnTo>
                <a:pt x="122" y="26"/>
              </a:lnTo>
              <a:lnTo>
                <a:pt x="121" y="33"/>
              </a:lnTo>
              <a:lnTo>
                <a:pt x="0" y="33"/>
              </a:lnTo>
              <a:lnTo>
                <a:pt x="0" y="24"/>
              </a:lnTo>
              <a:lnTo>
                <a:pt x="0" y="16"/>
              </a:lnTo>
              <a:lnTo>
                <a:pt x="1" y="8"/>
              </a:lnTo>
              <a:lnTo>
                <a:pt x="4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2</xdr:row>
      <xdr:rowOff>0</xdr:rowOff>
    </xdr:from>
    <xdr:to>
      <xdr:col>18</xdr:col>
      <xdr:colOff>133350</xdr:colOff>
      <xdr:row>3</xdr:row>
      <xdr:rowOff>123825</xdr:rowOff>
    </xdr:to>
    <xdr:sp macro="" textlink="">
      <xdr:nvSpPr>
        <xdr:cNvPr id="15" name="Freeform 18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SpPr>
          <a:spLocks/>
        </xdr:cNvSpPr>
      </xdr:nvSpPr>
      <xdr:spPr bwMode="auto">
        <a:xfrm>
          <a:off x="3257550" y="523875"/>
          <a:ext cx="133350" cy="266700"/>
        </a:xfrm>
        <a:custGeom>
          <a:avLst/>
          <a:gdLst>
            <a:gd name="T0" fmla="*/ 0 w 14"/>
            <a:gd name="T1" fmla="*/ 2147483647 h 32"/>
            <a:gd name="T2" fmla="*/ 0 w 14"/>
            <a:gd name="T3" fmla="*/ 2147483647 h 32"/>
            <a:gd name="T4" fmla="*/ 2147483647 w 14"/>
            <a:gd name="T5" fmla="*/ 2147483647 h 32"/>
            <a:gd name="T6" fmla="*/ 2147483647 w 14"/>
            <a:gd name="T7" fmla="*/ 0 h 32"/>
            <a:gd name="T8" fmla="*/ 2147483647 w 14"/>
            <a:gd name="T9" fmla="*/ 2147483647 h 32"/>
            <a:gd name="T10" fmla="*/ 2147483647 w 14"/>
            <a:gd name="T11" fmla="*/ 2147483647 h 32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4"/>
            <a:gd name="T19" fmla="*/ 0 h 32"/>
            <a:gd name="T20" fmla="*/ 14 w 14"/>
            <a:gd name="T21" fmla="*/ 32 h 32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4" h="32">
              <a:moveTo>
                <a:pt x="0" y="32"/>
              </a:moveTo>
              <a:lnTo>
                <a:pt x="0" y="10"/>
              </a:lnTo>
              <a:lnTo>
                <a:pt x="14" y="10"/>
              </a:lnTo>
              <a:lnTo>
                <a:pt x="6" y="0"/>
              </a:lnTo>
              <a:lnTo>
                <a:pt x="6" y="19"/>
              </a:lnTo>
              <a:lnTo>
                <a:pt x="13" y="10"/>
              </a:lnTo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12</xdr:row>
      <xdr:rowOff>66675</xdr:rowOff>
    </xdr:from>
    <xdr:to>
      <xdr:col>18</xdr:col>
      <xdr:colOff>114300</xdr:colOff>
      <xdr:row>14</xdr:row>
      <xdr:rowOff>19050</xdr:rowOff>
    </xdr:to>
    <xdr:sp macro="" textlink="">
      <xdr:nvSpPr>
        <xdr:cNvPr id="16" name="Freeform 19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>
          <a:spLocks/>
        </xdr:cNvSpPr>
      </xdr:nvSpPr>
      <xdr:spPr bwMode="auto">
        <a:xfrm flipV="1">
          <a:off x="3257550" y="2019300"/>
          <a:ext cx="114300" cy="238125"/>
        </a:xfrm>
        <a:custGeom>
          <a:avLst/>
          <a:gdLst>
            <a:gd name="T0" fmla="*/ 0 w 14"/>
            <a:gd name="T1" fmla="*/ 2147483647 h 32"/>
            <a:gd name="T2" fmla="*/ 0 w 14"/>
            <a:gd name="T3" fmla="*/ 2147483647 h 32"/>
            <a:gd name="T4" fmla="*/ 2147483647 w 14"/>
            <a:gd name="T5" fmla="*/ 2147483647 h 32"/>
            <a:gd name="T6" fmla="*/ 2147483647 w 14"/>
            <a:gd name="T7" fmla="*/ 0 h 32"/>
            <a:gd name="T8" fmla="*/ 2147483647 w 14"/>
            <a:gd name="T9" fmla="*/ 2147483647 h 32"/>
            <a:gd name="T10" fmla="*/ 2147483647 w 14"/>
            <a:gd name="T11" fmla="*/ 2147483647 h 32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4"/>
            <a:gd name="T19" fmla="*/ 0 h 32"/>
            <a:gd name="T20" fmla="*/ 14 w 14"/>
            <a:gd name="T21" fmla="*/ 32 h 32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4" h="32">
              <a:moveTo>
                <a:pt x="0" y="32"/>
              </a:moveTo>
              <a:lnTo>
                <a:pt x="0" y="10"/>
              </a:lnTo>
              <a:lnTo>
                <a:pt x="14" y="10"/>
              </a:lnTo>
              <a:lnTo>
                <a:pt x="6" y="0"/>
              </a:lnTo>
              <a:lnTo>
                <a:pt x="6" y="19"/>
              </a:lnTo>
              <a:lnTo>
                <a:pt x="13" y="10"/>
              </a:lnTo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163168</xdr:colOff>
      <xdr:row>8</xdr:row>
      <xdr:rowOff>2071</xdr:rowOff>
    </xdr:from>
    <xdr:to>
      <xdr:col>27</xdr:col>
      <xdr:colOff>173935</xdr:colOff>
      <xdr:row>8</xdr:row>
      <xdr:rowOff>2071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>
          <a:spLocks noChangeShapeType="1"/>
        </xdr:cNvSpPr>
      </xdr:nvSpPr>
      <xdr:spPr bwMode="auto">
        <a:xfrm>
          <a:off x="1438690" y="1368701"/>
          <a:ext cx="3655115" cy="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7</xdr:col>
      <xdr:colOff>95250</xdr:colOff>
      <xdr:row>6</xdr:row>
      <xdr:rowOff>95250</xdr:rowOff>
    </xdr:from>
    <xdr:to>
      <xdr:col>8</xdr:col>
      <xdr:colOff>76200</xdr:colOff>
      <xdr:row>7</xdr:row>
      <xdr:rowOff>152400</xdr:rowOff>
    </xdr:to>
    <xdr:sp macro="" textlink="">
      <xdr:nvSpPr>
        <xdr:cNvPr id="18" name="Freeform 22">
          <a:extLst>
            <a:ext uri="{FF2B5EF4-FFF2-40B4-BE49-F238E27FC236}">
              <a16:creationId xmlns:a16="http://schemas.microsoft.com/office/drawing/2014/main" id="{00000000-0008-0000-1C00-000012000000}"/>
            </a:ext>
          </a:extLst>
        </xdr:cNvPr>
        <xdr:cNvSpPr>
          <a:spLocks/>
        </xdr:cNvSpPr>
      </xdr:nvSpPr>
      <xdr:spPr bwMode="auto">
        <a:xfrm>
          <a:off x="1362075" y="1190625"/>
          <a:ext cx="161925" cy="190500"/>
        </a:xfrm>
        <a:custGeom>
          <a:avLst/>
          <a:gdLst>
            <a:gd name="T0" fmla="*/ 2147483647 w 17"/>
            <a:gd name="T1" fmla="*/ 2147483647 h 25"/>
            <a:gd name="T2" fmla="*/ 2147483647 w 17"/>
            <a:gd name="T3" fmla="*/ 0 h 25"/>
            <a:gd name="T4" fmla="*/ 0 w 17"/>
            <a:gd name="T5" fmla="*/ 2147483647 h 25"/>
            <a:gd name="T6" fmla="*/ 2147483647 w 17"/>
            <a:gd name="T7" fmla="*/ 2147483647 h 25"/>
            <a:gd name="T8" fmla="*/ 2147483647 w 17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7"/>
            <a:gd name="T16" fmla="*/ 0 h 25"/>
            <a:gd name="T17" fmla="*/ 17 w 17"/>
            <a:gd name="T18" fmla="*/ 25 h 2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7" h="25">
              <a:moveTo>
                <a:pt x="9" y="25"/>
              </a:moveTo>
              <a:lnTo>
                <a:pt x="9" y="0"/>
              </a:lnTo>
              <a:lnTo>
                <a:pt x="0" y="9"/>
              </a:lnTo>
              <a:lnTo>
                <a:pt x="17" y="9"/>
              </a:lnTo>
              <a:lnTo>
                <a:pt x="9" y="1"/>
              </a:lnTo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76200</xdr:colOff>
      <xdr:row>6</xdr:row>
      <xdr:rowOff>95250</xdr:rowOff>
    </xdr:from>
    <xdr:to>
      <xdr:col>28</xdr:col>
      <xdr:colOff>57150</xdr:colOff>
      <xdr:row>7</xdr:row>
      <xdr:rowOff>152400</xdr:rowOff>
    </xdr:to>
    <xdr:sp macro="" textlink="">
      <xdr:nvSpPr>
        <xdr:cNvPr id="19" name="Freeform 23"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>
          <a:spLocks/>
        </xdr:cNvSpPr>
      </xdr:nvSpPr>
      <xdr:spPr bwMode="auto">
        <a:xfrm>
          <a:off x="4962525" y="1190625"/>
          <a:ext cx="161925" cy="190500"/>
        </a:xfrm>
        <a:custGeom>
          <a:avLst/>
          <a:gdLst>
            <a:gd name="T0" fmla="*/ 2147483647 w 17"/>
            <a:gd name="T1" fmla="*/ 2147483647 h 25"/>
            <a:gd name="T2" fmla="*/ 2147483647 w 17"/>
            <a:gd name="T3" fmla="*/ 0 h 25"/>
            <a:gd name="T4" fmla="*/ 0 w 17"/>
            <a:gd name="T5" fmla="*/ 2147483647 h 25"/>
            <a:gd name="T6" fmla="*/ 2147483647 w 17"/>
            <a:gd name="T7" fmla="*/ 2147483647 h 25"/>
            <a:gd name="T8" fmla="*/ 2147483647 w 17"/>
            <a:gd name="T9" fmla="*/ 2147483647 h 2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7"/>
            <a:gd name="T16" fmla="*/ 0 h 25"/>
            <a:gd name="T17" fmla="*/ 17 w 17"/>
            <a:gd name="T18" fmla="*/ 25 h 2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7" h="25">
              <a:moveTo>
                <a:pt x="9" y="25"/>
              </a:moveTo>
              <a:lnTo>
                <a:pt x="9" y="0"/>
              </a:lnTo>
              <a:lnTo>
                <a:pt x="0" y="9"/>
              </a:lnTo>
              <a:lnTo>
                <a:pt x="17" y="9"/>
              </a:lnTo>
              <a:lnTo>
                <a:pt x="9" y="1"/>
              </a:lnTo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95250</xdr:colOff>
      <xdr:row>9</xdr:row>
      <xdr:rowOff>161925</xdr:rowOff>
    </xdr:from>
    <xdr:to>
      <xdr:col>25</xdr:col>
      <xdr:colOff>9525</xdr:colOff>
      <xdr:row>12</xdr:row>
      <xdr:rowOff>19050</xdr:rowOff>
    </xdr:to>
    <xdr:sp macro="" textlink="">
      <xdr:nvSpPr>
        <xdr:cNvPr id="20" name="Freeform 26"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>
          <a:spLocks/>
        </xdr:cNvSpPr>
      </xdr:nvSpPr>
      <xdr:spPr bwMode="auto">
        <a:xfrm>
          <a:off x="3533775" y="1666875"/>
          <a:ext cx="1000125" cy="304800"/>
        </a:xfrm>
        <a:custGeom>
          <a:avLst/>
          <a:gdLst>
            <a:gd name="T0" fmla="*/ 0 w 124"/>
            <a:gd name="T1" fmla="*/ 0 h 40"/>
            <a:gd name="T2" fmla="*/ 2147483647 w 124"/>
            <a:gd name="T3" fmla="*/ 2147483647 h 40"/>
            <a:gd name="T4" fmla="*/ 2147483647 w 124"/>
            <a:gd name="T5" fmla="*/ 2147483647 h 40"/>
            <a:gd name="T6" fmla="*/ 2147483647 w 124"/>
            <a:gd name="T7" fmla="*/ 2147483647 h 40"/>
            <a:gd name="T8" fmla="*/ 0 60000 65536"/>
            <a:gd name="T9" fmla="*/ 0 60000 65536"/>
            <a:gd name="T10" fmla="*/ 0 60000 65536"/>
            <a:gd name="T11" fmla="*/ 0 60000 65536"/>
            <a:gd name="T12" fmla="*/ 0 w 124"/>
            <a:gd name="T13" fmla="*/ 0 h 40"/>
            <a:gd name="T14" fmla="*/ 124 w 124"/>
            <a:gd name="T15" fmla="*/ 40 h 4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4" h="40">
              <a:moveTo>
                <a:pt x="0" y="0"/>
              </a:moveTo>
              <a:cubicBezTo>
                <a:pt x="1" y="2"/>
                <a:pt x="4" y="6"/>
                <a:pt x="4" y="6"/>
              </a:cubicBezTo>
              <a:lnTo>
                <a:pt x="49" y="40"/>
              </a:lnTo>
              <a:lnTo>
                <a:pt x="124" y="40"/>
              </a:lnTo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13</xdr:row>
      <xdr:rowOff>76200</xdr:rowOff>
    </xdr:from>
    <xdr:to>
      <xdr:col>14</xdr:col>
      <xdr:colOff>0</xdr:colOff>
      <xdr:row>16</xdr:row>
      <xdr:rowOff>0</xdr:rowOff>
    </xdr:to>
    <xdr:sp macro="" textlink="">
      <xdr:nvSpPr>
        <xdr:cNvPr id="21" name="Line 27"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>
          <a:spLocks noChangeShapeType="1"/>
        </xdr:cNvSpPr>
      </xdr:nvSpPr>
      <xdr:spPr bwMode="auto">
        <a:xfrm>
          <a:off x="2533650" y="2171700"/>
          <a:ext cx="0" cy="3524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13</xdr:row>
      <xdr:rowOff>66675</xdr:rowOff>
    </xdr:from>
    <xdr:to>
      <xdr:col>22</xdr:col>
      <xdr:colOff>0</xdr:colOff>
      <xdr:row>16</xdr:row>
      <xdr:rowOff>0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>
          <a:spLocks noChangeShapeType="1"/>
        </xdr:cNvSpPr>
      </xdr:nvSpPr>
      <xdr:spPr bwMode="auto">
        <a:xfrm>
          <a:off x="3981450" y="2162175"/>
          <a:ext cx="0" cy="3619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16</xdr:row>
      <xdr:rowOff>0</xdr:rowOff>
    </xdr:from>
    <xdr:to>
      <xdr:col>22</xdr:col>
      <xdr:colOff>0</xdr:colOff>
      <xdr:row>16</xdr:row>
      <xdr:rowOff>0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>
          <a:spLocks noChangeShapeType="1"/>
        </xdr:cNvSpPr>
      </xdr:nvSpPr>
      <xdr:spPr bwMode="auto">
        <a:xfrm>
          <a:off x="2533650" y="2524125"/>
          <a:ext cx="14478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15</xdr:row>
      <xdr:rowOff>0</xdr:rowOff>
    </xdr:from>
    <xdr:to>
      <xdr:col>22</xdr:col>
      <xdr:colOff>0</xdr:colOff>
      <xdr:row>15</xdr:row>
      <xdr:rowOff>0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>
          <a:spLocks noChangeShapeType="1"/>
        </xdr:cNvSpPr>
      </xdr:nvSpPr>
      <xdr:spPr bwMode="auto">
        <a:xfrm>
          <a:off x="2533650" y="2381250"/>
          <a:ext cx="14478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13</xdr:row>
      <xdr:rowOff>85725</xdr:rowOff>
    </xdr:from>
    <xdr:to>
      <xdr:col>14</xdr:col>
      <xdr:colOff>152400</xdr:colOff>
      <xdr:row>15</xdr:row>
      <xdr:rowOff>38100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>
          <a:spLocks noChangeShapeType="1"/>
        </xdr:cNvSpPr>
      </xdr:nvSpPr>
      <xdr:spPr bwMode="auto">
        <a:xfrm>
          <a:off x="2686050" y="2181225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13</xdr:row>
      <xdr:rowOff>76200</xdr:rowOff>
    </xdr:from>
    <xdr:to>
      <xdr:col>21</xdr:col>
      <xdr:colOff>19050</xdr:colOff>
      <xdr:row>15</xdr:row>
      <xdr:rowOff>28575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>
          <a:spLocks noChangeShapeType="1"/>
        </xdr:cNvSpPr>
      </xdr:nvSpPr>
      <xdr:spPr bwMode="auto">
        <a:xfrm>
          <a:off x="3819525" y="2171700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18</xdr:row>
      <xdr:rowOff>0</xdr:rowOff>
    </xdr:from>
    <xdr:to>
      <xdr:col>14</xdr:col>
      <xdr:colOff>0</xdr:colOff>
      <xdr:row>26</xdr:row>
      <xdr:rowOff>0</xdr:rowOff>
    </xdr:to>
    <xdr:sp macro="" textlink="">
      <xdr:nvSpPr>
        <xdr:cNvPr id="27" name="Rectangle 34">
          <a:extLst>
            <a:ext uri="{FF2B5EF4-FFF2-40B4-BE49-F238E27FC236}">
              <a16:creationId xmlns:a16="http://schemas.microsoft.com/office/drawing/2014/main" id="{00000000-0008-0000-1C00-00001B000000}"/>
            </a:ext>
          </a:extLst>
        </xdr:cNvPr>
        <xdr:cNvSpPr>
          <a:spLocks noChangeArrowheads="1"/>
        </xdr:cNvSpPr>
      </xdr:nvSpPr>
      <xdr:spPr bwMode="auto">
        <a:xfrm>
          <a:off x="1085850" y="2809875"/>
          <a:ext cx="1447800" cy="1143000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171450</xdr:colOff>
      <xdr:row>18</xdr:row>
      <xdr:rowOff>0</xdr:rowOff>
    </xdr:from>
    <xdr:to>
      <xdr:col>13</xdr:col>
      <xdr:colOff>0</xdr:colOff>
      <xdr:row>25</xdr:row>
      <xdr:rowOff>0</xdr:rowOff>
    </xdr:to>
    <xdr:sp macro="" textlink="">
      <xdr:nvSpPr>
        <xdr:cNvPr id="28" name="Rectangle 35">
          <a:extLst>
            <a:ext uri="{FF2B5EF4-FFF2-40B4-BE49-F238E27FC236}">
              <a16:creationId xmlns:a16="http://schemas.microsoft.com/office/drawing/2014/main" id="{00000000-0008-0000-1C00-00001C000000}"/>
            </a:ext>
          </a:extLst>
        </xdr:cNvPr>
        <xdr:cNvSpPr>
          <a:spLocks noChangeArrowheads="1"/>
        </xdr:cNvSpPr>
      </xdr:nvSpPr>
      <xdr:spPr bwMode="auto">
        <a:xfrm>
          <a:off x="1257300" y="2809875"/>
          <a:ext cx="1095375" cy="1000125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104775</xdr:colOff>
      <xdr:row>25</xdr:row>
      <xdr:rowOff>0</xdr:rowOff>
    </xdr:from>
    <xdr:to>
      <xdr:col>14</xdr:col>
      <xdr:colOff>85725</xdr:colOff>
      <xdr:row>26</xdr:row>
      <xdr:rowOff>0</xdr:rowOff>
    </xdr:to>
    <xdr:sp macro="" textlink="">
      <xdr:nvSpPr>
        <xdr:cNvPr id="29" name="Rectangle 36">
          <a:extLst>
            <a:ext uri="{FF2B5EF4-FFF2-40B4-BE49-F238E27FC236}">
              <a16:creationId xmlns:a16="http://schemas.microsoft.com/office/drawing/2014/main" id="{00000000-0008-0000-1C00-00001D000000}"/>
            </a:ext>
          </a:extLst>
        </xdr:cNvPr>
        <xdr:cNvSpPr>
          <a:spLocks noChangeArrowheads="1"/>
        </xdr:cNvSpPr>
      </xdr:nvSpPr>
      <xdr:spPr bwMode="auto">
        <a:xfrm>
          <a:off x="1009650" y="3810000"/>
          <a:ext cx="1609725" cy="142875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18</xdr:row>
      <xdr:rowOff>0</xdr:rowOff>
    </xdr:from>
    <xdr:to>
      <xdr:col>30</xdr:col>
      <xdr:colOff>0</xdr:colOff>
      <xdr:row>25</xdr:row>
      <xdr:rowOff>161925</xdr:rowOff>
    </xdr:to>
    <xdr:sp macro="" textlink="">
      <xdr:nvSpPr>
        <xdr:cNvPr id="30" name="Rectangle 37"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>
          <a:spLocks noChangeArrowheads="1"/>
        </xdr:cNvSpPr>
      </xdr:nvSpPr>
      <xdr:spPr bwMode="auto">
        <a:xfrm>
          <a:off x="3981450" y="2809875"/>
          <a:ext cx="1447800" cy="1143000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171450</xdr:colOff>
      <xdr:row>18</xdr:row>
      <xdr:rowOff>0</xdr:rowOff>
    </xdr:from>
    <xdr:to>
      <xdr:col>29</xdr:col>
      <xdr:colOff>0</xdr:colOff>
      <xdr:row>25</xdr:row>
      <xdr:rowOff>0</xdr:rowOff>
    </xdr:to>
    <xdr:sp macro="" textlink="">
      <xdr:nvSpPr>
        <xdr:cNvPr id="31" name="Rectangle 38">
          <a:extLst>
            <a:ext uri="{FF2B5EF4-FFF2-40B4-BE49-F238E27FC236}">
              <a16:creationId xmlns:a16="http://schemas.microsoft.com/office/drawing/2014/main" id="{00000000-0008-0000-1C00-00001F000000}"/>
            </a:ext>
          </a:extLst>
        </xdr:cNvPr>
        <xdr:cNvSpPr>
          <a:spLocks noChangeArrowheads="1"/>
        </xdr:cNvSpPr>
      </xdr:nvSpPr>
      <xdr:spPr bwMode="auto">
        <a:xfrm>
          <a:off x="4152900" y="2809875"/>
          <a:ext cx="1095375" cy="1000125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104775</xdr:colOff>
      <xdr:row>24</xdr:row>
      <xdr:rowOff>171450</xdr:rowOff>
    </xdr:from>
    <xdr:to>
      <xdr:col>30</xdr:col>
      <xdr:colOff>85725</xdr:colOff>
      <xdr:row>25</xdr:row>
      <xdr:rowOff>171450</xdr:rowOff>
    </xdr:to>
    <xdr:sp macro="" textlink="">
      <xdr:nvSpPr>
        <xdr:cNvPr id="32" name="Rectangle 39"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>
          <a:spLocks noChangeArrowheads="1"/>
        </xdr:cNvSpPr>
      </xdr:nvSpPr>
      <xdr:spPr bwMode="auto">
        <a:xfrm>
          <a:off x="3905250" y="3810000"/>
          <a:ext cx="1609725" cy="142875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0</xdr:colOff>
      <xdr:row>23</xdr:row>
      <xdr:rowOff>0</xdr:rowOff>
    </xdr:from>
    <xdr:to>
      <xdr:col>16</xdr:col>
      <xdr:colOff>9525</xdr:colOff>
      <xdr:row>23</xdr:row>
      <xdr:rowOff>0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1C00-000021000000}"/>
            </a:ext>
          </a:extLst>
        </xdr:cNvPr>
        <xdr:cNvSpPr>
          <a:spLocks noChangeShapeType="1"/>
        </xdr:cNvSpPr>
      </xdr:nvSpPr>
      <xdr:spPr bwMode="auto">
        <a:xfrm>
          <a:off x="2352675" y="352425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22</xdr:row>
      <xdr:rowOff>152400</xdr:rowOff>
    </xdr:from>
    <xdr:to>
      <xdr:col>16</xdr:col>
      <xdr:colOff>9525</xdr:colOff>
      <xdr:row>22</xdr:row>
      <xdr:rowOff>152400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>
          <a:spLocks noChangeShapeType="1"/>
        </xdr:cNvSpPr>
      </xdr:nvSpPr>
      <xdr:spPr bwMode="auto">
        <a:xfrm>
          <a:off x="2352675" y="352425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25</xdr:row>
      <xdr:rowOff>0</xdr:rowOff>
    </xdr:from>
    <xdr:to>
      <xdr:col>16</xdr:col>
      <xdr:colOff>9525</xdr:colOff>
      <xdr:row>25</xdr:row>
      <xdr:rowOff>0</xdr:rowOff>
    </xdr:to>
    <xdr:sp macro="" textlink="">
      <xdr:nvSpPr>
        <xdr:cNvPr id="35" name="Line 42"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>
          <a:spLocks noChangeShapeType="1"/>
        </xdr:cNvSpPr>
      </xdr:nvSpPr>
      <xdr:spPr bwMode="auto">
        <a:xfrm>
          <a:off x="2352675" y="381000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0</xdr:colOff>
      <xdr:row>24</xdr:row>
      <xdr:rowOff>152400</xdr:rowOff>
    </xdr:from>
    <xdr:to>
      <xdr:col>16</xdr:col>
      <xdr:colOff>9525</xdr:colOff>
      <xdr:row>24</xdr:row>
      <xdr:rowOff>152400</xdr:rowOff>
    </xdr:to>
    <xdr:sp macro="" textlink="">
      <xdr:nvSpPr>
        <xdr:cNvPr id="36" name="Line 43"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>
          <a:spLocks noChangeShapeType="1"/>
        </xdr:cNvSpPr>
      </xdr:nvSpPr>
      <xdr:spPr bwMode="auto">
        <a:xfrm>
          <a:off x="2352675" y="381000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0</xdr:colOff>
      <xdr:row>22</xdr:row>
      <xdr:rowOff>95250</xdr:rowOff>
    </xdr:from>
    <xdr:to>
      <xdr:col>16</xdr:col>
      <xdr:colOff>0</xdr:colOff>
      <xdr:row>25</xdr:row>
      <xdr:rowOff>47625</xdr:rowOff>
    </xdr:to>
    <xdr:sp macro="" textlink="">
      <xdr:nvSpPr>
        <xdr:cNvPr id="37" name="Line 44"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>
          <a:spLocks noChangeShapeType="1"/>
        </xdr:cNvSpPr>
      </xdr:nvSpPr>
      <xdr:spPr bwMode="auto">
        <a:xfrm>
          <a:off x="2895600" y="3476625"/>
          <a:ext cx="0" cy="38100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3</xdr:col>
      <xdr:colOff>161925</xdr:colOff>
      <xdr:row>21</xdr:row>
      <xdr:rowOff>0</xdr:rowOff>
    </xdr:from>
    <xdr:to>
      <xdr:col>6</xdr:col>
      <xdr:colOff>171450</xdr:colOff>
      <xdr:row>21</xdr:row>
      <xdr:rowOff>0</xdr:rowOff>
    </xdr:to>
    <xdr:sp macro="" textlink="">
      <xdr:nvSpPr>
        <xdr:cNvPr id="38" name="Line 45"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>
          <a:spLocks noChangeShapeType="1"/>
        </xdr:cNvSpPr>
      </xdr:nvSpPr>
      <xdr:spPr bwMode="auto">
        <a:xfrm>
          <a:off x="704850" y="323850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161925</xdr:colOff>
      <xdr:row>20</xdr:row>
      <xdr:rowOff>152400</xdr:rowOff>
    </xdr:from>
    <xdr:to>
      <xdr:col>6</xdr:col>
      <xdr:colOff>171450</xdr:colOff>
      <xdr:row>20</xdr:row>
      <xdr:rowOff>152400</xdr:rowOff>
    </xdr:to>
    <xdr:sp macro="" textlink="">
      <xdr:nvSpPr>
        <xdr:cNvPr id="39" name="Line 46"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ShapeType="1"/>
        </xdr:cNvSpPr>
      </xdr:nvSpPr>
      <xdr:spPr bwMode="auto">
        <a:xfrm>
          <a:off x="704850" y="323850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161925</xdr:colOff>
      <xdr:row>22</xdr:row>
      <xdr:rowOff>133350</xdr:rowOff>
    </xdr:from>
    <xdr:to>
      <xdr:col>6</xdr:col>
      <xdr:colOff>171450</xdr:colOff>
      <xdr:row>22</xdr:row>
      <xdr:rowOff>133350</xdr:rowOff>
    </xdr:to>
    <xdr:sp macro="" textlink="">
      <xdr:nvSpPr>
        <xdr:cNvPr id="40" name="Line 47"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>
          <a:spLocks noChangeShapeType="1"/>
        </xdr:cNvSpPr>
      </xdr:nvSpPr>
      <xdr:spPr bwMode="auto">
        <a:xfrm>
          <a:off x="704850" y="3514725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161925</xdr:colOff>
      <xdr:row>22</xdr:row>
      <xdr:rowOff>161925</xdr:rowOff>
    </xdr:from>
    <xdr:to>
      <xdr:col>6</xdr:col>
      <xdr:colOff>171450</xdr:colOff>
      <xdr:row>22</xdr:row>
      <xdr:rowOff>161925</xdr:rowOff>
    </xdr:to>
    <xdr:sp macro="" textlink="">
      <xdr:nvSpPr>
        <xdr:cNvPr id="41" name="Line 48"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>
          <a:spLocks noChangeShapeType="1"/>
        </xdr:cNvSpPr>
      </xdr:nvSpPr>
      <xdr:spPr bwMode="auto">
        <a:xfrm>
          <a:off x="704850" y="3524250"/>
          <a:ext cx="5524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152400</xdr:colOff>
      <xdr:row>20</xdr:row>
      <xdr:rowOff>104775</xdr:rowOff>
    </xdr:from>
    <xdr:to>
      <xdr:col>3</xdr:col>
      <xdr:colOff>152400</xdr:colOff>
      <xdr:row>23</xdr:row>
      <xdr:rowOff>57150</xdr:rowOff>
    </xdr:to>
    <xdr:sp macro="" textlink="">
      <xdr:nvSpPr>
        <xdr:cNvPr id="42" name="Line 49"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ShapeType="1"/>
        </xdr:cNvSpPr>
      </xdr:nvSpPr>
      <xdr:spPr bwMode="auto">
        <a:xfrm>
          <a:off x="695325" y="3200400"/>
          <a:ext cx="0" cy="38100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24</xdr:col>
      <xdr:colOff>152400</xdr:colOff>
      <xdr:row>22</xdr:row>
      <xdr:rowOff>133350</xdr:rowOff>
    </xdr:from>
    <xdr:to>
      <xdr:col>27</xdr:col>
      <xdr:colOff>19050</xdr:colOff>
      <xdr:row>25</xdr:row>
      <xdr:rowOff>0</xdr:rowOff>
    </xdr:to>
    <xdr:sp macro="" textlink="">
      <xdr:nvSpPr>
        <xdr:cNvPr id="43" name="Oval 51"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SpPr>
          <a:spLocks noChangeArrowheads="1"/>
        </xdr:cNvSpPr>
      </xdr:nvSpPr>
      <xdr:spPr bwMode="auto">
        <a:xfrm>
          <a:off x="4495800" y="3514725"/>
          <a:ext cx="409575" cy="295275"/>
        </a:xfrm>
        <a:prstGeom prst="ellipse">
          <a:avLst/>
        </a:prstGeom>
        <a:solidFill>
          <a:srgbClr val="FFFFFF"/>
        </a:solidFill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21</xdr:row>
      <xdr:rowOff>152400</xdr:rowOff>
    </xdr:from>
    <xdr:to>
      <xdr:col>13</xdr:col>
      <xdr:colOff>0</xdr:colOff>
      <xdr:row>25</xdr:row>
      <xdr:rowOff>0</xdr:rowOff>
    </xdr:to>
    <xdr:sp macro="" textlink="">
      <xdr:nvSpPr>
        <xdr:cNvPr id="44" name="Freeform 53" descr="밝은 정방향 사선"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/>
        </xdr:cNvSpPr>
      </xdr:nvSpPr>
      <xdr:spPr bwMode="auto">
        <a:xfrm>
          <a:off x="1257300" y="3381375"/>
          <a:ext cx="1095375" cy="428625"/>
        </a:xfrm>
        <a:custGeom>
          <a:avLst/>
          <a:gdLst>
            <a:gd name="T0" fmla="*/ 0 w 115"/>
            <a:gd name="T1" fmla="*/ 0 h 60"/>
            <a:gd name="T2" fmla="*/ 2147483647 w 115"/>
            <a:gd name="T3" fmla="*/ 2147483647 h 60"/>
            <a:gd name="T4" fmla="*/ 2147483647 w 115"/>
            <a:gd name="T5" fmla="*/ 2147483647 h 60"/>
            <a:gd name="T6" fmla="*/ 0 w 115"/>
            <a:gd name="T7" fmla="*/ 2147483647 h 60"/>
            <a:gd name="T8" fmla="*/ 0 w 115"/>
            <a:gd name="T9" fmla="*/ 0 h 6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15"/>
            <a:gd name="T16" fmla="*/ 0 h 60"/>
            <a:gd name="T17" fmla="*/ 115 w 115"/>
            <a:gd name="T18" fmla="*/ 60 h 6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15" h="60">
              <a:moveTo>
                <a:pt x="0" y="0"/>
              </a:moveTo>
              <a:lnTo>
                <a:pt x="115" y="41"/>
              </a:lnTo>
              <a:lnTo>
                <a:pt x="115" y="60"/>
              </a:lnTo>
              <a:lnTo>
                <a:pt x="0" y="60"/>
              </a:lnTo>
              <a:lnTo>
                <a:pt x="0" y="0"/>
              </a:lnTo>
              <a:close/>
            </a:path>
          </a:pathLst>
        </a:cu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133350</xdr:rowOff>
    </xdr:from>
    <xdr:to>
      <xdr:col>13</xdr:col>
      <xdr:colOff>0</xdr:colOff>
      <xdr:row>24</xdr:row>
      <xdr:rowOff>152400</xdr:rowOff>
    </xdr:to>
    <xdr:sp macro="" textlink="">
      <xdr:nvSpPr>
        <xdr:cNvPr id="45" name="Line 50">
          <a:extLst>
            <a:ext uri="{FF2B5EF4-FFF2-40B4-BE49-F238E27FC236}">
              <a16:creationId xmlns:a16="http://schemas.microsoft.com/office/drawing/2014/main" id="{00000000-0008-0000-1C00-00002D000000}"/>
            </a:ext>
          </a:extLst>
        </xdr:cNvPr>
        <xdr:cNvSpPr>
          <a:spLocks noChangeShapeType="1"/>
        </xdr:cNvSpPr>
      </xdr:nvSpPr>
      <xdr:spPr bwMode="auto">
        <a:xfrm flipH="1" flipV="1">
          <a:off x="1257300" y="3514725"/>
          <a:ext cx="1095375" cy="295275"/>
        </a:xfrm>
        <a:prstGeom prst="line">
          <a:avLst/>
        </a:prstGeom>
        <a:noFill/>
        <a:ln w="6350">
          <a:solidFill>
            <a:srgbClr val="000000"/>
          </a:solidFill>
          <a:prstDash val="dash"/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21</xdr:row>
      <xdr:rowOff>123825</xdr:rowOff>
    </xdr:from>
    <xdr:to>
      <xdr:col>13</xdr:col>
      <xdr:colOff>0</xdr:colOff>
      <xdr:row>23</xdr:row>
      <xdr:rowOff>152400</xdr:rowOff>
    </xdr:to>
    <xdr:sp macro="" textlink="">
      <xdr:nvSpPr>
        <xdr:cNvPr id="46" name="Line 54">
          <a:extLst>
            <a:ext uri="{FF2B5EF4-FFF2-40B4-BE49-F238E27FC236}">
              <a16:creationId xmlns:a16="http://schemas.microsoft.com/office/drawing/2014/main" id="{00000000-0008-0000-1C00-00002E000000}"/>
            </a:ext>
          </a:extLst>
        </xdr:cNvPr>
        <xdr:cNvSpPr>
          <a:spLocks noChangeShapeType="1"/>
        </xdr:cNvSpPr>
      </xdr:nvSpPr>
      <xdr:spPr bwMode="auto">
        <a:xfrm flipH="1" flipV="1">
          <a:off x="1257300" y="3362325"/>
          <a:ext cx="1095375" cy="304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171450</xdr:colOff>
      <xdr:row>23</xdr:row>
      <xdr:rowOff>57150</xdr:rowOff>
    </xdr:from>
    <xdr:to>
      <xdr:col>25</xdr:col>
      <xdr:colOff>76200</xdr:colOff>
      <xdr:row>24</xdr:row>
      <xdr:rowOff>171450</xdr:rowOff>
    </xdr:to>
    <xdr:sp macro="" textlink="">
      <xdr:nvSpPr>
        <xdr:cNvPr id="47" name="Freeform 57" descr="밝은 정방향 사선">
          <a:extLst>
            <a:ext uri="{FF2B5EF4-FFF2-40B4-BE49-F238E27FC236}">
              <a16:creationId xmlns:a16="http://schemas.microsoft.com/office/drawing/2014/main" id="{00000000-0008-0000-1C00-00002F000000}"/>
            </a:ext>
          </a:extLst>
        </xdr:cNvPr>
        <xdr:cNvSpPr>
          <a:spLocks/>
        </xdr:cNvSpPr>
      </xdr:nvSpPr>
      <xdr:spPr bwMode="auto">
        <a:xfrm>
          <a:off x="4152900" y="3581400"/>
          <a:ext cx="447675" cy="228600"/>
        </a:xfrm>
        <a:custGeom>
          <a:avLst/>
          <a:gdLst>
            <a:gd name="T0" fmla="*/ 2147483647 w 47"/>
            <a:gd name="T1" fmla="*/ 2147483647 h 31"/>
            <a:gd name="T2" fmla="*/ 0 w 47"/>
            <a:gd name="T3" fmla="*/ 0 h 31"/>
            <a:gd name="T4" fmla="*/ 0 w 47"/>
            <a:gd name="T5" fmla="*/ 2147483647 h 31"/>
            <a:gd name="T6" fmla="*/ 2147483647 w 47"/>
            <a:gd name="T7" fmla="*/ 2147483647 h 31"/>
            <a:gd name="T8" fmla="*/ 2147483647 w 47"/>
            <a:gd name="T9" fmla="*/ 2147483647 h 31"/>
            <a:gd name="T10" fmla="*/ 2147483647 w 47"/>
            <a:gd name="T11" fmla="*/ 2147483647 h 31"/>
            <a:gd name="T12" fmla="*/ 2147483647 w 47"/>
            <a:gd name="T13" fmla="*/ 2147483647 h 3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"/>
            <a:gd name="T22" fmla="*/ 0 h 31"/>
            <a:gd name="T23" fmla="*/ 47 w 47"/>
            <a:gd name="T24" fmla="*/ 31 h 3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" h="31">
              <a:moveTo>
                <a:pt x="35" y="10"/>
              </a:moveTo>
              <a:lnTo>
                <a:pt x="0" y="0"/>
              </a:lnTo>
              <a:lnTo>
                <a:pt x="0" y="31"/>
              </a:lnTo>
              <a:lnTo>
                <a:pt x="47" y="31"/>
              </a:lnTo>
              <a:lnTo>
                <a:pt x="41" y="25"/>
              </a:lnTo>
              <a:lnTo>
                <a:pt x="36" y="17"/>
              </a:lnTo>
              <a:lnTo>
                <a:pt x="35" y="10"/>
              </a:lnTo>
              <a:close/>
            </a:path>
          </a:pathLst>
        </a:cu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76200</xdr:colOff>
      <xdr:row>23</xdr:row>
      <xdr:rowOff>47625</xdr:rowOff>
    </xdr:from>
    <xdr:to>
      <xdr:col>29</xdr:col>
      <xdr:colOff>0</xdr:colOff>
      <xdr:row>24</xdr:row>
      <xdr:rowOff>171450</xdr:rowOff>
    </xdr:to>
    <xdr:sp macro="" textlink="">
      <xdr:nvSpPr>
        <xdr:cNvPr id="48" name="Freeform 58" descr="밝은 정방향 사선">
          <a:extLst>
            <a:ext uri="{FF2B5EF4-FFF2-40B4-BE49-F238E27FC236}">
              <a16:creationId xmlns:a16="http://schemas.microsoft.com/office/drawing/2014/main" id="{00000000-0008-0000-1C00-000030000000}"/>
            </a:ext>
          </a:extLst>
        </xdr:cNvPr>
        <xdr:cNvSpPr>
          <a:spLocks/>
        </xdr:cNvSpPr>
      </xdr:nvSpPr>
      <xdr:spPr bwMode="auto">
        <a:xfrm>
          <a:off x="4781550" y="3571875"/>
          <a:ext cx="466725" cy="238125"/>
        </a:xfrm>
        <a:custGeom>
          <a:avLst/>
          <a:gdLst>
            <a:gd name="T0" fmla="*/ 2147483647 w 49"/>
            <a:gd name="T1" fmla="*/ 2147483647 h 32"/>
            <a:gd name="T2" fmla="*/ 2147483647 w 49"/>
            <a:gd name="T3" fmla="*/ 0 h 32"/>
            <a:gd name="T4" fmla="*/ 2147483647 w 49"/>
            <a:gd name="T5" fmla="*/ 2147483647 h 32"/>
            <a:gd name="T6" fmla="*/ 0 w 49"/>
            <a:gd name="T7" fmla="*/ 2147483647 h 32"/>
            <a:gd name="T8" fmla="*/ 2147483647 w 49"/>
            <a:gd name="T9" fmla="*/ 2147483647 h 32"/>
            <a:gd name="T10" fmla="*/ 2147483647 w 49"/>
            <a:gd name="T11" fmla="*/ 2147483647 h 32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49"/>
            <a:gd name="T19" fmla="*/ 0 h 32"/>
            <a:gd name="T20" fmla="*/ 49 w 49"/>
            <a:gd name="T21" fmla="*/ 32 h 32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49" h="32">
              <a:moveTo>
                <a:pt x="13" y="11"/>
              </a:moveTo>
              <a:lnTo>
                <a:pt x="49" y="0"/>
              </a:lnTo>
              <a:lnTo>
                <a:pt x="49" y="32"/>
              </a:lnTo>
              <a:lnTo>
                <a:pt x="0" y="32"/>
              </a:lnTo>
              <a:lnTo>
                <a:pt x="11" y="23"/>
              </a:lnTo>
              <a:lnTo>
                <a:pt x="13" y="11"/>
              </a:lnTo>
              <a:close/>
            </a:path>
          </a:pathLst>
        </a:cu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171450</xdr:colOff>
      <xdr:row>23</xdr:row>
      <xdr:rowOff>28575</xdr:rowOff>
    </xdr:from>
    <xdr:to>
      <xdr:col>24</xdr:col>
      <xdr:colOff>152400</xdr:colOff>
      <xdr:row>23</xdr:row>
      <xdr:rowOff>123825</xdr:rowOff>
    </xdr:to>
    <xdr:sp macro="" textlink="">
      <xdr:nvSpPr>
        <xdr:cNvPr id="49" name="Line 59">
          <a:extLst>
            <a:ext uri="{FF2B5EF4-FFF2-40B4-BE49-F238E27FC236}">
              <a16:creationId xmlns:a16="http://schemas.microsoft.com/office/drawing/2014/main" id="{00000000-0008-0000-1C00-000031000000}"/>
            </a:ext>
          </a:extLst>
        </xdr:cNvPr>
        <xdr:cNvSpPr>
          <a:spLocks noChangeShapeType="1"/>
        </xdr:cNvSpPr>
      </xdr:nvSpPr>
      <xdr:spPr bwMode="auto">
        <a:xfrm flipH="1" flipV="1">
          <a:off x="4152900" y="3552825"/>
          <a:ext cx="342900" cy="952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28575</xdr:colOff>
      <xdr:row>23</xdr:row>
      <xdr:rowOff>19050</xdr:rowOff>
    </xdr:from>
    <xdr:to>
      <xdr:col>29</xdr:col>
      <xdr:colOff>0</xdr:colOff>
      <xdr:row>23</xdr:row>
      <xdr:rowOff>123825</xdr:rowOff>
    </xdr:to>
    <xdr:sp macro="" textlink="">
      <xdr:nvSpPr>
        <xdr:cNvPr id="50" name="Line 60">
          <a:extLst>
            <a:ext uri="{FF2B5EF4-FFF2-40B4-BE49-F238E27FC236}">
              <a16:creationId xmlns:a16="http://schemas.microsoft.com/office/drawing/2014/main" id="{00000000-0008-0000-1C00-000032000000}"/>
            </a:ext>
          </a:extLst>
        </xdr:cNvPr>
        <xdr:cNvSpPr>
          <a:spLocks noChangeShapeType="1"/>
        </xdr:cNvSpPr>
      </xdr:nvSpPr>
      <xdr:spPr bwMode="auto">
        <a:xfrm flipH="1">
          <a:off x="4914900" y="3543300"/>
          <a:ext cx="333375" cy="1047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26</xdr:row>
      <xdr:rowOff>76200</xdr:rowOff>
    </xdr:from>
    <xdr:to>
      <xdr:col>6</xdr:col>
      <xdr:colOff>0</xdr:colOff>
      <xdr:row>28</xdr:row>
      <xdr:rowOff>28575</xdr:rowOff>
    </xdr:to>
    <xdr:sp macro="" textlink="">
      <xdr:nvSpPr>
        <xdr:cNvPr id="51" name="Line 62">
          <a:extLst>
            <a:ext uri="{FF2B5EF4-FFF2-40B4-BE49-F238E27FC236}">
              <a16:creationId xmlns:a16="http://schemas.microsoft.com/office/drawing/2014/main" id="{00000000-0008-0000-1C00-000033000000}"/>
            </a:ext>
          </a:extLst>
        </xdr:cNvPr>
        <xdr:cNvSpPr>
          <a:spLocks noChangeShapeType="1"/>
        </xdr:cNvSpPr>
      </xdr:nvSpPr>
      <xdr:spPr bwMode="auto">
        <a:xfrm>
          <a:off x="1085850" y="4029075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26</xdr:row>
      <xdr:rowOff>66675</xdr:rowOff>
    </xdr:from>
    <xdr:to>
      <xdr:col>14</xdr:col>
      <xdr:colOff>0</xdr:colOff>
      <xdr:row>28</xdr:row>
      <xdr:rowOff>28575</xdr:rowOff>
    </xdr:to>
    <xdr:sp macro="" textlink="">
      <xdr:nvSpPr>
        <xdr:cNvPr id="52" name="Line 63">
          <a:extLst>
            <a:ext uri="{FF2B5EF4-FFF2-40B4-BE49-F238E27FC236}">
              <a16:creationId xmlns:a16="http://schemas.microsoft.com/office/drawing/2014/main" id="{00000000-0008-0000-1C00-000034000000}"/>
            </a:ext>
          </a:extLst>
        </xdr:cNvPr>
        <xdr:cNvSpPr>
          <a:spLocks noChangeShapeType="1"/>
        </xdr:cNvSpPr>
      </xdr:nvSpPr>
      <xdr:spPr bwMode="auto">
        <a:xfrm>
          <a:off x="2533650" y="4019550"/>
          <a:ext cx="0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28</xdr:row>
      <xdr:rowOff>0</xdr:rowOff>
    </xdr:from>
    <xdr:to>
      <xdr:col>14</xdr:col>
      <xdr:colOff>0</xdr:colOff>
      <xdr:row>28</xdr:row>
      <xdr:rowOff>0</xdr:rowOff>
    </xdr:to>
    <xdr:sp macro="" textlink="">
      <xdr:nvSpPr>
        <xdr:cNvPr id="53" name="Line 65">
          <a:extLst>
            <a:ext uri="{FF2B5EF4-FFF2-40B4-BE49-F238E27FC236}">
              <a16:creationId xmlns:a16="http://schemas.microsoft.com/office/drawing/2014/main" id="{00000000-0008-0000-1C00-000035000000}"/>
            </a:ext>
          </a:extLst>
        </xdr:cNvPr>
        <xdr:cNvSpPr>
          <a:spLocks noChangeShapeType="1"/>
        </xdr:cNvSpPr>
      </xdr:nvSpPr>
      <xdr:spPr bwMode="auto">
        <a:xfrm>
          <a:off x="1085850" y="4238625"/>
          <a:ext cx="14478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152400</xdr:colOff>
      <xdr:row>26</xdr:row>
      <xdr:rowOff>85725</xdr:rowOff>
    </xdr:from>
    <xdr:to>
      <xdr:col>6</xdr:col>
      <xdr:colOff>152400</xdr:colOff>
      <xdr:row>28</xdr:row>
      <xdr:rowOff>38100</xdr:rowOff>
    </xdr:to>
    <xdr:sp macro="" textlink="">
      <xdr:nvSpPr>
        <xdr:cNvPr id="54" name="Line 66">
          <a:extLst>
            <a:ext uri="{FF2B5EF4-FFF2-40B4-BE49-F238E27FC236}">
              <a16:creationId xmlns:a16="http://schemas.microsoft.com/office/drawing/2014/main" id="{00000000-0008-0000-1C00-000036000000}"/>
            </a:ext>
          </a:extLst>
        </xdr:cNvPr>
        <xdr:cNvSpPr>
          <a:spLocks noChangeShapeType="1"/>
        </xdr:cNvSpPr>
      </xdr:nvSpPr>
      <xdr:spPr bwMode="auto">
        <a:xfrm>
          <a:off x="1238250" y="4038600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19050</xdr:colOff>
      <xdr:row>26</xdr:row>
      <xdr:rowOff>76200</xdr:rowOff>
    </xdr:from>
    <xdr:to>
      <xdr:col>13</xdr:col>
      <xdr:colOff>19050</xdr:colOff>
      <xdr:row>28</xdr:row>
      <xdr:rowOff>28575</xdr:rowOff>
    </xdr:to>
    <xdr:sp macro="" textlink="">
      <xdr:nvSpPr>
        <xdr:cNvPr id="55" name="Line 67">
          <a:extLst>
            <a:ext uri="{FF2B5EF4-FFF2-40B4-BE49-F238E27FC236}">
              <a16:creationId xmlns:a16="http://schemas.microsoft.com/office/drawing/2014/main" id="{00000000-0008-0000-1C00-000037000000}"/>
            </a:ext>
          </a:extLst>
        </xdr:cNvPr>
        <xdr:cNvSpPr>
          <a:spLocks noChangeShapeType="1"/>
        </xdr:cNvSpPr>
      </xdr:nvSpPr>
      <xdr:spPr bwMode="auto">
        <a:xfrm>
          <a:off x="2371725" y="4029075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26</xdr:row>
      <xdr:rowOff>76200</xdr:rowOff>
    </xdr:from>
    <xdr:to>
      <xdr:col>22</xdr:col>
      <xdr:colOff>0</xdr:colOff>
      <xdr:row>28</xdr:row>
      <xdr:rowOff>38100</xdr:rowOff>
    </xdr:to>
    <xdr:sp macro="" textlink="">
      <xdr:nvSpPr>
        <xdr:cNvPr id="56" name="Line 68">
          <a:extLst>
            <a:ext uri="{FF2B5EF4-FFF2-40B4-BE49-F238E27FC236}">
              <a16:creationId xmlns:a16="http://schemas.microsoft.com/office/drawing/2014/main" id="{00000000-0008-0000-1C00-000038000000}"/>
            </a:ext>
          </a:extLst>
        </xdr:cNvPr>
        <xdr:cNvSpPr>
          <a:spLocks noChangeShapeType="1"/>
        </xdr:cNvSpPr>
      </xdr:nvSpPr>
      <xdr:spPr bwMode="auto">
        <a:xfrm>
          <a:off x="3981450" y="4029075"/>
          <a:ext cx="0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0</xdr:colOff>
      <xdr:row>26</xdr:row>
      <xdr:rowOff>66675</xdr:rowOff>
    </xdr:from>
    <xdr:to>
      <xdr:col>30</xdr:col>
      <xdr:colOff>0</xdr:colOff>
      <xdr:row>28</xdr:row>
      <xdr:rowOff>38100</xdr:rowOff>
    </xdr:to>
    <xdr:sp macro="" textlink="">
      <xdr:nvSpPr>
        <xdr:cNvPr id="57" name="Line 69">
          <a:extLst>
            <a:ext uri="{FF2B5EF4-FFF2-40B4-BE49-F238E27FC236}">
              <a16:creationId xmlns:a16="http://schemas.microsoft.com/office/drawing/2014/main" id="{00000000-0008-0000-1C00-000039000000}"/>
            </a:ext>
          </a:extLst>
        </xdr:cNvPr>
        <xdr:cNvSpPr>
          <a:spLocks noChangeShapeType="1"/>
        </xdr:cNvSpPr>
      </xdr:nvSpPr>
      <xdr:spPr bwMode="auto">
        <a:xfrm>
          <a:off x="5429250" y="4019550"/>
          <a:ext cx="0" cy="2571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28</xdr:row>
      <xdr:rowOff>0</xdr:rowOff>
    </xdr:from>
    <xdr:to>
      <xdr:col>30</xdr:col>
      <xdr:colOff>0</xdr:colOff>
      <xdr:row>28</xdr:row>
      <xdr:rowOff>0</xdr:rowOff>
    </xdr:to>
    <xdr:sp macro="" textlink="">
      <xdr:nvSpPr>
        <xdr:cNvPr id="58" name="Line 71">
          <a:extLst>
            <a:ext uri="{FF2B5EF4-FFF2-40B4-BE49-F238E27FC236}">
              <a16:creationId xmlns:a16="http://schemas.microsoft.com/office/drawing/2014/main" id="{00000000-0008-0000-1C00-00003A000000}"/>
            </a:ext>
          </a:extLst>
        </xdr:cNvPr>
        <xdr:cNvSpPr>
          <a:spLocks noChangeShapeType="1"/>
        </xdr:cNvSpPr>
      </xdr:nvSpPr>
      <xdr:spPr bwMode="auto">
        <a:xfrm>
          <a:off x="3981450" y="4238625"/>
          <a:ext cx="14478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152400</xdr:colOff>
      <xdr:row>26</xdr:row>
      <xdr:rowOff>85725</xdr:rowOff>
    </xdr:from>
    <xdr:to>
      <xdr:col>22</xdr:col>
      <xdr:colOff>152400</xdr:colOff>
      <xdr:row>28</xdr:row>
      <xdr:rowOff>38100</xdr:rowOff>
    </xdr:to>
    <xdr:sp macro="" textlink="">
      <xdr:nvSpPr>
        <xdr:cNvPr id="59" name="Line 72">
          <a:extLst>
            <a:ext uri="{FF2B5EF4-FFF2-40B4-BE49-F238E27FC236}">
              <a16:creationId xmlns:a16="http://schemas.microsoft.com/office/drawing/2014/main" id="{00000000-0008-0000-1C00-00003B000000}"/>
            </a:ext>
          </a:extLst>
        </xdr:cNvPr>
        <xdr:cNvSpPr>
          <a:spLocks noChangeShapeType="1"/>
        </xdr:cNvSpPr>
      </xdr:nvSpPr>
      <xdr:spPr bwMode="auto">
        <a:xfrm>
          <a:off x="4133850" y="4038600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19050</xdr:colOff>
      <xdr:row>26</xdr:row>
      <xdr:rowOff>76200</xdr:rowOff>
    </xdr:from>
    <xdr:to>
      <xdr:col>29</xdr:col>
      <xdr:colOff>19050</xdr:colOff>
      <xdr:row>28</xdr:row>
      <xdr:rowOff>28575</xdr:rowOff>
    </xdr:to>
    <xdr:sp macro="" textlink="">
      <xdr:nvSpPr>
        <xdr:cNvPr id="60" name="Line 73">
          <a:extLst>
            <a:ext uri="{FF2B5EF4-FFF2-40B4-BE49-F238E27FC236}">
              <a16:creationId xmlns:a16="http://schemas.microsoft.com/office/drawing/2014/main" id="{00000000-0008-0000-1C00-00003C000000}"/>
            </a:ext>
          </a:extLst>
        </xdr:cNvPr>
        <xdr:cNvSpPr>
          <a:spLocks noChangeShapeType="1"/>
        </xdr:cNvSpPr>
      </xdr:nvSpPr>
      <xdr:spPr bwMode="auto">
        <a:xfrm>
          <a:off x="5267325" y="4029075"/>
          <a:ext cx="0" cy="2381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28575</xdr:colOff>
      <xdr:row>24</xdr:row>
      <xdr:rowOff>0</xdr:rowOff>
    </xdr:from>
    <xdr:to>
      <xdr:col>17</xdr:col>
      <xdr:colOff>47625</xdr:colOff>
      <xdr:row>24</xdr:row>
      <xdr:rowOff>0</xdr:rowOff>
    </xdr:to>
    <xdr:sp macro="" textlink="">
      <xdr:nvSpPr>
        <xdr:cNvPr id="61" name="Line 74">
          <a:extLst>
            <a:ext uri="{FF2B5EF4-FFF2-40B4-BE49-F238E27FC236}">
              <a16:creationId xmlns:a16="http://schemas.microsoft.com/office/drawing/2014/main" id="{00000000-0008-0000-1C00-00003D000000}"/>
            </a:ext>
          </a:extLst>
        </xdr:cNvPr>
        <xdr:cNvSpPr>
          <a:spLocks noChangeShapeType="1"/>
        </xdr:cNvSpPr>
      </xdr:nvSpPr>
      <xdr:spPr bwMode="auto">
        <a:xfrm>
          <a:off x="2562225" y="3667125"/>
          <a:ext cx="56197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47625</xdr:colOff>
      <xdr:row>25</xdr:row>
      <xdr:rowOff>0</xdr:rowOff>
    </xdr:from>
    <xdr:to>
      <xdr:col>17</xdr:col>
      <xdr:colOff>47625</xdr:colOff>
      <xdr:row>25</xdr:row>
      <xdr:rowOff>0</xdr:rowOff>
    </xdr:to>
    <xdr:sp macro="" textlink="">
      <xdr:nvSpPr>
        <xdr:cNvPr id="62" name="Line 75">
          <a:extLst>
            <a:ext uri="{FF2B5EF4-FFF2-40B4-BE49-F238E27FC236}">
              <a16:creationId xmlns:a16="http://schemas.microsoft.com/office/drawing/2014/main" id="{00000000-0008-0000-1C00-00003E000000}"/>
            </a:ext>
          </a:extLst>
        </xdr:cNvPr>
        <xdr:cNvSpPr>
          <a:spLocks noChangeShapeType="1"/>
        </xdr:cNvSpPr>
      </xdr:nvSpPr>
      <xdr:spPr bwMode="auto">
        <a:xfrm>
          <a:off x="2943225" y="3810000"/>
          <a:ext cx="18097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0</xdr:colOff>
      <xdr:row>24</xdr:row>
      <xdr:rowOff>0</xdr:rowOff>
    </xdr:from>
    <xdr:to>
      <xdr:col>17</xdr:col>
      <xdr:colOff>0</xdr:colOff>
      <xdr:row>25</xdr:row>
      <xdr:rowOff>0</xdr:rowOff>
    </xdr:to>
    <xdr:sp macro="" textlink="">
      <xdr:nvSpPr>
        <xdr:cNvPr id="63" name="Line 76">
          <a:extLst>
            <a:ext uri="{FF2B5EF4-FFF2-40B4-BE49-F238E27FC236}">
              <a16:creationId xmlns:a16="http://schemas.microsoft.com/office/drawing/2014/main" id="{00000000-0008-0000-1C00-00003F000000}"/>
            </a:ext>
          </a:extLst>
        </xdr:cNvPr>
        <xdr:cNvSpPr>
          <a:spLocks noChangeShapeType="1"/>
        </xdr:cNvSpPr>
      </xdr:nvSpPr>
      <xdr:spPr bwMode="auto">
        <a:xfrm>
          <a:off x="3076575" y="3667125"/>
          <a:ext cx="0" cy="1428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142875</xdr:colOff>
      <xdr:row>21</xdr:row>
      <xdr:rowOff>123825</xdr:rowOff>
    </xdr:from>
    <xdr:to>
      <xdr:col>3</xdr:col>
      <xdr:colOff>38100</xdr:colOff>
      <xdr:row>21</xdr:row>
      <xdr:rowOff>123825</xdr:rowOff>
    </xdr:to>
    <xdr:sp macro="" textlink="">
      <xdr:nvSpPr>
        <xdr:cNvPr id="64" name="Line 77">
          <a:extLst>
            <a:ext uri="{FF2B5EF4-FFF2-40B4-BE49-F238E27FC236}">
              <a16:creationId xmlns:a16="http://schemas.microsoft.com/office/drawing/2014/main" id="{00000000-0008-0000-1C00-000040000000}"/>
            </a:ext>
          </a:extLst>
        </xdr:cNvPr>
        <xdr:cNvSpPr>
          <a:spLocks noChangeShapeType="1"/>
        </xdr:cNvSpPr>
      </xdr:nvSpPr>
      <xdr:spPr bwMode="auto">
        <a:xfrm>
          <a:off x="323850" y="3362325"/>
          <a:ext cx="25717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25</xdr:row>
      <xdr:rowOff>0</xdr:rowOff>
    </xdr:from>
    <xdr:to>
      <xdr:col>5</xdr:col>
      <xdr:colOff>28575</xdr:colOff>
      <xdr:row>25</xdr:row>
      <xdr:rowOff>0</xdr:rowOff>
    </xdr:to>
    <xdr:sp macro="" textlink="">
      <xdr:nvSpPr>
        <xdr:cNvPr id="65" name="Line 78">
          <a:extLst>
            <a:ext uri="{FF2B5EF4-FFF2-40B4-BE49-F238E27FC236}">
              <a16:creationId xmlns:a16="http://schemas.microsoft.com/office/drawing/2014/main" id="{00000000-0008-0000-1C00-000041000000}"/>
            </a:ext>
          </a:extLst>
        </xdr:cNvPr>
        <xdr:cNvSpPr>
          <a:spLocks noChangeShapeType="1"/>
        </xdr:cNvSpPr>
      </xdr:nvSpPr>
      <xdr:spPr bwMode="auto">
        <a:xfrm>
          <a:off x="333375" y="3810000"/>
          <a:ext cx="60007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21</xdr:row>
      <xdr:rowOff>123825</xdr:rowOff>
    </xdr:from>
    <xdr:to>
      <xdr:col>2</xdr:col>
      <xdr:colOff>0</xdr:colOff>
      <xdr:row>25</xdr:row>
      <xdr:rowOff>0</xdr:rowOff>
    </xdr:to>
    <xdr:sp macro="" textlink="">
      <xdr:nvSpPr>
        <xdr:cNvPr id="66" name="Line 79">
          <a:extLst>
            <a:ext uri="{FF2B5EF4-FFF2-40B4-BE49-F238E27FC236}">
              <a16:creationId xmlns:a16="http://schemas.microsoft.com/office/drawing/2014/main" id="{00000000-0008-0000-1C00-000042000000}"/>
            </a:ext>
          </a:extLst>
        </xdr:cNvPr>
        <xdr:cNvSpPr>
          <a:spLocks noChangeShapeType="1"/>
        </xdr:cNvSpPr>
      </xdr:nvSpPr>
      <xdr:spPr bwMode="auto">
        <a:xfrm>
          <a:off x="361950" y="3362325"/>
          <a:ext cx="0" cy="4476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22</xdr:row>
      <xdr:rowOff>19050</xdr:rowOff>
    </xdr:from>
    <xdr:to>
      <xdr:col>11</xdr:col>
      <xdr:colOff>76200</xdr:colOff>
      <xdr:row>23</xdr:row>
      <xdr:rowOff>0</xdr:rowOff>
    </xdr:to>
    <xdr:sp macro="" textlink="">
      <xdr:nvSpPr>
        <xdr:cNvPr id="67" name="Line 80">
          <a:extLst>
            <a:ext uri="{FF2B5EF4-FFF2-40B4-BE49-F238E27FC236}">
              <a16:creationId xmlns:a16="http://schemas.microsoft.com/office/drawing/2014/main" id="{00000000-0008-0000-1C00-000043000000}"/>
            </a:ext>
          </a:extLst>
        </xdr:cNvPr>
        <xdr:cNvSpPr>
          <a:spLocks noChangeShapeType="1"/>
        </xdr:cNvSpPr>
      </xdr:nvSpPr>
      <xdr:spPr bwMode="auto">
        <a:xfrm>
          <a:off x="1647825" y="3400425"/>
          <a:ext cx="419100" cy="1238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9</xdr:col>
      <xdr:colOff>179663</xdr:colOff>
      <xdr:row>21</xdr:row>
      <xdr:rowOff>23084</xdr:rowOff>
    </xdr:from>
    <xdr:to>
      <xdr:col>12</xdr:col>
      <xdr:colOff>57908</xdr:colOff>
      <xdr:row>22</xdr:row>
      <xdr:rowOff>24831</xdr:rowOff>
    </xdr:to>
    <xdr:sp macro="" textlink="">
      <xdr:nvSpPr>
        <xdr:cNvPr id="68" name="Text Box 81">
          <a:extLst>
            <a:ext uri="{FF2B5EF4-FFF2-40B4-BE49-F238E27FC236}">
              <a16:creationId xmlns:a16="http://schemas.microsoft.com/office/drawing/2014/main" id="{00000000-0008-0000-1C00-000044000000}"/>
            </a:ext>
          </a:extLst>
        </xdr:cNvPr>
        <xdr:cNvSpPr txBox="1">
          <a:spLocks noChangeArrowheads="1"/>
        </xdr:cNvSpPr>
      </xdr:nvSpPr>
      <xdr:spPr bwMode="auto">
        <a:xfrm>
          <a:off x="1819620" y="4214084"/>
          <a:ext cx="424897" cy="192247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4 %</a:t>
          </a:r>
        </a:p>
      </xdr:txBody>
    </xdr:sp>
    <xdr:clientData/>
  </xdr:twoCellAnchor>
  <xdr:twoCellAnchor>
    <xdr:from>
      <xdr:col>23</xdr:col>
      <xdr:colOff>57150</xdr:colOff>
      <xdr:row>22</xdr:row>
      <xdr:rowOff>171450</xdr:rowOff>
    </xdr:from>
    <xdr:to>
      <xdr:col>24</xdr:col>
      <xdr:colOff>85725</xdr:colOff>
      <xdr:row>23</xdr:row>
      <xdr:rowOff>57150</xdr:rowOff>
    </xdr:to>
    <xdr:sp macro="" textlink="">
      <xdr:nvSpPr>
        <xdr:cNvPr id="69" name="Line 82">
          <a:extLst>
            <a:ext uri="{FF2B5EF4-FFF2-40B4-BE49-F238E27FC236}">
              <a16:creationId xmlns:a16="http://schemas.microsoft.com/office/drawing/2014/main" id="{00000000-0008-0000-1C00-000045000000}"/>
            </a:ext>
          </a:extLst>
        </xdr:cNvPr>
        <xdr:cNvSpPr>
          <a:spLocks noChangeShapeType="1"/>
        </xdr:cNvSpPr>
      </xdr:nvSpPr>
      <xdr:spPr bwMode="auto">
        <a:xfrm>
          <a:off x="4219575" y="3524250"/>
          <a:ext cx="209550" cy="571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 type="triangle" w="sm" len="med"/>
        </a:ln>
      </xdr:spPr>
    </xdr:sp>
    <xdr:clientData/>
  </xdr:twoCellAnchor>
  <xdr:twoCellAnchor>
    <xdr:from>
      <xdr:col>23</xdr:col>
      <xdr:colOff>85725</xdr:colOff>
      <xdr:row>21</xdr:row>
      <xdr:rowOff>161925</xdr:rowOff>
    </xdr:from>
    <xdr:to>
      <xdr:col>25</xdr:col>
      <xdr:colOff>28575</xdr:colOff>
      <xdr:row>22</xdr:row>
      <xdr:rowOff>142875</xdr:rowOff>
    </xdr:to>
    <xdr:sp macro="" textlink="">
      <xdr:nvSpPr>
        <xdr:cNvPr id="70" name="Text Box 83">
          <a:extLst>
            <a:ext uri="{FF2B5EF4-FFF2-40B4-BE49-F238E27FC236}">
              <a16:creationId xmlns:a16="http://schemas.microsoft.com/office/drawing/2014/main" id="{00000000-0008-0000-1C00-000046000000}"/>
            </a:ext>
          </a:extLst>
        </xdr:cNvPr>
        <xdr:cNvSpPr txBox="1">
          <a:spLocks noChangeArrowheads="1"/>
        </xdr:cNvSpPr>
      </xdr:nvSpPr>
      <xdr:spPr bwMode="auto">
        <a:xfrm>
          <a:off x="4248150" y="3381375"/>
          <a:ext cx="304800" cy="1428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strike="noStrike">
              <a:solidFill>
                <a:srgbClr val="000000"/>
              </a:solidFill>
              <a:latin typeface="돋움"/>
              <a:ea typeface="돋움"/>
            </a:rPr>
            <a:t>10%</a:t>
          </a: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71" name="Freeform 89">
          <a:extLst>
            <a:ext uri="{FF2B5EF4-FFF2-40B4-BE49-F238E27FC236}">
              <a16:creationId xmlns:a16="http://schemas.microsoft.com/office/drawing/2014/main" id="{00000000-0008-0000-1C00-000047000000}"/>
            </a:ext>
          </a:extLst>
        </xdr:cNvPr>
        <xdr:cNvSpPr>
          <a:spLocks/>
        </xdr:cNvSpPr>
      </xdr:nvSpPr>
      <xdr:spPr bwMode="auto">
        <a:xfrm>
          <a:off x="542925" y="5600700"/>
          <a:ext cx="1266825" cy="638175"/>
        </a:xfrm>
        <a:custGeom>
          <a:avLst/>
          <a:gdLst>
            <a:gd name="T0" fmla="*/ 0 w 133"/>
            <a:gd name="T1" fmla="*/ 0 h 67"/>
            <a:gd name="T2" fmla="*/ 2147483647 w 133"/>
            <a:gd name="T3" fmla="*/ 2147483647 h 67"/>
            <a:gd name="T4" fmla="*/ 2147483647 w 133"/>
            <a:gd name="T5" fmla="*/ 2147483647 h 67"/>
            <a:gd name="T6" fmla="*/ 0 60000 65536"/>
            <a:gd name="T7" fmla="*/ 0 60000 65536"/>
            <a:gd name="T8" fmla="*/ 0 60000 65536"/>
            <a:gd name="T9" fmla="*/ 0 w 133"/>
            <a:gd name="T10" fmla="*/ 0 h 67"/>
            <a:gd name="T11" fmla="*/ 133 w 133"/>
            <a:gd name="T12" fmla="*/ 67 h 6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3" h="67">
              <a:moveTo>
                <a:pt x="0" y="0"/>
              </a:moveTo>
              <a:lnTo>
                <a:pt x="76" y="67"/>
              </a:lnTo>
              <a:lnTo>
                <a:pt x="133" y="67"/>
              </a:lnTo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72" name="Freeform 90">
          <a:extLst>
            <a:ext uri="{FF2B5EF4-FFF2-40B4-BE49-F238E27FC236}">
              <a16:creationId xmlns:a16="http://schemas.microsoft.com/office/drawing/2014/main" id="{00000000-0008-0000-1C00-000048000000}"/>
            </a:ext>
          </a:extLst>
        </xdr:cNvPr>
        <xdr:cNvSpPr>
          <a:spLocks/>
        </xdr:cNvSpPr>
      </xdr:nvSpPr>
      <xdr:spPr bwMode="auto">
        <a:xfrm>
          <a:off x="542925" y="5600700"/>
          <a:ext cx="1266825" cy="409575"/>
        </a:xfrm>
        <a:custGeom>
          <a:avLst/>
          <a:gdLst>
            <a:gd name="T0" fmla="*/ 0 w 133"/>
            <a:gd name="T1" fmla="*/ 0 h 44"/>
            <a:gd name="T2" fmla="*/ 2147483647 w 133"/>
            <a:gd name="T3" fmla="*/ 2147483647 h 44"/>
            <a:gd name="T4" fmla="*/ 2147483647 w 133"/>
            <a:gd name="T5" fmla="*/ 2147483647 h 44"/>
            <a:gd name="T6" fmla="*/ 0 60000 65536"/>
            <a:gd name="T7" fmla="*/ 0 60000 65536"/>
            <a:gd name="T8" fmla="*/ 0 60000 65536"/>
            <a:gd name="T9" fmla="*/ 0 w 133"/>
            <a:gd name="T10" fmla="*/ 0 h 44"/>
            <a:gd name="T11" fmla="*/ 133 w 133"/>
            <a:gd name="T12" fmla="*/ 44 h 4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3" h="44">
              <a:moveTo>
                <a:pt x="0" y="0"/>
              </a:moveTo>
              <a:lnTo>
                <a:pt x="76" y="44"/>
              </a:lnTo>
              <a:lnTo>
                <a:pt x="133" y="44"/>
              </a:lnTo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7</xdr:col>
      <xdr:colOff>0</xdr:colOff>
      <xdr:row>37</xdr:row>
      <xdr:rowOff>0</xdr:rowOff>
    </xdr:to>
    <xdr:sp macro="" textlink="">
      <xdr:nvSpPr>
        <xdr:cNvPr id="73" name="Line 93">
          <a:extLst>
            <a:ext uri="{FF2B5EF4-FFF2-40B4-BE49-F238E27FC236}">
              <a16:creationId xmlns:a16="http://schemas.microsoft.com/office/drawing/2014/main" id="{00000000-0008-0000-1C00-000049000000}"/>
            </a:ext>
          </a:extLst>
        </xdr:cNvPr>
        <xdr:cNvSpPr>
          <a:spLocks noChangeShapeType="1"/>
        </xdr:cNvSpPr>
      </xdr:nvSpPr>
      <xdr:spPr bwMode="auto">
        <a:xfrm>
          <a:off x="542925" y="5600700"/>
          <a:ext cx="723900" cy="8667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177248</xdr:colOff>
      <xdr:row>12</xdr:row>
      <xdr:rowOff>31060</xdr:rowOff>
    </xdr:from>
    <xdr:to>
      <xdr:col>25</xdr:col>
      <xdr:colOff>101048</xdr:colOff>
      <xdr:row>13</xdr:row>
      <xdr:rowOff>2485</xdr:rowOff>
    </xdr:to>
    <xdr:sp macro="" textlink="">
      <xdr:nvSpPr>
        <xdr:cNvPr id="74" name="직사각형 73">
          <a:extLst>
            <a:ext uri="{FF2B5EF4-FFF2-40B4-BE49-F238E27FC236}">
              <a16:creationId xmlns:a16="http://schemas.microsoft.com/office/drawing/2014/main" id="{00000000-0008-0000-1C00-00004A000000}"/>
            </a:ext>
          </a:extLst>
        </xdr:cNvPr>
        <xdr:cNvSpPr/>
      </xdr:nvSpPr>
      <xdr:spPr>
        <a:xfrm>
          <a:off x="4003813" y="1960908"/>
          <a:ext cx="652670" cy="11222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22</xdr:col>
      <xdr:colOff>0</xdr:colOff>
      <xdr:row>12</xdr:row>
      <xdr:rowOff>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>
          <a:spLocks noChangeArrowheads="1"/>
        </xdr:cNvSpPr>
      </xdr:nvSpPr>
      <xdr:spPr bwMode="auto">
        <a:xfrm>
          <a:off x="2428875" y="962025"/>
          <a:ext cx="1447800" cy="1409700"/>
        </a:xfrm>
        <a:prstGeom prst="ellipse">
          <a:avLst/>
        </a:prstGeom>
        <a:solidFill>
          <a:srgbClr val="FFFFFF"/>
        </a:solidFill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142875</xdr:colOff>
      <xdr:row>4</xdr:row>
      <xdr:rowOff>171450</xdr:rowOff>
    </xdr:from>
    <xdr:to>
      <xdr:col>21</xdr:col>
      <xdr:colOff>38100</xdr:colOff>
      <xdr:row>11</xdr:row>
      <xdr:rowOff>38100</xdr:rowOff>
    </xdr:to>
    <xdr:sp macro="" textlink="">
      <xdr:nvSpPr>
        <xdr:cNvPr id="3" name="Oval 2" descr="밝은 정방향 사선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rrowheads="1"/>
        </xdr:cNvSpPr>
      </xdr:nvSpPr>
      <xdr:spPr bwMode="auto">
        <a:xfrm>
          <a:off x="2571750" y="1095375"/>
          <a:ext cx="1162050" cy="1133475"/>
        </a:xfrm>
        <a:prstGeom prst="ellipse">
          <a:avLst/>
        </a:pr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7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>
          <a:spLocks noChangeShapeType="1"/>
        </xdr:cNvSpPr>
      </xdr:nvSpPr>
      <xdr:spPr bwMode="auto">
        <a:xfrm>
          <a:off x="3714750" y="1466850"/>
          <a:ext cx="9810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38100</xdr:colOff>
      <xdr:row>8</xdr:row>
      <xdr:rowOff>133350</xdr:rowOff>
    </xdr:from>
    <xdr:to>
      <xdr:col>26</xdr:col>
      <xdr:colOff>19050</xdr:colOff>
      <xdr:row>8</xdr:row>
      <xdr:rowOff>133350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>
          <a:spLocks noChangeShapeType="1"/>
        </xdr:cNvSpPr>
      </xdr:nvSpPr>
      <xdr:spPr bwMode="auto">
        <a:xfrm>
          <a:off x="3733800" y="1781175"/>
          <a:ext cx="9810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7</xdr:row>
      <xdr:rowOff>0</xdr:rowOff>
    </xdr:from>
    <xdr:to>
      <xdr:col>15</xdr:col>
      <xdr:colOff>9525</xdr:colOff>
      <xdr:row>7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>
          <a:spLocks noChangeShapeType="1"/>
        </xdr:cNvSpPr>
      </xdr:nvSpPr>
      <xdr:spPr bwMode="auto">
        <a:xfrm>
          <a:off x="1704975" y="1466850"/>
          <a:ext cx="9144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8</xdr:row>
      <xdr:rowOff>133350</xdr:rowOff>
    </xdr:from>
    <xdr:to>
      <xdr:col>15</xdr:col>
      <xdr:colOff>0</xdr:colOff>
      <xdr:row>8</xdr:row>
      <xdr:rowOff>133350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>
          <a:spLocks noChangeShapeType="1"/>
        </xdr:cNvSpPr>
      </xdr:nvSpPr>
      <xdr:spPr bwMode="auto">
        <a:xfrm>
          <a:off x="1704975" y="1781175"/>
          <a:ext cx="904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8</xdr:row>
      <xdr:rowOff>161925</xdr:rowOff>
    </xdr:from>
    <xdr:to>
      <xdr:col>26</xdr:col>
      <xdr:colOff>9525</xdr:colOff>
      <xdr:row>8</xdr:row>
      <xdr:rowOff>161925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1D00-000008000000}"/>
            </a:ext>
          </a:extLst>
        </xdr:cNvPr>
        <xdr:cNvSpPr>
          <a:spLocks noChangeShapeType="1"/>
        </xdr:cNvSpPr>
      </xdr:nvSpPr>
      <xdr:spPr bwMode="auto">
        <a:xfrm>
          <a:off x="3714750" y="1809750"/>
          <a:ext cx="990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171450</xdr:colOff>
      <xdr:row>6</xdr:row>
      <xdr:rowOff>152400</xdr:rowOff>
    </xdr:from>
    <xdr:to>
      <xdr:col>25</xdr:col>
      <xdr:colOff>171450</xdr:colOff>
      <xdr:row>6</xdr:row>
      <xdr:rowOff>152400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SpPr>
          <a:spLocks noChangeShapeType="1"/>
        </xdr:cNvSpPr>
      </xdr:nvSpPr>
      <xdr:spPr bwMode="auto">
        <a:xfrm>
          <a:off x="3686175" y="1438275"/>
          <a:ext cx="10001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171450</xdr:colOff>
      <xdr:row>6</xdr:row>
      <xdr:rowOff>152400</xdr:rowOff>
    </xdr:from>
    <xdr:to>
      <xdr:col>15</xdr:col>
      <xdr:colOff>9525</xdr:colOff>
      <xdr:row>6</xdr:row>
      <xdr:rowOff>152400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SpPr>
          <a:spLocks noChangeShapeType="1"/>
        </xdr:cNvSpPr>
      </xdr:nvSpPr>
      <xdr:spPr bwMode="auto">
        <a:xfrm>
          <a:off x="1695450" y="1438275"/>
          <a:ext cx="923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171450</xdr:colOff>
      <xdr:row>8</xdr:row>
      <xdr:rowOff>161925</xdr:rowOff>
    </xdr:from>
    <xdr:to>
      <xdr:col>14</xdr:col>
      <xdr:colOff>161925</xdr:colOff>
      <xdr:row>8</xdr:row>
      <xdr:rowOff>161925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>
          <a:spLocks noChangeShapeType="1"/>
        </xdr:cNvSpPr>
      </xdr:nvSpPr>
      <xdr:spPr bwMode="auto">
        <a:xfrm>
          <a:off x="1695450" y="1809750"/>
          <a:ext cx="8953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26</xdr:col>
      <xdr:colOff>0</xdr:colOff>
      <xdr:row>6</xdr:row>
      <xdr:rowOff>76200</xdr:rowOff>
    </xdr:from>
    <xdr:to>
      <xdr:col>26</xdr:col>
      <xdr:colOff>0</xdr:colOff>
      <xdr:row>9</xdr:row>
      <xdr:rowOff>123825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SpPr>
          <a:spLocks noChangeShapeType="1"/>
        </xdr:cNvSpPr>
      </xdr:nvSpPr>
      <xdr:spPr bwMode="auto">
        <a:xfrm>
          <a:off x="4695825" y="1362075"/>
          <a:ext cx="0" cy="59055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10</xdr:col>
      <xdr:colOff>0</xdr:colOff>
      <xdr:row>6</xdr:row>
      <xdr:rowOff>66675</xdr:rowOff>
    </xdr:from>
    <xdr:to>
      <xdr:col>10</xdr:col>
      <xdr:colOff>0</xdr:colOff>
      <xdr:row>9</xdr:row>
      <xdr:rowOff>114300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1D00-00000D000000}"/>
            </a:ext>
          </a:extLst>
        </xdr:cNvPr>
        <xdr:cNvSpPr>
          <a:spLocks noChangeShapeType="1"/>
        </xdr:cNvSpPr>
      </xdr:nvSpPr>
      <xdr:spPr bwMode="auto">
        <a:xfrm>
          <a:off x="1704975" y="1352550"/>
          <a:ext cx="0" cy="59055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14</xdr:col>
      <xdr:colOff>142875</xdr:colOff>
      <xdr:row>7</xdr:row>
      <xdr:rowOff>0</xdr:rowOff>
    </xdr:from>
    <xdr:to>
      <xdr:col>21</xdr:col>
      <xdr:colOff>38100</xdr:colOff>
      <xdr:row>8</xdr:row>
      <xdr:rowOff>133350</xdr:rowOff>
    </xdr:to>
    <xdr:sp macro="" textlink="">
      <xdr:nvSpPr>
        <xdr:cNvPr id="14" name="Freeform 13">
          <a:extLst>
            <a:ext uri="{FF2B5EF4-FFF2-40B4-BE49-F238E27FC236}">
              <a16:creationId xmlns:a16="http://schemas.microsoft.com/office/drawing/2014/main" id="{00000000-0008-0000-1D00-00000E000000}"/>
            </a:ext>
          </a:extLst>
        </xdr:cNvPr>
        <xdr:cNvSpPr>
          <a:spLocks/>
        </xdr:cNvSpPr>
      </xdr:nvSpPr>
      <xdr:spPr bwMode="auto">
        <a:xfrm>
          <a:off x="2571750" y="1466850"/>
          <a:ext cx="1162050" cy="314325"/>
        </a:xfrm>
        <a:custGeom>
          <a:avLst/>
          <a:gdLst>
            <a:gd name="T0" fmla="*/ 2147483647 w 122"/>
            <a:gd name="T1" fmla="*/ 0 h 33"/>
            <a:gd name="T2" fmla="*/ 2147483647 w 122"/>
            <a:gd name="T3" fmla="*/ 0 h 33"/>
            <a:gd name="T4" fmla="*/ 2147483647 w 122"/>
            <a:gd name="T5" fmla="*/ 2147483647 h 33"/>
            <a:gd name="T6" fmla="*/ 2147483647 w 122"/>
            <a:gd name="T7" fmla="*/ 2147483647 h 33"/>
            <a:gd name="T8" fmla="*/ 2147483647 w 122"/>
            <a:gd name="T9" fmla="*/ 2147483647 h 33"/>
            <a:gd name="T10" fmla="*/ 2147483647 w 122"/>
            <a:gd name="T11" fmla="*/ 2147483647 h 33"/>
            <a:gd name="T12" fmla="*/ 0 w 122"/>
            <a:gd name="T13" fmla="*/ 2147483647 h 33"/>
            <a:gd name="T14" fmla="*/ 0 w 122"/>
            <a:gd name="T15" fmla="*/ 2147483647 h 33"/>
            <a:gd name="T16" fmla="*/ 0 w 122"/>
            <a:gd name="T17" fmla="*/ 2147483647 h 33"/>
            <a:gd name="T18" fmla="*/ 2147483647 w 122"/>
            <a:gd name="T19" fmla="*/ 2147483647 h 33"/>
            <a:gd name="T20" fmla="*/ 2147483647 w 122"/>
            <a:gd name="T21" fmla="*/ 0 h 33"/>
            <a:gd name="T22" fmla="*/ 0 60000 65536"/>
            <a:gd name="T23" fmla="*/ 0 60000 65536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w 122"/>
            <a:gd name="T34" fmla="*/ 0 h 33"/>
            <a:gd name="T35" fmla="*/ 122 w 122"/>
            <a:gd name="T36" fmla="*/ 33 h 33"/>
          </a:gdLst>
          <a:ahLst/>
          <a:cxnLst>
            <a:cxn ang="T22">
              <a:pos x="T0" y="T1"/>
            </a:cxn>
            <a:cxn ang="T23">
              <a:pos x="T2" y="T3"/>
            </a:cxn>
            <a:cxn ang="T24">
              <a:pos x="T4" y="T5"/>
            </a:cxn>
            <a:cxn ang="T25">
              <a:pos x="T6" y="T7"/>
            </a:cxn>
            <a:cxn ang="T26">
              <a:pos x="T8" y="T9"/>
            </a:cxn>
            <a:cxn ang="T27">
              <a:pos x="T10" y="T11"/>
            </a:cxn>
            <a:cxn ang="T28">
              <a:pos x="T12" y="T13"/>
            </a:cxn>
            <a:cxn ang="T29">
              <a:pos x="T14" y="T15"/>
            </a:cxn>
            <a:cxn ang="T30">
              <a:pos x="T16" y="T17"/>
            </a:cxn>
            <a:cxn ang="T31">
              <a:pos x="T18" y="T19"/>
            </a:cxn>
            <a:cxn ang="T32">
              <a:pos x="T20" y="T21"/>
            </a:cxn>
          </a:cxnLst>
          <a:rect l="T33" t="T34" r="T35" b="T36"/>
          <a:pathLst>
            <a:path w="122" h="33">
              <a:moveTo>
                <a:pt x="4" y="0"/>
              </a:moveTo>
              <a:lnTo>
                <a:pt x="119" y="0"/>
              </a:lnTo>
              <a:lnTo>
                <a:pt x="121" y="10"/>
              </a:lnTo>
              <a:lnTo>
                <a:pt x="122" y="18"/>
              </a:lnTo>
              <a:lnTo>
                <a:pt x="122" y="26"/>
              </a:lnTo>
              <a:lnTo>
                <a:pt x="121" y="33"/>
              </a:lnTo>
              <a:lnTo>
                <a:pt x="0" y="33"/>
              </a:lnTo>
              <a:lnTo>
                <a:pt x="0" y="24"/>
              </a:lnTo>
              <a:lnTo>
                <a:pt x="0" y="16"/>
              </a:lnTo>
              <a:lnTo>
                <a:pt x="1" y="8"/>
              </a:lnTo>
              <a:lnTo>
                <a:pt x="4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171450</xdr:colOff>
      <xdr:row>7</xdr:row>
      <xdr:rowOff>152400</xdr:rowOff>
    </xdr:from>
    <xdr:to>
      <xdr:col>28</xdr:col>
      <xdr:colOff>0</xdr:colOff>
      <xdr:row>7</xdr:row>
      <xdr:rowOff>152400</xdr:rowOff>
    </xdr:to>
    <xdr:sp macro="" textlink="">
      <xdr:nvSpPr>
        <xdr:cNvPr id="15" name="Line 16">
          <a:extLst>
            <a:ext uri="{FF2B5EF4-FFF2-40B4-BE49-F238E27FC236}">
              <a16:creationId xmlns:a16="http://schemas.microsoft.com/office/drawing/2014/main" id="{00000000-0008-0000-1D00-00000F000000}"/>
            </a:ext>
          </a:extLst>
        </xdr:cNvPr>
        <xdr:cNvSpPr>
          <a:spLocks noChangeShapeType="1"/>
        </xdr:cNvSpPr>
      </xdr:nvSpPr>
      <xdr:spPr bwMode="auto">
        <a:xfrm>
          <a:off x="1333500" y="1619250"/>
          <a:ext cx="3724275" cy="0"/>
        </a:xfrm>
        <a:prstGeom prst="line">
          <a:avLst/>
        </a:prstGeom>
        <a:noFill/>
        <a:ln w="3175">
          <a:solidFill>
            <a:srgbClr val="000000"/>
          </a:solidFill>
          <a:prstDash val="dashDot"/>
          <a:round/>
          <a:headEnd/>
          <a:tailEnd/>
        </a:ln>
      </xdr:spPr>
    </xdr:sp>
    <xdr:clientData/>
  </xdr:twoCellAnchor>
  <xdr:twoCellAnchor>
    <xdr:from>
      <xdr:col>19</xdr:col>
      <xdr:colOff>95250</xdr:colOff>
      <xdr:row>9</xdr:row>
      <xdr:rowOff>161925</xdr:rowOff>
    </xdr:from>
    <xdr:to>
      <xdr:col>25</xdr:col>
      <xdr:colOff>66675</xdr:colOff>
      <xdr:row>12</xdr:row>
      <xdr:rowOff>0</xdr:rowOff>
    </xdr:to>
    <xdr:sp macro="" textlink="">
      <xdr:nvSpPr>
        <xdr:cNvPr id="16" name="Freeform 19">
          <a:extLst>
            <a:ext uri="{FF2B5EF4-FFF2-40B4-BE49-F238E27FC236}">
              <a16:creationId xmlns:a16="http://schemas.microsoft.com/office/drawing/2014/main" id="{00000000-0008-0000-1D00-000010000000}"/>
            </a:ext>
          </a:extLst>
        </xdr:cNvPr>
        <xdr:cNvSpPr>
          <a:spLocks/>
        </xdr:cNvSpPr>
      </xdr:nvSpPr>
      <xdr:spPr bwMode="auto">
        <a:xfrm>
          <a:off x="3429000" y="1990725"/>
          <a:ext cx="1152525" cy="381000"/>
        </a:xfrm>
        <a:custGeom>
          <a:avLst/>
          <a:gdLst>
            <a:gd name="T0" fmla="*/ 0 w 124"/>
            <a:gd name="T1" fmla="*/ 0 h 40"/>
            <a:gd name="T2" fmla="*/ 2147483647 w 124"/>
            <a:gd name="T3" fmla="*/ 2147483647 h 40"/>
            <a:gd name="T4" fmla="*/ 2147483647 w 124"/>
            <a:gd name="T5" fmla="*/ 2147483647 h 40"/>
            <a:gd name="T6" fmla="*/ 2147483647 w 124"/>
            <a:gd name="T7" fmla="*/ 2147483647 h 40"/>
            <a:gd name="T8" fmla="*/ 0 60000 65536"/>
            <a:gd name="T9" fmla="*/ 0 60000 65536"/>
            <a:gd name="T10" fmla="*/ 0 60000 65536"/>
            <a:gd name="T11" fmla="*/ 0 60000 65536"/>
            <a:gd name="T12" fmla="*/ 0 w 124"/>
            <a:gd name="T13" fmla="*/ 0 h 40"/>
            <a:gd name="T14" fmla="*/ 124 w 124"/>
            <a:gd name="T15" fmla="*/ 40 h 4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24" h="40">
              <a:moveTo>
                <a:pt x="0" y="0"/>
              </a:moveTo>
              <a:cubicBezTo>
                <a:pt x="1" y="2"/>
                <a:pt x="4" y="6"/>
                <a:pt x="4" y="6"/>
              </a:cubicBezTo>
              <a:lnTo>
                <a:pt x="49" y="40"/>
              </a:lnTo>
              <a:lnTo>
                <a:pt x="124" y="40"/>
              </a:lnTo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15</xdr:row>
      <xdr:rowOff>0</xdr:rowOff>
    </xdr:from>
    <xdr:to>
      <xdr:col>21</xdr:col>
      <xdr:colOff>28575</xdr:colOff>
      <xdr:row>15</xdr:row>
      <xdr:rowOff>0</xdr:rowOff>
    </xdr:to>
    <xdr:sp macro="" textlink="">
      <xdr:nvSpPr>
        <xdr:cNvPr id="17" name="Line 23">
          <a:extLst>
            <a:ext uri="{FF2B5EF4-FFF2-40B4-BE49-F238E27FC236}">
              <a16:creationId xmlns:a16="http://schemas.microsoft.com/office/drawing/2014/main" id="{00000000-0008-0000-1D00-000011000000}"/>
            </a:ext>
          </a:extLst>
        </xdr:cNvPr>
        <xdr:cNvSpPr>
          <a:spLocks noChangeShapeType="1"/>
        </xdr:cNvSpPr>
      </xdr:nvSpPr>
      <xdr:spPr bwMode="auto">
        <a:xfrm>
          <a:off x="2581275" y="2914650"/>
          <a:ext cx="11430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13</xdr:row>
      <xdr:rowOff>85725</xdr:rowOff>
    </xdr:from>
    <xdr:to>
      <xdr:col>14</xdr:col>
      <xdr:colOff>152400</xdr:colOff>
      <xdr:row>15</xdr:row>
      <xdr:rowOff>38100</xdr:rowOff>
    </xdr:to>
    <xdr:sp macro="" textlink="">
      <xdr:nvSpPr>
        <xdr:cNvPr id="18" name="Line 24">
          <a:extLst>
            <a:ext uri="{FF2B5EF4-FFF2-40B4-BE49-F238E27FC236}">
              <a16:creationId xmlns:a16="http://schemas.microsoft.com/office/drawing/2014/main" id="{00000000-0008-0000-1D00-000012000000}"/>
            </a:ext>
          </a:extLst>
        </xdr:cNvPr>
        <xdr:cNvSpPr>
          <a:spLocks noChangeShapeType="1"/>
        </xdr:cNvSpPr>
      </xdr:nvSpPr>
      <xdr:spPr bwMode="auto">
        <a:xfrm>
          <a:off x="2581275" y="2638425"/>
          <a:ext cx="0" cy="3143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13</xdr:row>
      <xdr:rowOff>76200</xdr:rowOff>
    </xdr:from>
    <xdr:to>
      <xdr:col>21</xdr:col>
      <xdr:colOff>19050</xdr:colOff>
      <xdr:row>15</xdr:row>
      <xdr:rowOff>28575</xdr:rowOff>
    </xdr:to>
    <xdr:sp macro="" textlink="">
      <xdr:nvSpPr>
        <xdr:cNvPr id="19" name="Line 25">
          <a:extLst>
            <a:ext uri="{FF2B5EF4-FFF2-40B4-BE49-F238E27FC236}">
              <a16:creationId xmlns:a16="http://schemas.microsoft.com/office/drawing/2014/main" id="{00000000-0008-0000-1D00-000013000000}"/>
            </a:ext>
          </a:extLst>
        </xdr:cNvPr>
        <xdr:cNvSpPr>
          <a:spLocks noChangeShapeType="1"/>
        </xdr:cNvSpPr>
      </xdr:nvSpPr>
      <xdr:spPr bwMode="auto">
        <a:xfrm>
          <a:off x="3714750" y="2628900"/>
          <a:ext cx="0" cy="3143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0</xdr:colOff>
      <xdr:row>18</xdr:row>
      <xdr:rowOff>0</xdr:rowOff>
    </xdr:from>
    <xdr:to>
      <xdr:col>22</xdr:col>
      <xdr:colOff>0</xdr:colOff>
      <xdr:row>25</xdr:row>
      <xdr:rowOff>161925</xdr:rowOff>
    </xdr:to>
    <xdr:sp macro="" textlink="">
      <xdr:nvSpPr>
        <xdr:cNvPr id="20" name="Rectangle 29">
          <a:extLst>
            <a:ext uri="{FF2B5EF4-FFF2-40B4-BE49-F238E27FC236}">
              <a16:creationId xmlns:a16="http://schemas.microsoft.com/office/drawing/2014/main" id="{00000000-0008-0000-1D00-000014000000}"/>
            </a:ext>
          </a:extLst>
        </xdr:cNvPr>
        <xdr:cNvSpPr>
          <a:spLocks noChangeArrowheads="1"/>
        </xdr:cNvSpPr>
      </xdr:nvSpPr>
      <xdr:spPr bwMode="auto">
        <a:xfrm>
          <a:off x="2428875" y="3457575"/>
          <a:ext cx="1447800" cy="1428750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171450</xdr:colOff>
      <xdr:row>18</xdr:row>
      <xdr:rowOff>0</xdr:rowOff>
    </xdr:from>
    <xdr:to>
      <xdr:col>21</xdr:col>
      <xdr:colOff>9525</xdr:colOff>
      <xdr:row>25</xdr:row>
      <xdr:rowOff>0</xdr:rowOff>
    </xdr:to>
    <xdr:sp macro="" textlink="">
      <xdr:nvSpPr>
        <xdr:cNvPr id="21" name="Rectangle 30">
          <a:extLst>
            <a:ext uri="{FF2B5EF4-FFF2-40B4-BE49-F238E27FC236}">
              <a16:creationId xmlns:a16="http://schemas.microsoft.com/office/drawing/2014/main" id="{00000000-0008-0000-1D00-000015000000}"/>
            </a:ext>
          </a:extLst>
        </xdr:cNvPr>
        <xdr:cNvSpPr>
          <a:spLocks noChangeArrowheads="1"/>
        </xdr:cNvSpPr>
      </xdr:nvSpPr>
      <xdr:spPr bwMode="auto">
        <a:xfrm>
          <a:off x="2600325" y="3457575"/>
          <a:ext cx="1104900" cy="1266825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104775</xdr:colOff>
      <xdr:row>24</xdr:row>
      <xdr:rowOff>171450</xdr:rowOff>
    </xdr:from>
    <xdr:to>
      <xdr:col>22</xdr:col>
      <xdr:colOff>85725</xdr:colOff>
      <xdr:row>25</xdr:row>
      <xdr:rowOff>171450</xdr:rowOff>
    </xdr:to>
    <xdr:sp macro="" textlink="">
      <xdr:nvSpPr>
        <xdr:cNvPr id="22" name="Rectangle 31">
          <a:extLst>
            <a:ext uri="{FF2B5EF4-FFF2-40B4-BE49-F238E27FC236}">
              <a16:creationId xmlns:a16="http://schemas.microsoft.com/office/drawing/2014/main" id="{00000000-0008-0000-1D00-000016000000}"/>
            </a:ext>
          </a:extLst>
        </xdr:cNvPr>
        <xdr:cNvSpPr>
          <a:spLocks noChangeArrowheads="1"/>
        </xdr:cNvSpPr>
      </xdr:nvSpPr>
      <xdr:spPr bwMode="auto">
        <a:xfrm>
          <a:off x="2352675" y="4714875"/>
          <a:ext cx="1609725" cy="180975"/>
        </a:xfrm>
        <a:prstGeom prst="rect">
          <a:avLst/>
        </a:prstGeom>
        <a:solidFill>
          <a:srgbClr val="FFFFFF"/>
        </a:solidFill>
        <a:ln w="63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16</xdr:col>
      <xdr:colOff>152400</xdr:colOff>
      <xdr:row>22</xdr:row>
      <xdr:rowOff>133350</xdr:rowOff>
    </xdr:from>
    <xdr:to>
      <xdr:col>19</xdr:col>
      <xdr:colOff>19050</xdr:colOff>
      <xdr:row>25</xdr:row>
      <xdr:rowOff>0</xdr:rowOff>
    </xdr:to>
    <xdr:sp macro="" textlink="">
      <xdr:nvSpPr>
        <xdr:cNvPr id="23" name="Oval 42">
          <a:extLst>
            <a:ext uri="{FF2B5EF4-FFF2-40B4-BE49-F238E27FC236}">
              <a16:creationId xmlns:a16="http://schemas.microsoft.com/office/drawing/2014/main" id="{00000000-0008-0000-1D00-000017000000}"/>
            </a:ext>
          </a:extLst>
        </xdr:cNvPr>
        <xdr:cNvSpPr>
          <a:spLocks noChangeArrowheads="1"/>
        </xdr:cNvSpPr>
      </xdr:nvSpPr>
      <xdr:spPr bwMode="auto">
        <a:xfrm>
          <a:off x="2943225" y="4314825"/>
          <a:ext cx="409575" cy="409575"/>
        </a:xfrm>
        <a:prstGeom prst="ellipse">
          <a:avLst/>
        </a:prstGeom>
        <a:solidFill>
          <a:srgbClr val="FFFFFF"/>
        </a:solidFill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171450</xdr:colOff>
      <xdr:row>23</xdr:row>
      <xdr:rowOff>57150</xdr:rowOff>
    </xdr:from>
    <xdr:to>
      <xdr:col>17</xdr:col>
      <xdr:colOff>76200</xdr:colOff>
      <xdr:row>24</xdr:row>
      <xdr:rowOff>171450</xdr:rowOff>
    </xdr:to>
    <xdr:sp macro="" textlink="">
      <xdr:nvSpPr>
        <xdr:cNvPr id="24" name="Freeform 46" descr="밝은 정방향 사선">
          <a:extLst>
            <a:ext uri="{FF2B5EF4-FFF2-40B4-BE49-F238E27FC236}">
              <a16:creationId xmlns:a16="http://schemas.microsoft.com/office/drawing/2014/main" id="{00000000-0008-0000-1D00-000018000000}"/>
            </a:ext>
          </a:extLst>
        </xdr:cNvPr>
        <xdr:cNvSpPr>
          <a:spLocks/>
        </xdr:cNvSpPr>
      </xdr:nvSpPr>
      <xdr:spPr bwMode="auto">
        <a:xfrm>
          <a:off x="2600325" y="4419600"/>
          <a:ext cx="447675" cy="295275"/>
        </a:xfrm>
        <a:custGeom>
          <a:avLst/>
          <a:gdLst>
            <a:gd name="T0" fmla="*/ 2147483647 w 47"/>
            <a:gd name="T1" fmla="*/ 2147483647 h 31"/>
            <a:gd name="T2" fmla="*/ 0 w 47"/>
            <a:gd name="T3" fmla="*/ 0 h 31"/>
            <a:gd name="T4" fmla="*/ 0 w 47"/>
            <a:gd name="T5" fmla="*/ 2147483647 h 31"/>
            <a:gd name="T6" fmla="*/ 2147483647 w 47"/>
            <a:gd name="T7" fmla="*/ 2147483647 h 31"/>
            <a:gd name="T8" fmla="*/ 2147483647 w 47"/>
            <a:gd name="T9" fmla="*/ 2147483647 h 31"/>
            <a:gd name="T10" fmla="*/ 2147483647 w 47"/>
            <a:gd name="T11" fmla="*/ 2147483647 h 31"/>
            <a:gd name="T12" fmla="*/ 2147483647 w 47"/>
            <a:gd name="T13" fmla="*/ 2147483647 h 31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7"/>
            <a:gd name="T22" fmla="*/ 0 h 31"/>
            <a:gd name="T23" fmla="*/ 47 w 47"/>
            <a:gd name="T24" fmla="*/ 31 h 31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7" h="31">
              <a:moveTo>
                <a:pt x="35" y="10"/>
              </a:moveTo>
              <a:lnTo>
                <a:pt x="0" y="0"/>
              </a:lnTo>
              <a:lnTo>
                <a:pt x="0" y="31"/>
              </a:lnTo>
              <a:lnTo>
                <a:pt x="47" y="31"/>
              </a:lnTo>
              <a:lnTo>
                <a:pt x="41" y="25"/>
              </a:lnTo>
              <a:lnTo>
                <a:pt x="36" y="17"/>
              </a:lnTo>
              <a:lnTo>
                <a:pt x="35" y="10"/>
              </a:lnTo>
              <a:close/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76200</xdr:colOff>
      <xdr:row>23</xdr:row>
      <xdr:rowOff>47625</xdr:rowOff>
    </xdr:from>
    <xdr:to>
      <xdr:col>21</xdr:col>
      <xdr:colOff>0</xdr:colOff>
      <xdr:row>24</xdr:row>
      <xdr:rowOff>171450</xdr:rowOff>
    </xdr:to>
    <xdr:sp macro="" textlink="">
      <xdr:nvSpPr>
        <xdr:cNvPr id="25" name="Freeform 47" descr="밝은 정방향 사선">
          <a:extLst>
            <a:ext uri="{FF2B5EF4-FFF2-40B4-BE49-F238E27FC236}">
              <a16:creationId xmlns:a16="http://schemas.microsoft.com/office/drawing/2014/main" id="{00000000-0008-0000-1D00-000019000000}"/>
            </a:ext>
          </a:extLst>
        </xdr:cNvPr>
        <xdr:cNvSpPr>
          <a:spLocks/>
        </xdr:cNvSpPr>
      </xdr:nvSpPr>
      <xdr:spPr bwMode="auto">
        <a:xfrm>
          <a:off x="3228975" y="4410075"/>
          <a:ext cx="466725" cy="304800"/>
        </a:xfrm>
        <a:custGeom>
          <a:avLst/>
          <a:gdLst>
            <a:gd name="T0" fmla="*/ 2147483647 w 49"/>
            <a:gd name="T1" fmla="*/ 2147483647 h 32"/>
            <a:gd name="T2" fmla="*/ 2147483647 w 49"/>
            <a:gd name="T3" fmla="*/ 0 h 32"/>
            <a:gd name="T4" fmla="*/ 2147483647 w 49"/>
            <a:gd name="T5" fmla="*/ 2147483647 h 32"/>
            <a:gd name="T6" fmla="*/ 0 w 49"/>
            <a:gd name="T7" fmla="*/ 2147483647 h 32"/>
            <a:gd name="T8" fmla="*/ 2147483647 w 49"/>
            <a:gd name="T9" fmla="*/ 2147483647 h 32"/>
            <a:gd name="T10" fmla="*/ 2147483647 w 49"/>
            <a:gd name="T11" fmla="*/ 2147483647 h 32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49"/>
            <a:gd name="T19" fmla="*/ 0 h 32"/>
            <a:gd name="T20" fmla="*/ 49 w 49"/>
            <a:gd name="T21" fmla="*/ 32 h 32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49" h="32">
              <a:moveTo>
                <a:pt x="13" y="11"/>
              </a:moveTo>
              <a:lnTo>
                <a:pt x="49" y="0"/>
              </a:lnTo>
              <a:lnTo>
                <a:pt x="49" y="32"/>
              </a:lnTo>
              <a:lnTo>
                <a:pt x="0" y="32"/>
              </a:lnTo>
              <a:lnTo>
                <a:pt x="11" y="23"/>
              </a:lnTo>
              <a:lnTo>
                <a:pt x="13" y="11"/>
              </a:lnTo>
              <a:close/>
            </a:path>
          </a:pathLst>
        </a:cu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24</xdr:col>
      <xdr:colOff>0</xdr:colOff>
      <xdr:row>21</xdr:row>
      <xdr:rowOff>152400</xdr:rowOff>
    </xdr:from>
    <xdr:to>
      <xdr:col>24</xdr:col>
      <xdr:colOff>0</xdr:colOff>
      <xdr:row>23</xdr:row>
      <xdr:rowOff>114300</xdr:rowOff>
    </xdr:to>
    <xdr:sp macro="" textlink="">
      <xdr:nvSpPr>
        <xdr:cNvPr id="26" name="Line 51">
          <a:extLst>
            <a:ext uri="{FF2B5EF4-FFF2-40B4-BE49-F238E27FC236}">
              <a16:creationId xmlns:a16="http://schemas.microsoft.com/office/drawing/2014/main" id="{00000000-0008-0000-1D00-00001A000000}"/>
            </a:ext>
          </a:extLst>
        </xdr:cNvPr>
        <xdr:cNvSpPr>
          <a:spLocks noChangeShapeType="1"/>
        </xdr:cNvSpPr>
      </xdr:nvSpPr>
      <xdr:spPr bwMode="auto">
        <a:xfrm>
          <a:off x="4333875" y="4152900"/>
          <a:ext cx="0" cy="3238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28</xdr:row>
      <xdr:rowOff>0</xdr:rowOff>
    </xdr:from>
    <xdr:to>
      <xdr:col>21</xdr:col>
      <xdr:colOff>28575</xdr:colOff>
      <xdr:row>28</xdr:row>
      <xdr:rowOff>0</xdr:rowOff>
    </xdr:to>
    <xdr:sp macro="" textlink="">
      <xdr:nvSpPr>
        <xdr:cNvPr id="27" name="Line 57"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>
          <a:spLocks noChangeShapeType="1"/>
        </xdr:cNvSpPr>
      </xdr:nvSpPr>
      <xdr:spPr bwMode="auto">
        <a:xfrm>
          <a:off x="2581275" y="5267325"/>
          <a:ext cx="11430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152400</xdr:colOff>
      <xdr:row>26</xdr:row>
      <xdr:rowOff>85725</xdr:rowOff>
    </xdr:from>
    <xdr:to>
      <xdr:col>14</xdr:col>
      <xdr:colOff>152400</xdr:colOff>
      <xdr:row>28</xdr:row>
      <xdr:rowOff>38100</xdr:rowOff>
    </xdr:to>
    <xdr:sp macro="" textlink="">
      <xdr:nvSpPr>
        <xdr:cNvPr id="28" name="Line 58">
          <a:extLst>
            <a:ext uri="{FF2B5EF4-FFF2-40B4-BE49-F238E27FC236}">
              <a16:creationId xmlns:a16="http://schemas.microsoft.com/office/drawing/2014/main" id="{00000000-0008-0000-1D00-00001C000000}"/>
            </a:ext>
          </a:extLst>
        </xdr:cNvPr>
        <xdr:cNvSpPr>
          <a:spLocks noChangeShapeType="1"/>
        </xdr:cNvSpPr>
      </xdr:nvSpPr>
      <xdr:spPr bwMode="auto">
        <a:xfrm>
          <a:off x="2581275" y="4991100"/>
          <a:ext cx="0" cy="3143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19050</xdr:colOff>
      <xdr:row>26</xdr:row>
      <xdr:rowOff>76200</xdr:rowOff>
    </xdr:from>
    <xdr:to>
      <xdr:col>21</xdr:col>
      <xdr:colOff>19050</xdr:colOff>
      <xdr:row>28</xdr:row>
      <xdr:rowOff>28575</xdr:rowOff>
    </xdr:to>
    <xdr:sp macro="" textlink="">
      <xdr:nvSpPr>
        <xdr:cNvPr id="29" name="Line 59">
          <a:extLst>
            <a:ext uri="{FF2B5EF4-FFF2-40B4-BE49-F238E27FC236}">
              <a16:creationId xmlns:a16="http://schemas.microsoft.com/office/drawing/2014/main" id="{00000000-0008-0000-1D00-00001D000000}"/>
            </a:ext>
          </a:extLst>
        </xdr:cNvPr>
        <xdr:cNvSpPr>
          <a:spLocks noChangeShapeType="1"/>
        </xdr:cNvSpPr>
      </xdr:nvSpPr>
      <xdr:spPr bwMode="auto">
        <a:xfrm>
          <a:off x="3714750" y="4981575"/>
          <a:ext cx="0" cy="3143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76200</xdr:colOff>
      <xdr:row>23</xdr:row>
      <xdr:rowOff>47625</xdr:rowOff>
    </xdr:from>
    <xdr:to>
      <xdr:col>24</xdr:col>
      <xdr:colOff>38100</xdr:colOff>
      <xdr:row>23</xdr:row>
      <xdr:rowOff>47625</xdr:rowOff>
    </xdr:to>
    <xdr:sp macro="" textlink="">
      <xdr:nvSpPr>
        <xdr:cNvPr id="30" name="Line 60">
          <a:extLst>
            <a:ext uri="{FF2B5EF4-FFF2-40B4-BE49-F238E27FC236}">
              <a16:creationId xmlns:a16="http://schemas.microsoft.com/office/drawing/2014/main" id="{00000000-0008-0000-1D00-00001E000000}"/>
            </a:ext>
          </a:extLst>
        </xdr:cNvPr>
        <xdr:cNvSpPr>
          <a:spLocks noChangeShapeType="1"/>
        </xdr:cNvSpPr>
      </xdr:nvSpPr>
      <xdr:spPr bwMode="auto">
        <a:xfrm>
          <a:off x="3952875" y="4410075"/>
          <a:ext cx="4191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31" name="Freeform 70"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>
          <a:spLocks/>
        </xdr:cNvSpPr>
      </xdr:nvSpPr>
      <xdr:spPr bwMode="auto">
        <a:xfrm>
          <a:off x="438150" y="6667500"/>
          <a:ext cx="1266825" cy="638175"/>
        </a:xfrm>
        <a:custGeom>
          <a:avLst/>
          <a:gdLst>
            <a:gd name="T0" fmla="*/ 0 w 133"/>
            <a:gd name="T1" fmla="*/ 0 h 67"/>
            <a:gd name="T2" fmla="*/ 2147483647 w 133"/>
            <a:gd name="T3" fmla="*/ 2147483647 h 67"/>
            <a:gd name="T4" fmla="*/ 2147483647 w 133"/>
            <a:gd name="T5" fmla="*/ 2147483647 h 67"/>
            <a:gd name="T6" fmla="*/ 0 60000 65536"/>
            <a:gd name="T7" fmla="*/ 0 60000 65536"/>
            <a:gd name="T8" fmla="*/ 0 60000 65536"/>
            <a:gd name="T9" fmla="*/ 0 w 133"/>
            <a:gd name="T10" fmla="*/ 0 h 67"/>
            <a:gd name="T11" fmla="*/ 133 w 133"/>
            <a:gd name="T12" fmla="*/ 67 h 6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3" h="67">
              <a:moveTo>
                <a:pt x="0" y="0"/>
              </a:moveTo>
              <a:lnTo>
                <a:pt x="76" y="67"/>
              </a:lnTo>
              <a:lnTo>
                <a:pt x="133" y="67"/>
              </a:lnTo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32" name="Freeform 71">
          <a:extLst>
            <a:ext uri="{FF2B5EF4-FFF2-40B4-BE49-F238E27FC236}">
              <a16:creationId xmlns:a16="http://schemas.microsoft.com/office/drawing/2014/main" id="{00000000-0008-0000-1D00-000020000000}"/>
            </a:ext>
          </a:extLst>
        </xdr:cNvPr>
        <xdr:cNvSpPr>
          <a:spLocks/>
        </xdr:cNvSpPr>
      </xdr:nvSpPr>
      <xdr:spPr bwMode="auto">
        <a:xfrm>
          <a:off x="438150" y="6667500"/>
          <a:ext cx="1266825" cy="409575"/>
        </a:xfrm>
        <a:custGeom>
          <a:avLst/>
          <a:gdLst>
            <a:gd name="T0" fmla="*/ 0 w 133"/>
            <a:gd name="T1" fmla="*/ 0 h 44"/>
            <a:gd name="T2" fmla="*/ 2147483647 w 133"/>
            <a:gd name="T3" fmla="*/ 2147483647 h 44"/>
            <a:gd name="T4" fmla="*/ 2147483647 w 133"/>
            <a:gd name="T5" fmla="*/ 2147483647 h 44"/>
            <a:gd name="T6" fmla="*/ 0 60000 65536"/>
            <a:gd name="T7" fmla="*/ 0 60000 65536"/>
            <a:gd name="T8" fmla="*/ 0 60000 65536"/>
            <a:gd name="T9" fmla="*/ 0 w 133"/>
            <a:gd name="T10" fmla="*/ 0 h 44"/>
            <a:gd name="T11" fmla="*/ 133 w 133"/>
            <a:gd name="T12" fmla="*/ 44 h 4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3" h="44">
              <a:moveTo>
                <a:pt x="0" y="0"/>
              </a:moveTo>
              <a:lnTo>
                <a:pt x="76" y="44"/>
              </a:lnTo>
              <a:lnTo>
                <a:pt x="133" y="44"/>
              </a:lnTo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7</xdr:col>
      <xdr:colOff>0</xdr:colOff>
      <xdr:row>36</xdr:row>
      <xdr:rowOff>0</xdr:rowOff>
    </xdr:to>
    <xdr:sp macro="" textlink="">
      <xdr:nvSpPr>
        <xdr:cNvPr id="33" name="Line 72">
          <a:extLst>
            <a:ext uri="{FF2B5EF4-FFF2-40B4-BE49-F238E27FC236}">
              <a16:creationId xmlns:a16="http://schemas.microsoft.com/office/drawing/2014/main" id="{00000000-0008-0000-1D00-000021000000}"/>
            </a:ext>
          </a:extLst>
        </xdr:cNvPr>
        <xdr:cNvSpPr>
          <a:spLocks noChangeShapeType="1"/>
        </xdr:cNvSpPr>
      </xdr:nvSpPr>
      <xdr:spPr bwMode="auto">
        <a:xfrm>
          <a:off x="438150" y="6667500"/>
          <a:ext cx="723900" cy="6381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76200</xdr:colOff>
      <xdr:row>23</xdr:row>
      <xdr:rowOff>85725</xdr:rowOff>
    </xdr:from>
    <xdr:to>
      <xdr:col>24</xdr:col>
      <xdr:colOff>38100</xdr:colOff>
      <xdr:row>23</xdr:row>
      <xdr:rowOff>85725</xdr:rowOff>
    </xdr:to>
    <xdr:sp macro="" textlink="">
      <xdr:nvSpPr>
        <xdr:cNvPr id="34" name="Line 73">
          <a:extLst>
            <a:ext uri="{FF2B5EF4-FFF2-40B4-BE49-F238E27FC236}">
              <a16:creationId xmlns:a16="http://schemas.microsoft.com/office/drawing/2014/main" id="{00000000-0008-0000-1D00-000022000000}"/>
            </a:ext>
          </a:extLst>
        </xdr:cNvPr>
        <xdr:cNvSpPr>
          <a:spLocks noChangeShapeType="1"/>
        </xdr:cNvSpPr>
      </xdr:nvSpPr>
      <xdr:spPr bwMode="auto">
        <a:xfrm>
          <a:off x="3952875" y="4448175"/>
          <a:ext cx="4191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171450</xdr:colOff>
      <xdr:row>23</xdr:row>
      <xdr:rowOff>57150</xdr:rowOff>
    </xdr:from>
    <xdr:to>
      <xdr:col>16</xdr:col>
      <xdr:colOff>152400</xdr:colOff>
      <xdr:row>23</xdr:row>
      <xdr:rowOff>161925</xdr:rowOff>
    </xdr:to>
    <xdr:sp macro="" textlink="">
      <xdr:nvSpPr>
        <xdr:cNvPr id="35" name="Freeform 75" descr="밝은 정방향 사선">
          <a:extLst>
            <a:ext uri="{FF2B5EF4-FFF2-40B4-BE49-F238E27FC236}">
              <a16:creationId xmlns:a16="http://schemas.microsoft.com/office/drawing/2014/main" id="{00000000-0008-0000-1D00-000023000000}"/>
            </a:ext>
          </a:extLst>
        </xdr:cNvPr>
        <xdr:cNvSpPr>
          <a:spLocks/>
        </xdr:cNvSpPr>
      </xdr:nvSpPr>
      <xdr:spPr bwMode="auto">
        <a:xfrm>
          <a:off x="2600325" y="4419600"/>
          <a:ext cx="342900" cy="104775"/>
        </a:xfrm>
        <a:custGeom>
          <a:avLst/>
          <a:gdLst>
            <a:gd name="T0" fmla="*/ 0 w 36"/>
            <a:gd name="T1" fmla="*/ 0 h 15"/>
            <a:gd name="T2" fmla="*/ 2147483647 w 36"/>
            <a:gd name="T3" fmla="*/ 2147483647 h 15"/>
            <a:gd name="T4" fmla="*/ 2147483647 w 36"/>
            <a:gd name="T5" fmla="*/ 2147483647 h 15"/>
            <a:gd name="T6" fmla="*/ 0 w 36"/>
            <a:gd name="T7" fmla="*/ 2147483647 h 15"/>
            <a:gd name="T8" fmla="*/ 0 w 36"/>
            <a:gd name="T9" fmla="*/ 0 h 1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6"/>
            <a:gd name="T16" fmla="*/ 0 h 15"/>
            <a:gd name="T17" fmla="*/ 36 w 36"/>
            <a:gd name="T18" fmla="*/ 15 h 1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6" h="15">
              <a:moveTo>
                <a:pt x="0" y="0"/>
              </a:moveTo>
              <a:lnTo>
                <a:pt x="36" y="9"/>
              </a:lnTo>
              <a:lnTo>
                <a:pt x="35" y="15"/>
              </a:lnTo>
              <a:lnTo>
                <a:pt x="0" y="6"/>
              </a:lnTo>
              <a:lnTo>
                <a:pt x="0" y="0"/>
              </a:lnTo>
              <a:close/>
            </a:path>
          </a:pathLst>
        </a:cu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47625</xdr:rowOff>
    </xdr:from>
    <xdr:to>
      <xdr:col>21</xdr:col>
      <xdr:colOff>0</xdr:colOff>
      <xdr:row>23</xdr:row>
      <xdr:rowOff>152400</xdr:rowOff>
    </xdr:to>
    <xdr:sp macro="" textlink="">
      <xdr:nvSpPr>
        <xdr:cNvPr id="36" name="Freeform 76" descr="밝은 정방향 사선">
          <a:extLst>
            <a:ext uri="{FF2B5EF4-FFF2-40B4-BE49-F238E27FC236}">
              <a16:creationId xmlns:a16="http://schemas.microsoft.com/office/drawing/2014/main" id="{00000000-0008-0000-1D00-000024000000}"/>
            </a:ext>
          </a:extLst>
        </xdr:cNvPr>
        <xdr:cNvSpPr>
          <a:spLocks/>
        </xdr:cNvSpPr>
      </xdr:nvSpPr>
      <xdr:spPr bwMode="auto">
        <a:xfrm flipV="1">
          <a:off x="3343275" y="4410075"/>
          <a:ext cx="352425" cy="104775"/>
        </a:xfrm>
        <a:custGeom>
          <a:avLst/>
          <a:gdLst>
            <a:gd name="T0" fmla="*/ 0 w 36"/>
            <a:gd name="T1" fmla="*/ 0 h 15"/>
            <a:gd name="T2" fmla="*/ 2147483647 w 36"/>
            <a:gd name="T3" fmla="*/ 2147483647 h 15"/>
            <a:gd name="T4" fmla="*/ 2147483647 w 36"/>
            <a:gd name="T5" fmla="*/ 2147483647 h 15"/>
            <a:gd name="T6" fmla="*/ 0 w 36"/>
            <a:gd name="T7" fmla="*/ 2147483647 h 15"/>
            <a:gd name="T8" fmla="*/ 0 w 36"/>
            <a:gd name="T9" fmla="*/ 0 h 1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36"/>
            <a:gd name="T16" fmla="*/ 0 h 15"/>
            <a:gd name="T17" fmla="*/ 36 w 36"/>
            <a:gd name="T18" fmla="*/ 15 h 15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36" h="15">
              <a:moveTo>
                <a:pt x="0" y="0"/>
              </a:moveTo>
              <a:lnTo>
                <a:pt x="36" y="9"/>
              </a:lnTo>
              <a:lnTo>
                <a:pt x="35" y="15"/>
              </a:lnTo>
              <a:lnTo>
                <a:pt x="0" y="6"/>
              </a:lnTo>
              <a:lnTo>
                <a:pt x="0" y="0"/>
              </a:lnTo>
              <a:close/>
            </a:path>
          </a:pathLst>
        </a:custGeom>
        <a:pattFill prst="ltUpDiag">
          <a:fgClr>
            <a:srgbClr val="000000"/>
          </a:fgClr>
          <a:bgClr>
            <a:srgbClr val="FFFFFF"/>
          </a:bgClr>
        </a:pattFill>
        <a:ln w="317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156882</xdr:colOff>
      <xdr:row>2</xdr:row>
      <xdr:rowOff>145676</xdr:rowOff>
    </xdr:from>
    <xdr:to>
      <xdr:col>7</xdr:col>
      <xdr:colOff>414618</xdr:colOff>
      <xdr:row>27</xdr:row>
      <xdr:rowOff>256492</xdr:rowOff>
    </xdr:to>
    <xdr:pic>
      <xdr:nvPicPr>
        <xdr:cNvPr id="2" name="그림 1" descr="3-1.wmf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36353" t="16196" r="28439" b="14897"/>
        <a:stretch>
          <a:fillRect/>
        </a:stretch>
      </xdr:blipFill>
      <xdr:spPr>
        <a:xfrm>
          <a:off x="156882" y="1041026"/>
          <a:ext cx="5591736" cy="6778316"/>
        </a:xfrm>
        <a:prstGeom prst="rect">
          <a:avLst/>
        </a:prstGeom>
      </xdr:spPr>
    </xdr:pic>
    <xdr:clientData/>
  </xdr:twoCellAnchor>
  <xdr:twoCellAnchor editAs="oneCell">
    <xdr:from>
      <xdr:col>8</xdr:col>
      <xdr:colOff>201706</xdr:colOff>
      <xdr:row>2</xdr:row>
      <xdr:rowOff>268939</xdr:rowOff>
    </xdr:from>
    <xdr:to>
      <xdr:col>15</xdr:col>
      <xdr:colOff>616324</xdr:colOff>
      <xdr:row>27</xdr:row>
      <xdr:rowOff>156397</xdr:rowOff>
    </xdr:to>
    <xdr:pic>
      <xdr:nvPicPr>
        <xdr:cNvPr id="3" name="그림 2" descr="11.오수인버트설치상세도.wmf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l="42312" t="17209" r="18099" b="28937"/>
        <a:stretch>
          <a:fillRect/>
        </a:stretch>
      </xdr:blipFill>
      <xdr:spPr>
        <a:xfrm>
          <a:off x="6297706" y="1164289"/>
          <a:ext cx="5748618" cy="65549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4</xdr:row>
      <xdr:rowOff>161925</xdr:rowOff>
    </xdr:from>
    <xdr:to>
      <xdr:col>13</xdr:col>
      <xdr:colOff>38100</xdr:colOff>
      <xdr:row>5</xdr:row>
      <xdr:rowOff>66675</xdr:rowOff>
    </xdr:to>
    <xdr:cxnSp macro="">
      <xdr:nvCxnSpPr>
        <xdr:cNvPr id="73" name="AutoShape 282">
          <a:extLst>
            <a:ext uri="{FF2B5EF4-FFF2-40B4-BE49-F238E27FC236}">
              <a16:creationId xmlns:a16="http://schemas.microsoft.com/office/drawing/2014/main" id="{00000000-0008-0000-1F00-000049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610850"/>
          <a:ext cx="0" cy="20955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8</xdr:row>
      <xdr:rowOff>257175</xdr:rowOff>
    </xdr:from>
    <xdr:to>
      <xdr:col>13</xdr:col>
      <xdr:colOff>38100</xdr:colOff>
      <xdr:row>9</xdr:row>
      <xdr:rowOff>190500</xdr:rowOff>
    </xdr:to>
    <xdr:cxnSp macro="">
      <xdr:nvCxnSpPr>
        <xdr:cNvPr id="74" name="AutoShape 283">
          <a:extLst>
            <a:ext uri="{FF2B5EF4-FFF2-40B4-BE49-F238E27FC236}">
              <a16:creationId xmlns:a16="http://schemas.microsoft.com/office/drawing/2014/main" id="{00000000-0008-0000-1F00-00004A000000}"/>
            </a:ext>
          </a:extLst>
        </xdr:cNvPr>
        <xdr:cNvCxnSpPr>
          <a:cxnSpLocks noChangeShapeType="1"/>
        </xdr:cNvCxnSpPr>
      </xdr:nvCxnSpPr>
      <xdr:spPr bwMode="auto">
        <a:xfrm>
          <a:off x="2276475" y="12030075"/>
          <a:ext cx="0" cy="409575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12</xdr:col>
      <xdr:colOff>9525</xdr:colOff>
      <xdr:row>4</xdr:row>
      <xdr:rowOff>161925</xdr:rowOff>
    </xdr:from>
    <xdr:to>
      <xdr:col>13</xdr:col>
      <xdr:colOff>38100</xdr:colOff>
      <xdr:row>4</xdr:row>
      <xdr:rowOff>161925</xdr:rowOff>
    </xdr:to>
    <xdr:cxnSp macro="">
      <xdr:nvCxnSpPr>
        <xdr:cNvPr id="75" name="AutoShape 284">
          <a:extLst>
            <a:ext uri="{FF2B5EF4-FFF2-40B4-BE49-F238E27FC236}">
              <a16:creationId xmlns:a16="http://schemas.microsoft.com/office/drawing/2014/main" id="{00000000-0008-0000-1F00-00004B000000}"/>
            </a:ext>
          </a:extLst>
        </xdr:cNvPr>
        <xdr:cNvCxnSpPr>
          <a:cxnSpLocks noChangeShapeType="1"/>
        </xdr:cNvCxnSpPr>
      </xdr:nvCxnSpPr>
      <xdr:spPr bwMode="auto">
        <a:xfrm flipH="1">
          <a:off x="2085975" y="10610850"/>
          <a:ext cx="19050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12</xdr:col>
      <xdr:colOff>0</xdr:colOff>
      <xdr:row>9</xdr:row>
      <xdr:rowOff>190500</xdr:rowOff>
    </xdr:from>
    <xdr:to>
      <xdr:col>13</xdr:col>
      <xdr:colOff>38100</xdr:colOff>
      <xdr:row>9</xdr:row>
      <xdr:rowOff>190500</xdr:rowOff>
    </xdr:to>
    <xdr:cxnSp macro="">
      <xdr:nvCxnSpPr>
        <xdr:cNvPr id="76" name="AutoShape 285">
          <a:extLst>
            <a:ext uri="{FF2B5EF4-FFF2-40B4-BE49-F238E27FC236}">
              <a16:creationId xmlns:a16="http://schemas.microsoft.com/office/drawing/2014/main" id="{00000000-0008-0000-1F00-00004C000000}"/>
            </a:ext>
          </a:extLst>
        </xdr:cNvPr>
        <xdr:cNvCxnSpPr>
          <a:cxnSpLocks noChangeShapeType="1"/>
        </xdr:cNvCxnSpPr>
      </xdr:nvCxnSpPr>
      <xdr:spPr bwMode="auto">
        <a:xfrm flipH="1">
          <a:off x="2076450" y="12439650"/>
          <a:ext cx="20002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17</xdr:col>
      <xdr:colOff>57150</xdr:colOff>
      <xdr:row>7</xdr:row>
      <xdr:rowOff>9525</xdr:rowOff>
    </xdr:from>
    <xdr:to>
      <xdr:col>19</xdr:col>
      <xdr:colOff>66675</xdr:colOff>
      <xdr:row>7</xdr:row>
      <xdr:rowOff>9525</xdr:rowOff>
    </xdr:to>
    <xdr:cxnSp macro="">
      <xdr:nvCxnSpPr>
        <xdr:cNvPr id="77" name="AutoShape 286">
          <a:extLst>
            <a:ext uri="{FF2B5EF4-FFF2-40B4-BE49-F238E27FC236}">
              <a16:creationId xmlns:a16="http://schemas.microsoft.com/office/drawing/2014/main" id="{00000000-0008-0000-1F00-00004D000000}"/>
            </a:ext>
          </a:extLst>
        </xdr:cNvPr>
        <xdr:cNvCxnSpPr>
          <a:cxnSpLocks noChangeShapeType="1"/>
        </xdr:cNvCxnSpPr>
      </xdr:nvCxnSpPr>
      <xdr:spPr bwMode="auto">
        <a:xfrm>
          <a:off x="2943225" y="11477625"/>
          <a:ext cx="33337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19050</xdr:colOff>
      <xdr:row>7</xdr:row>
      <xdr:rowOff>9525</xdr:rowOff>
    </xdr:to>
    <xdr:cxnSp macro="">
      <xdr:nvCxnSpPr>
        <xdr:cNvPr id="78" name="AutoShape 287">
          <a:extLst>
            <a:ext uri="{FF2B5EF4-FFF2-40B4-BE49-F238E27FC236}">
              <a16:creationId xmlns:a16="http://schemas.microsoft.com/office/drawing/2014/main" id="{00000000-0008-0000-1F00-00004E000000}"/>
            </a:ext>
          </a:extLst>
        </xdr:cNvPr>
        <xdr:cNvCxnSpPr>
          <a:cxnSpLocks noChangeShapeType="1"/>
        </xdr:cNvCxnSpPr>
      </xdr:nvCxnSpPr>
      <xdr:spPr bwMode="auto">
        <a:xfrm flipH="1">
          <a:off x="1314450" y="11477625"/>
          <a:ext cx="29527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19</xdr:col>
      <xdr:colOff>66675</xdr:colOff>
      <xdr:row>6</xdr:row>
      <xdr:rowOff>152400</xdr:rowOff>
    </xdr:from>
    <xdr:to>
      <xdr:col>19</xdr:col>
      <xdr:colOff>66675</xdr:colOff>
      <xdr:row>7</xdr:row>
      <xdr:rowOff>9525</xdr:rowOff>
    </xdr:to>
    <xdr:cxnSp macro="">
      <xdr:nvCxnSpPr>
        <xdr:cNvPr id="79" name="AutoShape 288">
          <a:extLst>
            <a:ext uri="{FF2B5EF4-FFF2-40B4-BE49-F238E27FC236}">
              <a16:creationId xmlns:a16="http://schemas.microsoft.com/office/drawing/2014/main" id="{00000000-0008-0000-1F00-00004F000000}"/>
            </a:ext>
          </a:extLst>
        </xdr:cNvPr>
        <xdr:cNvCxnSpPr>
          <a:cxnSpLocks noChangeShapeType="1"/>
        </xdr:cNvCxnSpPr>
      </xdr:nvCxnSpPr>
      <xdr:spPr bwMode="auto">
        <a:xfrm flipV="1">
          <a:off x="3276600" y="11315700"/>
          <a:ext cx="0" cy="161925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7</xdr:col>
      <xdr:colOff>66675</xdr:colOff>
      <xdr:row>6</xdr:row>
      <xdr:rowOff>161925</xdr:rowOff>
    </xdr:from>
    <xdr:to>
      <xdr:col>7</xdr:col>
      <xdr:colOff>66675</xdr:colOff>
      <xdr:row>7</xdr:row>
      <xdr:rowOff>9525</xdr:rowOff>
    </xdr:to>
    <xdr:cxnSp macro="">
      <xdr:nvCxnSpPr>
        <xdr:cNvPr id="80" name="AutoShape 289">
          <a:extLst>
            <a:ext uri="{FF2B5EF4-FFF2-40B4-BE49-F238E27FC236}">
              <a16:creationId xmlns:a16="http://schemas.microsoft.com/office/drawing/2014/main" id="{00000000-0008-0000-1F00-000050000000}"/>
            </a:ext>
          </a:extLst>
        </xdr:cNvPr>
        <xdr:cNvCxnSpPr>
          <a:cxnSpLocks noChangeShapeType="1"/>
        </xdr:cNvCxnSpPr>
      </xdr:nvCxnSpPr>
      <xdr:spPr bwMode="auto">
        <a:xfrm flipV="1">
          <a:off x="1314450" y="11325225"/>
          <a:ext cx="0" cy="15240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9</xdr:col>
      <xdr:colOff>9525</xdr:colOff>
      <xdr:row>6</xdr:row>
      <xdr:rowOff>9525</xdr:rowOff>
    </xdr:from>
    <xdr:to>
      <xdr:col>17</xdr:col>
      <xdr:colOff>19050</xdr:colOff>
      <xdr:row>6</xdr:row>
      <xdr:rowOff>123825</xdr:rowOff>
    </xdr:to>
    <xdr:sp macro="" textlink="">
      <xdr:nvSpPr>
        <xdr:cNvPr id="81" name="Line 290">
          <a:extLst>
            <a:ext uri="{FF2B5EF4-FFF2-40B4-BE49-F238E27FC236}">
              <a16:creationId xmlns:a16="http://schemas.microsoft.com/office/drawing/2014/main" id="{00000000-0008-0000-1F00-000051000000}"/>
            </a:ext>
          </a:extLst>
        </xdr:cNvPr>
        <xdr:cNvSpPr>
          <a:spLocks noChangeShapeType="1"/>
        </xdr:cNvSpPr>
      </xdr:nvSpPr>
      <xdr:spPr bwMode="auto">
        <a:xfrm flipV="1">
          <a:off x="1600200" y="11172825"/>
          <a:ext cx="1304925" cy="114300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9</xdr:col>
      <xdr:colOff>9525</xdr:colOff>
      <xdr:row>7</xdr:row>
      <xdr:rowOff>171450</xdr:rowOff>
    </xdr:from>
    <xdr:to>
      <xdr:col>17</xdr:col>
      <xdr:colOff>9525</xdr:colOff>
      <xdr:row>8</xdr:row>
      <xdr:rowOff>9525</xdr:rowOff>
    </xdr:to>
    <xdr:sp macro="" textlink="">
      <xdr:nvSpPr>
        <xdr:cNvPr id="82" name="Line 291">
          <a:extLst>
            <a:ext uri="{FF2B5EF4-FFF2-40B4-BE49-F238E27FC236}">
              <a16:creationId xmlns:a16="http://schemas.microsoft.com/office/drawing/2014/main" id="{00000000-0008-0000-1F00-000052000000}"/>
            </a:ext>
          </a:extLst>
        </xdr:cNvPr>
        <xdr:cNvSpPr>
          <a:spLocks noChangeShapeType="1"/>
        </xdr:cNvSpPr>
      </xdr:nvSpPr>
      <xdr:spPr bwMode="auto">
        <a:xfrm>
          <a:off x="1600200" y="11639550"/>
          <a:ext cx="1295400" cy="142875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66675</xdr:colOff>
      <xdr:row>5</xdr:row>
      <xdr:rowOff>76200</xdr:rowOff>
    </xdr:from>
    <xdr:to>
      <xdr:col>7</xdr:col>
      <xdr:colOff>9525</xdr:colOff>
      <xdr:row>5</xdr:row>
      <xdr:rowOff>76200</xdr:rowOff>
    </xdr:to>
    <xdr:cxnSp macro="">
      <xdr:nvCxnSpPr>
        <xdr:cNvPr id="83" name="AutoShape 292">
          <a:extLst>
            <a:ext uri="{FF2B5EF4-FFF2-40B4-BE49-F238E27FC236}">
              <a16:creationId xmlns:a16="http://schemas.microsoft.com/office/drawing/2014/main" id="{00000000-0008-0000-1F00-000053000000}"/>
            </a:ext>
          </a:extLst>
        </xdr:cNvPr>
        <xdr:cNvCxnSpPr>
          <a:cxnSpLocks noChangeShapeType="1"/>
        </xdr:cNvCxnSpPr>
      </xdr:nvCxnSpPr>
      <xdr:spPr bwMode="auto">
        <a:xfrm flipH="1">
          <a:off x="504825" y="10829925"/>
          <a:ext cx="75247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2</xdr:col>
      <xdr:colOff>66675</xdr:colOff>
      <xdr:row>8</xdr:row>
      <xdr:rowOff>257175</xdr:rowOff>
    </xdr:from>
    <xdr:to>
      <xdr:col>7</xdr:col>
      <xdr:colOff>0</xdr:colOff>
      <xdr:row>8</xdr:row>
      <xdr:rowOff>257175</xdr:rowOff>
    </xdr:to>
    <xdr:cxnSp macro="">
      <xdr:nvCxnSpPr>
        <xdr:cNvPr id="84" name="AutoShape 293">
          <a:extLst>
            <a:ext uri="{FF2B5EF4-FFF2-40B4-BE49-F238E27FC236}">
              <a16:creationId xmlns:a16="http://schemas.microsoft.com/office/drawing/2014/main" id="{00000000-0008-0000-1F00-000054000000}"/>
            </a:ext>
          </a:extLst>
        </xdr:cNvPr>
        <xdr:cNvCxnSpPr>
          <a:cxnSpLocks noChangeShapeType="1"/>
        </xdr:cNvCxnSpPr>
      </xdr:nvCxnSpPr>
      <xdr:spPr bwMode="auto">
        <a:xfrm flipH="1">
          <a:off x="504825" y="12030075"/>
          <a:ext cx="74295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47625</xdr:colOff>
      <xdr:row>6</xdr:row>
      <xdr:rowOff>114300</xdr:rowOff>
    </xdr:from>
    <xdr:to>
      <xdr:col>7</xdr:col>
      <xdr:colOff>0</xdr:colOff>
      <xdr:row>6</xdr:row>
      <xdr:rowOff>114300</xdr:rowOff>
    </xdr:to>
    <xdr:sp macro="" textlink="">
      <xdr:nvSpPr>
        <xdr:cNvPr id="85" name="Line 294">
          <a:extLst>
            <a:ext uri="{FF2B5EF4-FFF2-40B4-BE49-F238E27FC236}">
              <a16:creationId xmlns:a16="http://schemas.microsoft.com/office/drawing/2014/main" id="{00000000-0008-0000-1F00-000055000000}"/>
            </a:ext>
          </a:extLst>
        </xdr:cNvPr>
        <xdr:cNvSpPr>
          <a:spLocks noChangeShapeType="1"/>
        </xdr:cNvSpPr>
      </xdr:nvSpPr>
      <xdr:spPr bwMode="auto">
        <a:xfrm flipH="1">
          <a:off x="809625" y="11277600"/>
          <a:ext cx="4381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7</xdr:row>
      <xdr:rowOff>180975</xdr:rowOff>
    </xdr:from>
    <xdr:to>
      <xdr:col>7</xdr:col>
      <xdr:colOff>0</xdr:colOff>
      <xdr:row>7</xdr:row>
      <xdr:rowOff>180975</xdr:rowOff>
    </xdr:to>
    <xdr:sp macro="" textlink="">
      <xdr:nvSpPr>
        <xdr:cNvPr id="86" name="Line 295">
          <a:extLst>
            <a:ext uri="{FF2B5EF4-FFF2-40B4-BE49-F238E27FC236}">
              <a16:creationId xmlns:a16="http://schemas.microsoft.com/office/drawing/2014/main" id="{00000000-0008-0000-1F00-000056000000}"/>
            </a:ext>
          </a:extLst>
        </xdr:cNvPr>
        <xdr:cNvSpPr>
          <a:spLocks noChangeShapeType="1"/>
        </xdr:cNvSpPr>
      </xdr:nvSpPr>
      <xdr:spPr bwMode="auto">
        <a:xfrm flipH="1">
          <a:off x="809625" y="11649075"/>
          <a:ext cx="4381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</xdr:row>
      <xdr:rowOff>66675</xdr:rowOff>
    </xdr:from>
    <xdr:to>
      <xdr:col>5</xdr:col>
      <xdr:colOff>0</xdr:colOff>
      <xdr:row>6</xdr:row>
      <xdr:rowOff>114300</xdr:rowOff>
    </xdr:to>
    <xdr:sp macro="" textlink="">
      <xdr:nvSpPr>
        <xdr:cNvPr id="87" name="Line 296">
          <a:extLst>
            <a:ext uri="{FF2B5EF4-FFF2-40B4-BE49-F238E27FC236}">
              <a16:creationId xmlns:a16="http://schemas.microsoft.com/office/drawing/2014/main" id="{00000000-0008-0000-1F00-000057000000}"/>
            </a:ext>
          </a:extLst>
        </xdr:cNvPr>
        <xdr:cNvSpPr>
          <a:spLocks noChangeShapeType="1"/>
        </xdr:cNvSpPr>
      </xdr:nvSpPr>
      <xdr:spPr bwMode="auto">
        <a:xfrm>
          <a:off x="923925" y="10820400"/>
          <a:ext cx="0" cy="45720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0</xdr:colOff>
      <xdr:row>6</xdr:row>
      <xdr:rowOff>114300</xdr:rowOff>
    </xdr:from>
    <xdr:to>
      <xdr:col>5</xdr:col>
      <xdr:colOff>0</xdr:colOff>
      <xdr:row>7</xdr:row>
      <xdr:rowOff>180975</xdr:rowOff>
    </xdr:to>
    <xdr:sp macro="" textlink="">
      <xdr:nvSpPr>
        <xdr:cNvPr id="88" name="Line 297">
          <a:extLst>
            <a:ext uri="{FF2B5EF4-FFF2-40B4-BE49-F238E27FC236}">
              <a16:creationId xmlns:a16="http://schemas.microsoft.com/office/drawing/2014/main" id="{00000000-0008-0000-1F00-000058000000}"/>
            </a:ext>
          </a:extLst>
        </xdr:cNvPr>
        <xdr:cNvSpPr>
          <a:spLocks noChangeShapeType="1"/>
        </xdr:cNvSpPr>
      </xdr:nvSpPr>
      <xdr:spPr bwMode="auto">
        <a:xfrm>
          <a:off x="923925" y="11277600"/>
          <a:ext cx="0" cy="3714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0</xdr:colOff>
      <xdr:row>7</xdr:row>
      <xdr:rowOff>180975</xdr:rowOff>
    </xdr:from>
    <xdr:to>
      <xdr:col>5</xdr:col>
      <xdr:colOff>0</xdr:colOff>
      <xdr:row>8</xdr:row>
      <xdr:rowOff>257175</xdr:rowOff>
    </xdr:to>
    <xdr:sp macro="" textlink="">
      <xdr:nvSpPr>
        <xdr:cNvPr id="89" name="Line 298">
          <a:extLst>
            <a:ext uri="{FF2B5EF4-FFF2-40B4-BE49-F238E27FC236}">
              <a16:creationId xmlns:a16="http://schemas.microsoft.com/office/drawing/2014/main" id="{00000000-0008-0000-1F00-000059000000}"/>
            </a:ext>
          </a:extLst>
        </xdr:cNvPr>
        <xdr:cNvSpPr>
          <a:spLocks noChangeShapeType="1"/>
        </xdr:cNvSpPr>
      </xdr:nvSpPr>
      <xdr:spPr bwMode="auto">
        <a:xfrm>
          <a:off x="923925" y="11649075"/>
          <a:ext cx="0" cy="38100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0</xdr:colOff>
      <xdr:row>5</xdr:row>
      <xdr:rowOff>66675</xdr:rowOff>
    </xdr:from>
    <xdr:to>
      <xdr:col>3</xdr:col>
      <xdr:colOff>0</xdr:colOff>
      <xdr:row>8</xdr:row>
      <xdr:rowOff>257175</xdr:rowOff>
    </xdr:to>
    <xdr:sp macro="" textlink="">
      <xdr:nvSpPr>
        <xdr:cNvPr id="90" name="Line 299">
          <a:extLst>
            <a:ext uri="{FF2B5EF4-FFF2-40B4-BE49-F238E27FC236}">
              <a16:creationId xmlns:a16="http://schemas.microsoft.com/office/drawing/2014/main" id="{00000000-0008-0000-1F00-00005A000000}"/>
            </a:ext>
          </a:extLst>
        </xdr:cNvPr>
        <xdr:cNvSpPr>
          <a:spLocks noChangeShapeType="1"/>
        </xdr:cNvSpPr>
      </xdr:nvSpPr>
      <xdr:spPr bwMode="auto">
        <a:xfrm>
          <a:off x="600075" y="10820400"/>
          <a:ext cx="0" cy="12096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20</xdr:col>
      <xdr:colOff>0</xdr:colOff>
      <xdr:row>5</xdr:row>
      <xdr:rowOff>66675</xdr:rowOff>
    </xdr:from>
    <xdr:to>
      <xdr:col>24</xdr:col>
      <xdr:colOff>47625</xdr:colOff>
      <xdr:row>5</xdr:row>
      <xdr:rowOff>66675</xdr:rowOff>
    </xdr:to>
    <xdr:cxnSp macro="">
      <xdr:nvCxnSpPr>
        <xdr:cNvPr id="91" name="AutoShape 300">
          <a:extLst>
            <a:ext uri="{FF2B5EF4-FFF2-40B4-BE49-F238E27FC236}">
              <a16:creationId xmlns:a16="http://schemas.microsoft.com/office/drawing/2014/main" id="{00000000-0008-0000-1F00-00005B000000}"/>
            </a:ext>
          </a:extLst>
        </xdr:cNvPr>
        <xdr:cNvCxnSpPr>
          <a:cxnSpLocks noChangeShapeType="1"/>
        </xdr:cNvCxnSpPr>
      </xdr:nvCxnSpPr>
      <xdr:spPr bwMode="auto">
        <a:xfrm>
          <a:off x="3371850" y="10820400"/>
          <a:ext cx="69532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20</xdr:col>
      <xdr:colOff>0</xdr:colOff>
      <xdr:row>8</xdr:row>
      <xdr:rowOff>257175</xdr:rowOff>
    </xdr:from>
    <xdr:to>
      <xdr:col>24</xdr:col>
      <xdr:colOff>47625</xdr:colOff>
      <xdr:row>8</xdr:row>
      <xdr:rowOff>257175</xdr:rowOff>
    </xdr:to>
    <xdr:cxnSp macro="">
      <xdr:nvCxnSpPr>
        <xdr:cNvPr id="92" name="AutoShape 301">
          <a:extLst>
            <a:ext uri="{FF2B5EF4-FFF2-40B4-BE49-F238E27FC236}">
              <a16:creationId xmlns:a16="http://schemas.microsoft.com/office/drawing/2014/main" id="{00000000-0008-0000-1F00-00005C000000}"/>
            </a:ext>
          </a:extLst>
        </xdr:cNvPr>
        <xdr:cNvCxnSpPr>
          <a:cxnSpLocks noChangeShapeType="1"/>
        </xdr:cNvCxnSpPr>
      </xdr:nvCxnSpPr>
      <xdr:spPr bwMode="auto">
        <a:xfrm>
          <a:off x="3371850" y="12030075"/>
          <a:ext cx="69532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20</xdr:col>
      <xdr:colOff>0</xdr:colOff>
      <xdr:row>6</xdr:row>
      <xdr:rowOff>19050</xdr:rowOff>
    </xdr:from>
    <xdr:to>
      <xdr:col>22</xdr:col>
      <xdr:colOff>57150</xdr:colOff>
      <xdr:row>6</xdr:row>
      <xdr:rowOff>19050</xdr:rowOff>
    </xdr:to>
    <xdr:sp macro="" textlink="">
      <xdr:nvSpPr>
        <xdr:cNvPr id="93" name="Line 302">
          <a:extLst>
            <a:ext uri="{FF2B5EF4-FFF2-40B4-BE49-F238E27FC236}">
              <a16:creationId xmlns:a16="http://schemas.microsoft.com/office/drawing/2014/main" id="{00000000-0008-0000-1F00-00005D000000}"/>
            </a:ext>
          </a:extLst>
        </xdr:cNvPr>
        <xdr:cNvSpPr>
          <a:spLocks noChangeShapeType="1"/>
        </xdr:cNvSpPr>
      </xdr:nvSpPr>
      <xdr:spPr bwMode="auto">
        <a:xfrm>
          <a:off x="3371850" y="11182350"/>
          <a:ext cx="3810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8</xdr:row>
      <xdr:rowOff>0</xdr:rowOff>
    </xdr:from>
    <xdr:to>
      <xdr:col>22</xdr:col>
      <xdr:colOff>57150</xdr:colOff>
      <xdr:row>8</xdr:row>
      <xdr:rowOff>0</xdr:rowOff>
    </xdr:to>
    <xdr:sp macro="" textlink="">
      <xdr:nvSpPr>
        <xdr:cNvPr id="94" name="Line 303">
          <a:extLst>
            <a:ext uri="{FF2B5EF4-FFF2-40B4-BE49-F238E27FC236}">
              <a16:creationId xmlns:a16="http://schemas.microsoft.com/office/drawing/2014/main" id="{00000000-0008-0000-1F00-00005E000000}"/>
            </a:ext>
          </a:extLst>
        </xdr:cNvPr>
        <xdr:cNvSpPr>
          <a:spLocks noChangeShapeType="1"/>
        </xdr:cNvSpPr>
      </xdr:nvSpPr>
      <xdr:spPr bwMode="auto">
        <a:xfrm>
          <a:off x="3371850" y="11772900"/>
          <a:ext cx="3810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5</xdr:row>
      <xdr:rowOff>66675</xdr:rowOff>
    </xdr:from>
    <xdr:to>
      <xdr:col>22</xdr:col>
      <xdr:colOff>0</xdr:colOff>
      <xdr:row>6</xdr:row>
      <xdr:rowOff>19050</xdr:rowOff>
    </xdr:to>
    <xdr:sp macro="" textlink="">
      <xdr:nvSpPr>
        <xdr:cNvPr id="95" name="Line 304">
          <a:extLst>
            <a:ext uri="{FF2B5EF4-FFF2-40B4-BE49-F238E27FC236}">
              <a16:creationId xmlns:a16="http://schemas.microsoft.com/office/drawing/2014/main" id="{00000000-0008-0000-1F00-00005F000000}"/>
            </a:ext>
          </a:extLst>
        </xdr:cNvPr>
        <xdr:cNvSpPr>
          <a:spLocks noChangeShapeType="1"/>
        </xdr:cNvSpPr>
      </xdr:nvSpPr>
      <xdr:spPr bwMode="auto">
        <a:xfrm>
          <a:off x="3695700" y="10820400"/>
          <a:ext cx="0" cy="36195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22</xdr:col>
      <xdr:colOff>0</xdr:colOff>
      <xdr:row>6</xdr:row>
      <xdr:rowOff>19050</xdr:rowOff>
    </xdr:from>
    <xdr:to>
      <xdr:col>22</xdr:col>
      <xdr:colOff>0</xdr:colOff>
      <xdr:row>8</xdr:row>
      <xdr:rowOff>0</xdr:rowOff>
    </xdr:to>
    <xdr:sp macro="" textlink="">
      <xdr:nvSpPr>
        <xdr:cNvPr id="96" name="Line 305">
          <a:extLst>
            <a:ext uri="{FF2B5EF4-FFF2-40B4-BE49-F238E27FC236}">
              <a16:creationId xmlns:a16="http://schemas.microsoft.com/office/drawing/2014/main" id="{00000000-0008-0000-1F00-000060000000}"/>
            </a:ext>
          </a:extLst>
        </xdr:cNvPr>
        <xdr:cNvSpPr>
          <a:spLocks noChangeShapeType="1"/>
        </xdr:cNvSpPr>
      </xdr:nvSpPr>
      <xdr:spPr bwMode="auto">
        <a:xfrm>
          <a:off x="3695700" y="11182350"/>
          <a:ext cx="0" cy="59055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8</xdr:row>
      <xdr:rowOff>257175</xdr:rowOff>
    </xdr:to>
    <xdr:sp macro="" textlink="">
      <xdr:nvSpPr>
        <xdr:cNvPr id="97" name="Line 306">
          <a:extLst>
            <a:ext uri="{FF2B5EF4-FFF2-40B4-BE49-F238E27FC236}">
              <a16:creationId xmlns:a16="http://schemas.microsoft.com/office/drawing/2014/main" id="{00000000-0008-0000-1F00-000061000000}"/>
            </a:ext>
          </a:extLst>
        </xdr:cNvPr>
        <xdr:cNvSpPr>
          <a:spLocks noChangeShapeType="1"/>
        </xdr:cNvSpPr>
      </xdr:nvSpPr>
      <xdr:spPr bwMode="auto">
        <a:xfrm>
          <a:off x="3695700" y="11772900"/>
          <a:ext cx="0" cy="2571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24</xdr:col>
      <xdr:colOff>0</xdr:colOff>
      <xdr:row>5</xdr:row>
      <xdr:rowOff>66675</xdr:rowOff>
    </xdr:from>
    <xdr:to>
      <xdr:col>24</xdr:col>
      <xdr:colOff>0</xdr:colOff>
      <xdr:row>8</xdr:row>
      <xdr:rowOff>257175</xdr:rowOff>
    </xdr:to>
    <xdr:sp macro="" textlink="">
      <xdr:nvSpPr>
        <xdr:cNvPr id="98" name="Line 307">
          <a:extLst>
            <a:ext uri="{FF2B5EF4-FFF2-40B4-BE49-F238E27FC236}">
              <a16:creationId xmlns:a16="http://schemas.microsoft.com/office/drawing/2014/main" id="{00000000-0008-0000-1F00-000062000000}"/>
            </a:ext>
          </a:extLst>
        </xdr:cNvPr>
        <xdr:cNvSpPr>
          <a:spLocks noChangeShapeType="1"/>
        </xdr:cNvSpPr>
      </xdr:nvSpPr>
      <xdr:spPr bwMode="auto">
        <a:xfrm>
          <a:off x="4019550" y="10820400"/>
          <a:ext cx="0" cy="12096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9</xdr:col>
      <xdr:colOff>19050</xdr:colOff>
      <xdr:row>17</xdr:row>
      <xdr:rowOff>0</xdr:rowOff>
    </xdr:from>
    <xdr:to>
      <xdr:col>17</xdr:col>
      <xdr:colOff>57150</xdr:colOff>
      <xdr:row>17</xdr:row>
      <xdr:rowOff>0</xdr:rowOff>
    </xdr:to>
    <xdr:sp macro="" textlink="">
      <xdr:nvSpPr>
        <xdr:cNvPr id="99" name="Line 308">
          <a:extLst>
            <a:ext uri="{FF2B5EF4-FFF2-40B4-BE49-F238E27FC236}">
              <a16:creationId xmlns:a16="http://schemas.microsoft.com/office/drawing/2014/main" id="{00000000-0008-0000-1F00-000063000000}"/>
            </a:ext>
          </a:extLst>
        </xdr:cNvPr>
        <xdr:cNvSpPr>
          <a:spLocks noChangeShapeType="1"/>
        </xdr:cNvSpPr>
      </xdr:nvSpPr>
      <xdr:spPr bwMode="auto">
        <a:xfrm>
          <a:off x="1609725" y="14811375"/>
          <a:ext cx="1333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15</xdr:row>
      <xdr:rowOff>238125</xdr:rowOff>
    </xdr:from>
    <xdr:to>
      <xdr:col>17</xdr:col>
      <xdr:colOff>57150</xdr:colOff>
      <xdr:row>15</xdr:row>
      <xdr:rowOff>285750</xdr:rowOff>
    </xdr:to>
    <xdr:sp macro="" textlink="">
      <xdr:nvSpPr>
        <xdr:cNvPr id="100" name="Line 309">
          <a:extLst>
            <a:ext uri="{FF2B5EF4-FFF2-40B4-BE49-F238E27FC236}">
              <a16:creationId xmlns:a16="http://schemas.microsoft.com/office/drawing/2014/main" id="{00000000-0008-0000-1F00-000064000000}"/>
            </a:ext>
          </a:extLst>
        </xdr:cNvPr>
        <xdr:cNvSpPr>
          <a:spLocks noChangeShapeType="1"/>
        </xdr:cNvSpPr>
      </xdr:nvSpPr>
      <xdr:spPr bwMode="auto">
        <a:xfrm flipH="1">
          <a:off x="2647950" y="14316075"/>
          <a:ext cx="295275" cy="476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15</xdr:row>
      <xdr:rowOff>219075</xdr:rowOff>
    </xdr:from>
    <xdr:to>
      <xdr:col>10</xdr:col>
      <xdr:colOff>114300</xdr:colOff>
      <xdr:row>15</xdr:row>
      <xdr:rowOff>285750</xdr:rowOff>
    </xdr:to>
    <xdr:sp macro="" textlink="">
      <xdr:nvSpPr>
        <xdr:cNvPr id="101" name="Line 310">
          <a:extLst>
            <a:ext uri="{FF2B5EF4-FFF2-40B4-BE49-F238E27FC236}">
              <a16:creationId xmlns:a16="http://schemas.microsoft.com/office/drawing/2014/main" id="{00000000-0008-0000-1F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609725" y="14297025"/>
          <a:ext cx="257175" cy="666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28575</xdr:colOff>
      <xdr:row>15</xdr:row>
      <xdr:rowOff>285750</xdr:rowOff>
    </xdr:from>
    <xdr:to>
      <xdr:col>15</xdr:col>
      <xdr:colOff>85725</xdr:colOff>
      <xdr:row>17</xdr:row>
      <xdr:rowOff>0</xdr:rowOff>
    </xdr:to>
    <xdr:sp macro="" textlink="">
      <xdr:nvSpPr>
        <xdr:cNvPr id="102" name="Arc 311">
          <a:extLst>
            <a:ext uri="{FF2B5EF4-FFF2-40B4-BE49-F238E27FC236}">
              <a16:creationId xmlns:a16="http://schemas.microsoft.com/office/drawing/2014/main" id="{00000000-0008-0000-1F00-000066000000}"/>
            </a:ext>
          </a:extLst>
        </xdr:cNvPr>
        <xdr:cNvSpPr>
          <a:spLocks/>
        </xdr:cNvSpPr>
      </xdr:nvSpPr>
      <xdr:spPr bwMode="auto">
        <a:xfrm rot="5400000">
          <a:off x="2233612" y="14397038"/>
          <a:ext cx="447675" cy="381000"/>
        </a:xfrm>
        <a:custGeom>
          <a:avLst/>
          <a:gdLst>
            <a:gd name="T0" fmla="*/ 0 w 21600"/>
            <a:gd name="T1" fmla="*/ 0 h 21600"/>
            <a:gd name="T2" fmla="*/ 139111184 w 21600"/>
            <a:gd name="T3" fmla="*/ 118540664 h 21600"/>
            <a:gd name="T4" fmla="*/ 0 w 21600"/>
            <a:gd name="T5" fmla="*/ 11854066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15</xdr:row>
      <xdr:rowOff>285750</xdr:rowOff>
    </xdr:from>
    <xdr:to>
      <xdr:col>13</xdr:col>
      <xdr:colOff>38100</xdr:colOff>
      <xdr:row>17</xdr:row>
      <xdr:rowOff>0</xdr:rowOff>
    </xdr:to>
    <xdr:sp macro="" textlink="">
      <xdr:nvSpPr>
        <xdr:cNvPr id="103" name="Arc 312">
          <a:extLst>
            <a:ext uri="{FF2B5EF4-FFF2-40B4-BE49-F238E27FC236}">
              <a16:creationId xmlns:a16="http://schemas.microsoft.com/office/drawing/2014/main" id="{00000000-0008-0000-1F00-000067000000}"/>
            </a:ext>
          </a:extLst>
        </xdr:cNvPr>
        <xdr:cNvSpPr>
          <a:spLocks/>
        </xdr:cNvSpPr>
      </xdr:nvSpPr>
      <xdr:spPr bwMode="auto">
        <a:xfrm rot="10800000">
          <a:off x="1866900" y="14363700"/>
          <a:ext cx="409575" cy="447675"/>
        </a:xfrm>
        <a:custGeom>
          <a:avLst/>
          <a:gdLst>
            <a:gd name="T0" fmla="*/ 0 w 21600"/>
            <a:gd name="T1" fmla="*/ 0 h 21600"/>
            <a:gd name="T2" fmla="*/ 147262676 w 21600"/>
            <a:gd name="T3" fmla="*/ 139111184 h 21600"/>
            <a:gd name="T4" fmla="*/ 0 w 21600"/>
            <a:gd name="T5" fmla="*/ 13911118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15</xdr:row>
      <xdr:rowOff>238125</xdr:rowOff>
    </xdr:from>
    <xdr:to>
      <xdr:col>17</xdr:col>
      <xdr:colOff>57150</xdr:colOff>
      <xdr:row>17</xdr:row>
      <xdr:rowOff>0</xdr:rowOff>
    </xdr:to>
    <xdr:sp macro="" textlink="">
      <xdr:nvSpPr>
        <xdr:cNvPr id="104" name="Line 313">
          <a:extLst>
            <a:ext uri="{FF2B5EF4-FFF2-40B4-BE49-F238E27FC236}">
              <a16:creationId xmlns:a16="http://schemas.microsoft.com/office/drawing/2014/main" id="{00000000-0008-0000-1F00-000068000000}"/>
            </a:ext>
          </a:extLst>
        </xdr:cNvPr>
        <xdr:cNvSpPr>
          <a:spLocks noChangeShapeType="1"/>
        </xdr:cNvSpPr>
      </xdr:nvSpPr>
      <xdr:spPr bwMode="auto">
        <a:xfrm flipV="1">
          <a:off x="2943225" y="14316075"/>
          <a:ext cx="0" cy="495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15</xdr:row>
      <xdr:rowOff>219075</xdr:rowOff>
    </xdr:from>
    <xdr:to>
      <xdr:col>9</xdr:col>
      <xdr:colOff>19050</xdr:colOff>
      <xdr:row>17</xdr:row>
      <xdr:rowOff>0</xdr:rowOff>
    </xdr:to>
    <xdr:sp macro="" textlink="">
      <xdr:nvSpPr>
        <xdr:cNvPr id="105" name="Line 314">
          <a:extLst>
            <a:ext uri="{FF2B5EF4-FFF2-40B4-BE49-F238E27FC236}">
              <a16:creationId xmlns:a16="http://schemas.microsoft.com/office/drawing/2014/main" id="{00000000-0008-0000-1F00-000069000000}"/>
            </a:ext>
          </a:extLst>
        </xdr:cNvPr>
        <xdr:cNvSpPr>
          <a:spLocks noChangeShapeType="1"/>
        </xdr:cNvSpPr>
      </xdr:nvSpPr>
      <xdr:spPr bwMode="auto">
        <a:xfrm flipV="1">
          <a:off x="1609725" y="14297025"/>
          <a:ext cx="0" cy="514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17</xdr:row>
      <xdr:rowOff>38100</xdr:rowOff>
    </xdr:from>
    <xdr:to>
      <xdr:col>9</xdr:col>
      <xdr:colOff>19050</xdr:colOff>
      <xdr:row>18</xdr:row>
      <xdr:rowOff>66675</xdr:rowOff>
    </xdr:to>
    <xdr:sp macro="" textlink="">
      <xdr:nvSpPr>
        <xdr:cNvPr id="106" name="Line 315">
          <a:extLst>
            <a:ext uri="{FF2B5EF4-FFF2-40B4-BE49-F238E27FC236}">
              <a16:creationId xmlns:a16="http://schemas.microsoft.com/office/drawing/2014/main" id="{00000000-0008-0000-1F00-00006A000000}"/>
            </a:ext>
          </a:extLst>
        </xdr:cNvPr>
        <xdr:cNvSpPr>
          <a:spLocks noChangeShapeType="1"/>
        </xdr:cNvSpPr>
      </xdr:nvSpPr>
      <xdr:spPr bwMode="auto">
        <a:xfrm>
          <a:off x="1609725" y="14849475"/>
          <a:ext cx="0" cy="3333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17</xdr:row>
      <xdr:rowOff>38100</xdr:rowOff>
    </xdr:from>
    <xdr:to>
      <xdr:col>17</xdr:col>
      <xdr:colOff>57150</xdr:colOff>
      <xdr:row>18</xdr:row>
      <xdr:rowOff>57150</xdr:rowOff>
    </xdr:to>
    <xdr:sp macro="" textlink="">
      <xdr:nvSpPr>
        <xdr:cNvPr id="107" name="Line 316">
          <a:extLst>
            <a:ext uri="{FF2B5EF4-FFF2-40B4-BE49-F238E27FC236}">
              <a16:creationId xmlns:a16="http://schemas.microsoft.com/office/drawing/2014/main" id="{00000000-0008-0000-1F00-00006B000000}"/>
            </a:ext>
          </a:extLst>
        </xdr:cNvPr>
        <xdr:cNvSpPr>
          <a:spLocks noChangeShapeType="1"/>
        </xdr:cNvSpPr>
      </xdr:nvSpPr>
      <xdr:spPr bwMode="auto">
        <a:xfrm>
          <a:off x="2943225" y="14849475"/>
          <a:ext cx="0" cy="3238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18</xdr:row>
      <xdr:rowOff>0</xdr:rowOff>
    </xdr:from>
    <xdr:to>
      <xdr:col>17</xdr:col>
      <xdr:colOff>57150</xdr:colOff>
      <xdr:row>18</xdr:row>
      <xdr:rowOff>0</xdr:rowOff>
    </xdr:to>
    <xdr:sp macro="" textlink="">
      <xdr:nvSpPr>
        <xdr:cNvPr id="108" name="Line 317">
          <a:extLst>
            <a:ext uri="{FF2B5EF4-FFF2-40B4-BE49-F238E27FC236}">
              <a16:creationId xmlns:a16="http://schemas.microsoft.com/office/drawing/2014/main" id="{00000000-0008-0000-1F00-00006C000000}"/>
            </a:ext>
          </a:extLst>
        </xdr:cNvPr>
        <xdr:cNvSpPr>
          <a:spLocks noChangeShapeType="1"/>
        </xdr:cNvSpPr>
      </xdr:nvSpPr>
      <xdr:spPr bwMode="auto">
        <a:xfrm>
          <a:off x="1609725" y="15116175"/>
          <a:ext cx="133350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9</xdr:col>
      <xdr:colOff>9525</xdr:colOff>
      <xdr:row>13</xdr:row>
      <xdr:rowOff>209550</xdr:rowOff>
    </xdr:from>
    <xdr:to>
      <xdr:col>9</xdr:col>
      <xdr:colOff>9525</xdr:colOff>
      <xdr:row>15</xdr:row>
      <xdr:rowOff>142875</xdr:rowOff>
    </xdr:to>
    <xdr:sp macro="" textlink="">
      <xdr:nvSpPr>
        <xdr:cNvPr id="109" name="Line 318">
          <a:extLst>
            <a:ext uri="{FF2B5EF4-FFF2-40B4-BE49-F238E27FC236}">
              <a16:creationId xmlns:a16="http://schemas.microsoft.com/office/drawing/2014/main" id="{00000000-0008-0000-1F00-00006D000000}"/>
            </a:ext>
          </a:extLst>
        </xdr:cNvPr>
        <xdr:cNvSpPr>
          <a:spLocks noChangeShapeType="1"/>
        </xdr:cNvSpPr>
      </xdr:nvSpPr>
      <xdr:spPr bwMode="auto">
        <a:xfrm flipV="1">
          <a:off x="1600200" y="13677900"/>
          <a:ext cx="0" cy="5429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13</xdr:row>
      <xdr:rowOff>247650</xdr:rowOff>
    </xdr:from>
    <xdr:to>
      <xdr:col>17</xdr:col>
      <xdr:colOff>57150</xdr:colOff>
      <xdr:row>15</xdr:row>
      <xdr:rowOff>200025</xdr:rowOff>
    </xdr:to>
    <xdr:sp macro="" textlink="">
      <xdr:nvSpPr>
        <xdr:cNvPr id="110" name="Line 319">
          <a:extLst>
            <a:ext uri="{FF2B5EF4-FFF2-40B4-BE49-F238E27FC236}">
              <a16:creationId xmlns:a16="http://schemas.microsoft.com/office/drawing/2014/main" id="{00000000-0008-0000-1F00-00006E000000}"/>
            </a:ext>
          </a:extLst>
        </xdr:cNvPr>
        <xdr:cNvSpPr>
          <a:spLocks noChangeShapeType="1"/>
        </xdr:cNvSpPr>
      </xdr:nvSpPr>
      <xdr:spPr bwMode="auto">
        <a:xfrm flipV="1">
          <a:off x="2943225" y="13716000"/>
          <a:ext cx="0" cy="5619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14</xdr:row>
      <xdr:rowOff>238125</xdr:rowOff>
    </xdr:from>
    <xdr:to>
      <xdr:col>10</xdr:col>
      <xdr:colOff>114300</xdr:colOff>
      <xdr:row>15</xdr:row>
      <xdr:rowOff>180975</xdr:rowOff>
    </xdr:to>
    <xdr:sp macro="" textlink="">
      <xdr:nvSpPr>
        <xdr:cNvPr id="111" name="Line 320">
          <a:extLst>
            <a:ext uri="{FF2B5EF4-FFF2-40B4-BE49-F238E27FC236}">
              <a16:creationId xmlns:a16="http://schemas.microsoft.com/office/drawing/2014/main" id="{00000000-0008-0000-1F00-00006F000000}"/>
            </a:ext>
          </a:extLst>
        </xdr:cNvPr>
        <xdr:cNvSpPr>
          <a:spLocks noChangeShapeType="1"/>
        </xdr:cNvSpPr>
      </xdr:nvSpPr>
      <xdr:spPr bwMode="auto">
        <a:xfrm flipV="1">
          <a:off x="1866900" y="14011275"/>
          <a:ext cx="0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14</xdr:row>
      <xdr:rowOff>228600</xdr:rowOff>
    </xdr:from>
    <xdr:to>
      <xdr:col>15</xdr:col>
      <xdr:colOff>85725</xdr:colOff>
      <xdr:row>15</xdr:row>
      <xdr:rowOff>190500</xdr:rowOff>
    </xdr:to>
    <xdr:sp macro="" textlink="">
      <xdr:nvSpPr>
        <xdr:cNvPr id="112" name="Line 321">
          <a:extLst>
            <a:ext uri="{FF2B5EF4-FFF2-40B4-BE49-F238E27FC236}">
              <a16:creationId xmlns:a16="http://schemas.microsoft.com/office/drawing/2014/main" id="{00000000-0008-0000-1F00-000070000000}"/>
            </a:ext>
          </a:extLst>
        </xdr:cNvPr>
        <xdr:cNvSpPr>
          <a:spLocks noChangeShapeType="1"/>
        </xdr:cNvSpPr>
      </xdr:nvSpPr>
      <xdr:spPr bwMode="auto">
        <a:xfrm flipV="1">
          <a:off x="2647950" y="14001750"/>
          <a:ext cx="0" cy="26670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14</xdr:row>
      <xdr:rowOff>0</xdr:rowOff>
    </xdr:from>
    <xdr:to>
      <xdr:col>17</xdr:col>
      <xdr:colOff>57150</xdr:colOff>
      <xdr:row>14</xdr:row>
      <xdr:rowOff>0</xdr:rowOff>
    </xdr:to>
    <xdr:sp macro="" textlink="">
      <xdr:nvSpPr>
        <xdr:cNvPr id="113" name="Line 322">
          <a:extLst>
            <a:ext uri="{FF2B5EF4-FFF2-40B4-BE49-F238E27FC236}">
              <a16:creationId xmlns:a16="http://schemas.microsoft.com/office/drawing/2014/main" id="{00000000-0008-0000-1F00-000071000000}"/>
            </a:ext>
          </a:extLst>
        </xdr:cNvPr>
        <xdr:cNvSpPr>
          <a:spLocks noChangeShapeType="1"/>
        </xdr:cNvSpPr>
      </xdr:nvSpPr>
      <xdr:spPr bwMode="auto">
        <a:xfrm>
          <a:off x="1609725" y="13773150"/>
          <a:ext cx="133350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9</xdr:col>
      <xdr:colOff>19050</xdr:colOff>
      <xdr:row>15</xdr:row>
      <xdr:rowOff>0</xdr:rowOff>
    </xdr:from>
    <xdr:to>
      <xdr:col>10</xdr:col>
      <xdr:colOff>114300</xdr:colOff>
      <xdr:row>15</xdr:row>
      <xdr:rowOff>0</xdr:rowOff>
    </xdr:to>
    <xdr:sp macro="" textlink="">
      <xdr:nvSpPr>
        <xdr:cNvPr id="114" name="Line 323">
          <a:extLst>
            <a:ext uri="{FF2B5EF4-FFF2-40B4-BE49-F238E27FC236}">
              <a16:creationId xmlns:a16="http://schemas.microsoft.com/office/drawing/2014/main" id="{00000000-0008-0000-1F00-000072000000}"/>
            </a:ext>
          </a:extLst>
        </xdr:cNvPr>
        <xdr:cNvSpPr>
          <a:spLocks noChangeShapeType="1"/>
        </xdr:cNvSpPr>
      </xdr:nvSpPr>
      <xdr:spPr bwMode="auto">
        <a:xfrm>
          <a:off x="1609725" y="14077950"/>
          <a:ext cx="257175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10</xdr:col>
      <xdr:colOff>114300</xdr:colOff>
      <xdr:row>15</xdr:row>
      <xdr:rowOff>0</xdr:rowOff>
    </xdr:from>
    <xdr:to>
      <xdr:col>15</xdr:col>
      <xdr:colOff>85725</xdr:colOff>
      <xdr:row>15</xdr:row>
      <xdr:rowOff>0</xdr:rowOff>
    </xdr:to>
    <xdr:sp macro="" textlink="">
      <xdr:nvSpPr>
        <xdr:cNvPr id="115" name="Line 324">
          <a:extLst>
            <a:ext uri="{FF2B5EF4-FFF2-40B4-BE49-F238E27FC236}">
              <a16:creationId xmlns:a16="http://schemas.microsoft.com/office/drawing/2014/main" id="{00000000-0008-0000-1F00-000073000000}"/>
            </a:ext>
          </a:extLst>
        </xdr:cNvPr>
        <xdr:cNvSpPr>
          <a:spLocks noChangeShapeType="1"/>
        </xdr:cNvSpPr>
      </xdr:nvSpPr>
      <xdr:spPr bwMode="auto">
        <a:xfrm>
          <a:off x="1866900" y="14077950"/>
          <a:ext cx="78105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15</xdr:col>
      <xdr:colOff>85725</xdr:colOff>
      <xdr:row>15</xdr:row>
      <xdr:rowOff>0</xdr:rowOff>
    </xdr:from>
    <xdr:to>
      <xdr:col>17</xdr:col>
      <xdr:colOff>57150</xdr:colOff>
      <xdr:row>15</xdr:row>
      <xdr:rowOff>0</xdr:rowOff>
    </xdr:to>
    <xdr:sp macro="" textlink="">
      <xdr:nvSpPr>
        <xdr:cNvPr id="116" name="Line 325">
          <a:extLst>
            <a:ext uri="{FF2B5EF4-FFF2-40B4-BE49-F238E27FC236}">
              <a16:creationId xmlns:a16="http://schemas.microsoft.com/office/drawing/2014/main" id="{00000000-0008-0000-1F00-000074000000}"/>
            </a:ext>
          </a:extLst>
        </xdr:cNvPr>
        <xdr:cNvSpPr>
          <a:spLocks noChangeShapeType="1"/>
        </xdr:cNvSpPr>
      </xdr:nvSpPr>
      <xdr:spPr bwMode="auto">
        <a:xfrm>
          <a:off x="2647950" y="14077950"/>
          <a:ext cx="295275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18</xdr:col>
      <xdr:colOff>0</xdr:colOff>
      <xdr:row>17</xdr:row>
      <xdr:rowOff>0</xdr:rowOff>
    </xdr:from>
    <xdr:to>
      <xdr:col>21</xdr:col>
      <xdr:colOff>57150</xdr:colOff>
      <xdr:row>17</xdr:row>
      <xdr:rowOff>0</xdr:rowOff>
    </xdr:to>
    <xdr:sp macro="" textlink="">
      <xdr:nvSpPr>
        <xdr:cNvPr id="117" name="Line 326">
          <a:extLst>
            <a:ext uri="{FF2B5EF4-FFF2-40B4-BE49-F238E27FC236}">
              <a16:creationId xmlns:a16="http://schemas.microsoft.com/office/drawing/2014/main" id="{00000000-0008-0000-1F00-000075000000}"/>
            </a:ext>
          </a:extLst>
        </xdr:cNvPr>
        <xdr:cNvSpPr>
          <a:spLocks noChangeShapeType="1"/>
        </xdr:cNvSpPr>
      </xdr:nvSpPr>
      <xdr:spPr bwMode="auto">
        <a:xfrm>
          <a:off x="3048000" y="14811375"/>
          <a:ext cx="5429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15</xdr:row>
      <xdr:rowOff>285750</xdr:rowOff>
    </xdr:from>
    <xdr:to>
      <xdr:col>19</xdr:col>
      <xdr:colOff>66675</xdr:colOff>
      <xdr:row>15</xdr:row>
      <xdr:rowOff>285750</xdr:rowOff>
    </xdr:to>
    <xdr:sp macro="" textlink="">
      <xdr:nvSpPr>
        <xdr:cNvPr id="118" name="Line 327">
          <a:extLst>
            <a:ext uri="{FF2B5EF4-FFF2-40B4-BE49-F238E27FC236}">
              <a16:creationId xmlns:a16="http://schemas.microsoft.com/office/drawing/2014/main" id="{00000000-0008-0000-1F00-000076000000}"/>
            </a:ext>
          </a:extLst>
        </xdr:cNvPr>
        <xdr:cNvSpPr>
          <a:spLocks noChangeShapeType="1"/>
        </xdr:cNvSpPr>
      </xdr:nvSpPr>
      <xdr:spPr bwMode="auto">
        <a:xfrm>
          <a:off x="3048000" y="14363700"/>
          <a:ext cx="228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15</xdr:row>
      <xdr:rowOff>238125</xdr:rowOff>
    </xdr:from>
    <xdr:to>
      <xdr:col>21</xdr:col>
      <xdr:colOff>57150</xdr:colOff>
      <xdr:row>15</xdr:row>
      <xdr:rowOff>238125</xdr:rowOff>
    </xdr:to>
    <xdr:sp macro="" textlink="">
      <xdr:nvSpPr>
        <xdr:cNvPr id="119" name="Line 328">
          <a:extLst>
            <a:ext uri="{FF2B5EF4-FFF2-40B4-BE49-F238E27FC236}">
              <a16:creationId xmlns:a16="http://schemas.microsoft.com/office/drawing/2014/main" id="{00000000-0008-0000-1F00-000077000000}"/>
            </a:ext>
          </a:extLst>
        </xdr:cNvPr>
        <xdr:cNvSpPr>
          <a:spLocks noChangeShapeType="1"/>
        </xdr:cNvSpPr>
      </xdr:nvSpPr>
      <xdr:spPr bwMode="auto">
        <a:xfrm>
          <a:off x="3048000" y="14316075"/>
          <a:ext cx="5429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15</xdr:row>
      <xdr:rowOff>285750</xdr:rowOff>
    </xdr:from>
    <xdr:to>
      <xdr:col>19</xdr:col>
      <xdr:colOff>0</xdr:colOff>
      <xdr:row>17</xdr:row>
      <xdr:rowOff>0</xdr:rowOff>
    </xdr:to>
    <xdr:sp macro="" textlink="">
      <xdr:nvSpPr>
        <xdr:cNvPr id="120" name="Line 329">
          <a:extLst>
            <a:ext uri="{FF2B5EF4-FFF2-40B4-BE49-F238E27FC236}">
              <a16:creationId xmlns:a16="http://schemas.microsoft.com/office/drawing/2014/main" id="{00000000-0008-0000-1F00-000078000000}"/>
            </a:ext>
          </a:extLst>
        </xdr:cNvPr>
        <xdr:cNvSpPr>
          <a:spLocks noChangeShapeType="1"/>
        </xdr:cNvSpPr>
      </xdr:nvSpPr>
      <xdr:spPr bwMode="auto">
        <a:xfrm>
          <a:off x="3209925" y="14363700"/>
          <a:ext cx="0" cy="4476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19</xdr:col>
      <xdr:colOff>0</xdr:colOff>
      <xdr:row>15</xdr:row>
      <xdr:rowOff>238125</xdr:rowOff>
    </xdr:from>
    <xdr:to>
      <xdr:col>19</xdr:col>
      <xdr:colOff>0</xdr:colOff>
      <xdr:row>15</xdr:row>
      <xdr:rowOff>285750</xdr:rowOff>
    </xdr:to>
    <xdr:sp macro="" textlink="">
      <xdr:nvSpPr>
        <xdr:cNvPr id="121" name="Line 330">
          <a:extLst>
            <a:ext uri="{FF2B5EF4-FFF2-40B4-BE49-F238E27FC236}">
              <a16:creationId xmlns:a16="http://schemas.microsoft.com/office/drawing/2014/main" id="{00000000-0008-0000-1F00-000079000000}"/>
            </a:ext>
          </a:extLst>
        </xdr:cNvPr>
        <xdr:cNvSpPr>
          <a:spLocks noChangeShapeType="1"/>
        </xdr:cNvSpPr>
      </xdr:nvSpPr>
      <xdr:spPr bwMode="auto">
        <a:xfrm flipV="1">
          <a:off x="3209925" y="14316075"/>
          <a:ext cx="0" cy="4762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19</xdr:col>
      <xdr:colOff>0</xdr:colOff>
      <xdr:row>14</xdr:row>
      <xdr:rowOff>295275</xdr:rowOff>
    </xdr:from>
    <xdr:to>
      <xdr:col>19</xdr:col>
      <xdr:colOff>0</xdr:colOff>
      <xdr:row>15</xdr:row>
      <xdr:rowOff>238125</xdr:rowOff>
    </xdr:to>
    <xdr:sp macro="" textlink="">
      <xdr:nvSpPr>
        <xdr:cNvPr id="122" name="Line 331">
          <a:extLst>
            <a:ext uri="{FF2B5EF4-FFF2-40B4-BE49-F238E27FC236}">
              <a16:creationId xmlns:a16="http://schemas.microsoft.com/office/drawing/2014/main" id="{00000000-0008-0000-1F00-00007A000000}"/>
            </a:ext>
          </a:extLst>
        </xdr:cNvPr>
        <xdr:cNvSpPr>
          <a:spLocks noChangeShapeType="1"/>
        </xdr:cNvSpPr>
      </xdr:nvSpPr>
      <xdr:spPr bwMode="auto">
        <a:xfrm>
          <a:off x="3209925" y="14068425"/>
          <a:ext cx="0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triangle" w="sm" len="sm"/>
        </a:ln>
      </xdr:spPr>
    </xdr:sp>
    <xdr:clientData/>
  </xdr:twoCellAnchor>
  <xdr:twoCellAnchor>
    <xdr:from>
      <xdr:col>21</xdr:col>
      <xdr:colOff>0</xdr:colOff>
      <xdr:row>15</xdr:row>
      <xdr:rowOff>238125</xdr:rowOff>
    </xdr:from>
    <xdr:to>
      <xdr:col>21</xdr:col>
      <xdr:colOff>0</xdr:colOff>
      <xdr:row>17</xdr:row>
      <xdr:rowOff>0</xdr:rowOff>
    </xdr:to>
    <xdr:sp macro="" textlink="">
      <xdr:nvSpPr>
        <xdr:cNvPr id="123" name="Line 332">
          <a:extLst>
            <a:ext uri="{FF2B5EF4-FFF2-40B4-BE49-F238E27FC236}">
              <a16:creationId xmlns:a16="http://schemas.microsoft.com/office/drawing/2014/main" id="{00000000-0008-0000-1F00-00007B000000}"/>
            </a:ext>
          </a:extLst>
        </xdr:cNvPr>
        <xdr:cNvSpPr>
          <a:spLocks noChangeShapeType="1"/>
        </xdr:cNvSpPr>
      </xdr:nvSpPr>
      <xdr:spPr bwMode="auto">
        <a:xfrm>
          <a:off x="3533775" y="14316075"/>
          <a:ext cx="0" cy="49530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27</xdr:col>
      <xdr:colOff>0</xdr:colOff>
      <xdr:row>6</xdr:row>
      <xdr:rowOff>142875</xdr:rowOff>
    </xdr:from>
    <xdr:to>
      <xdr:col>34</xdr:col>
      <xdr:colOff>0</xdr:colOff>
      <xdr:row>6</xdr:row>
      <xdr:rowOff>142875</xdr:rowOff>
    </xdr:to>
    <xdr:sp macro="" textlink="">
      <xdr:nvSpPr>
        <xdr:cNvPr id="124" name="Line 333">
          <a:extLst>
            <a:ext uri="{FF2B5EF4-FFF2-40B4-BE49-F238E27FC236}">
              <a16:creationId xmlns:a16="http://schemas.microsoft.com/office/drawing/2014/main" id="{00000000-0008-0000-1F00-00007C000000}"/>
            </a:ext>
          </a:extLst>
        </xdr:cNvPr>
        <xdr:cNvSpPr>
          <a:spLocks noChangeShapeType="1"/>
        </xdr:cNvSpPr>
      </xdr:nvSpPr>
      <xdr:spPr bwMode="auto">
        <a:xfrm>
          <a:off x="4505325" y="11306175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6</xdr:row>
      <xdr:rowOff>142875</xdr:rowOff>
    </xdr:from>
    <xdr:to>
      <xdr:col>27</xdr:col>
      <xdr:colOff>0</xdr:colOff>
      <xdr:row>8</xdr:row>
      <xdr:rowOff>0</xdr:rowOff>
    </xdr:to>
    <xdr:sp macro="" textlink="">
      <xdr:nvSpPr>
        <xdr:cNvPr id="125" name="Line 334">
          <a:extLst>
            <a:ext uri="{FF2B5EF4-FFF2-40B4-BE49-F238E27FC236}">
              <a16:creationId xmlns:a16="http://schemas.microsoft.com/office/drawing/2014/main" id="{00000000-0008-0000-1F00-00007D000000}"/>
            </a:ext>
          </a:extLst>
        </xdr:cNvPr>
        <xdr:cNvSpPr>
          <a:spLocks noChangeShapeType="1"/>
        </xdr:cNvSpPr>
      </xdr:nvSpPr>
      <xdr:spPr bwMode="auto">
        <a:xfrm>
          <a:off x="4505325" y="11306175"/>
          <a:ext cx="0" cy="4667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6</xdr:row>
      <xdr:rowOff>142875</xdr:rowOff>
    </xdr:from>
    <xdr:to>
      <xdr:col>34</xdr:col>
      <xdr:colOff>0</xdr:colOff>
      <xdr:row>8</xdr:row>
      <xdr:rowOff>0</xdr:rowOff>
    </xdr:to>
    <xdr:sp macro="" textlink="">
      <xdr:nvSpPr>
        <xdr:cNvPr id="126" name="Line 335">
          <a:extLst>
            <a:ext uri="{FF2B5EF4-FFF2-40B4-BE49-F238E27FC236}">
              <a16:creationId xmlns:a16="http://schemas.microsoft.com/office/drawing/2014/main" id="{00000000-0008-0000-1F00-00007E000000}"/>
            </a:ext>
          </a:extLst>
        </xdr:cNvPr>
        <xdr:cNvSpPr>
          <a:spLocks noChangeShapeType="1"/>
        </xdr:cNvSpPr>
      </xdr:nvSpPr>
      <xdr:spPr bwMode="auto">
        <a:xfrm>
          <a:off x="5638800" y="11306175"/>
          <a:ext cx="0" cy="4667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8</xdr:row>
      <xdr:rowOff>0</xdr:rowOff>
    </xdr:from>
    <xdr:to>
      <xdr:col>34</xdr:col>
      <xdr:colOff>0</xdr:colOff>
      <xdr:row>8</xdr:row>
      <xdr:rowOff>0</xdr:rowOff>
    </xdr:to>
    <xdr:sp macro="" textlink="">
      <xdr:nvSpPr>
        <xdr:cNvPr id="127" name="Line 336">
          <a:extLst>
            <a:ext uri="{FF2B5EF4-FFF2-40B4-BE49-F238E27FC236}">
              <a16:creationId xmlns:a16="http://schemas.microsoft.com/office/drawing/2014/main" id="{00000000-0008-0000-1F00-00007F000000}"/>
            </a:ext>
          </a:extLst>
        </xdr:cNvPr>
        <xdr:cNvSpPr>
          <a:spLocks noChangeShapeType="1"/>
        </xdr:cNvSpPr>
      </xdr:nvSpPr>
      <xdr:spPr bwMode="auto">
        <a:xfrm>
          <a:off x="4505325" y="11772900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6</xdr:row>
      <xdr:rowOff>228600</xdr:rowOff>
    </xdr:from>
    <xdr:to>
      <xdr:col>34</xdr:col>
      <xdr:colOff>0</xdr:colOff>
      <xdr:row>6</xdr:row>
      <xdr:rowOff>228600</xdr:rowOff>
    </xdr:to>
    <xdr:sp macro="" textlink="">
      <xdr:nvSpPr>
        <xdr:cNvPr id="128" name="Line 337">
          <a:extLst>
            <a:ext uri="{FF2B5EF4-FFF2-40B4-BE49-F238E27FC236}">
              <a16:creationId xmlns:a16="http://schemas.microsoft.com/office/drawing/2014/main" id="{00000000-0008-0000-1F00-000080000000}"/>
            </a:ext>
          </a:extLst>
        </xdr:cNvPr>
        <xdr:cNvSpPr>
          <a:spLocks noChangeShapeType="1"/>
        </xdr:cNvSpPr>
      </xdr:nvSpPr>
      <xdr:spPr bwMode="auto">
        <a:xfrm>
          <a:off x="4505325" y="11391900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27</xdr:col>
      <xdr:colOff>0</xdr:colOff>
      <xdr:row>7</xdr:row>
      <xdr:rowOff>219075</xdr:rowOff>
    </xdr:from>
    <xdr:to>
      <xdr:col>34</xdr:col>
      <xdr:colOff>0</xdr:colOff>
      <xdr:row>7</xdr:row>
      <xdr:rowOff>219075</xdr:rowOff>
    </xdr:to>
    <xdr:sp macro="" textlink="">
      <xdr:nvSpPr>
        <xdr:cNvPr id="129" name="Line 338">
          <a:extLst>
            <a:ext uri="{FF2B5EF4-FFF2-40B4-BE49-F238E27FC236}">
              <a16:creationId xmlns:a16="http://schemas.microsoft.com/office/drawing/2014/main" id="{00000000-0008-0000-1F00-000081000000}"/>
            </a:ext>
          </a:extLst>
        </xdr:cNvPr>
        <xdr:cNvSpPr>
          <a:spLocks noChangeShapeType="1"/>
        </xdr:cNvSpPr>
      </xdr:nvSpPr>
      <xdr:spPr bwMode="auto">
        <a:xfrm>
          <a:off x="4505325" y="11687175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27</xdr:col>
      <xdr:colOff>0</xdr:colOff>
      <xdr:row>8</xdr:row>
      <xdr:rowOff>47625</xdr:rowOff>
    </xdr:from>
    <xdr:to>
      <xdr:col>27</xdr:col>
      <xdr:colOff>0</xdr:colOff>
      <xdr:row>9</xdr:row>
      <xdr:rowOff>57150</xdr:rowOff>
    </xdr:to>
    <xdr:sp macro="" textlink="">
      <xdr:nvSpPr>
        <xdr:cNvPr id="130" name="Line 339">
          <a:extLst>
            <a:ext uri="{FF2B5EF4-FFF2-40B4-BE49-F238E27FC236}">
              <a16:creationId xmlns:a16="http://schemas.microsoft.com/office/drawing/2014/main" id="{00000000-0008-0000-1F00-000082000000}"/>
            </a:ext>
          </a:extLst>
        </xdr:cNvPr>
        <xdr:cNvSpPr>
          <a:spLocks noChangeShapeType="1"/>
        </xdr:cNvSpPr>
      </xdr:nvSpPr>
      <xdr:spPr bwMode="auto">
        <a:xfrm>
          <a:off x="4505325" y="11820525"/>
          <a:ext cx="0" cy="4857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8</xdr:row>
      <xdr:rowOff>47625</xdr:rowOff>
    </xdr:from>
    <xdr:to>
      <xdr:col>34</xdr:col>
      <xdr:colOff>0</xdr:colOff>
      <xdr:row>9</xdr:row>
      <xdr:rowOff>57150</xdr:rowOff>
    </xdr:to>
    <xdr:sp macro="" textlink="">
      <xdr:nvSpPr>
        <xdr:cNvPr id="131" name="Line 340">
          <a:extLst>
            <a:ext uri="{FF2B5EF4-FFF2-40B4-BE49-F238E27FC236}">
              <a16:creationId xmlns:a16="http://schemas.microsoft.com/office/drawing/2014/main" id="{00000000-0008-0000-1F00-000083000000}"/>
            </a:ext>
          </a:extLst>
        </xdr:cNvPr>
        <xdr:cNvSpPr>
          <a:spLocks noChangeShapeType="1"/>
        </xdr:cNvSpPr>
      </xdr:nvSpPr>
      <xdr:spPr bwMode="auto">
        <a:xfrm>
          <a:off x="5638800" y="11820525"/>
          <a:ext cx="0" cy="4857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9</xdr:row>
      <xdr:rowOff>0</xdr:rowOff>
    </xdr:from>
    <xdr:to>
      <xdr:col>34</xdr:col>
      <xdr:colOff>0</xdr:colOff>
      <xdr:row>9</xdr:row>
      <xdr:rowOff>0</xdr:rowOff>
    </xdr:to>
    <xdr:sp macro="" textlink="">
      <xdr:nvSpPr>
        <xdr:cNvPr id="132" name="Line 341">
          <a:extLst>
            <a:ext uri="{FF2B5EF4-FFF2-40B4-BE49-F238E27FC236}">
              <a16:creationId xmlns:a16="http://schemas.microsoft.com/office/drawing/2014/main" id="{00000000-0008-0000-1F00-000084000000}"/>
            </a:ext>
          </a:extLst>
        </xdr:cNvPr>
        <xdr:cNvSpPr>
          <a:spLocks noChangeShapeType="1"/>
        </xdr:cNvSpPr>
      </xdr:nvSpPr>
      <xdr:spPr bwMode="auto">
        <a:xfrm>
          <a:off x="4505325" y="12249150"/>
          <a:ext cx="1133475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34</xdr:col>
      <xdr:colOff>47625</xdr:colOff>
      <xdr:row>6</xdr:row>
      <xdr:rowOff>142875</xdr:rowOff>
    </xdr:from>
    <xdr:to>
      <xdr:col>37</xdr:col>
      <xdr:colOff>66675</xdr:colOff>
      <xdr:row>6</xdr:row>
      <xdr:rowOff>142875</xdr:rowOff>
    </xdr:to>
    <xdr:sp macro="" textlink="">
      <xdr:nvSpPr>
        <xdr:cNvPr id="133" name="Line 342">
          <a:extLst>
            <a:ext uri="{FF2B5EF4-FFF2-40B4-BE49-F238E27FC236}">
              <a16:creationId xmlns:a16="http://schemas.microsoft.com/office/drawing/2014/main" id="{00000000-0008-0000-1F00-000085000000}"/>
            </a:ext>
          </a:extLst>
        </xdr:cNvPr>
        <xdr:cNvSpPr>
          <a:spLocks noChangeShapeType="1"/>
        </xdr:cNvSpPr>
      </xdr:nvSpPr>
      <xdr:spPr bwMode="auto">
        <a:xfrm>
          <a:off x="5686425" y="11306175"/>
          <a:ext cx="504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47625</xdr:colOff>
      <xdr:row>6</xdr:row>
      <xdr:rowOff>228600</xdr:rowOff>
    </xdr:from>
    <xdr:to>
      <xdr:col>35</xdr:col>
      <xdr:colOff>38100</xdr:colOff>
      <xdr:row>6</xdr:row>
      <xdr:rowOff>228600</xdr:rowOff>
    </xdr:to>
    <xdr:sp macro="" textlink="">
      <xdr:nvSpPr>
        <xdr:cNvPr id="134" name="Line 343">
          <a:extLst>
            <a:ext uri="{FF2B5EF4-FFF2-40B4-BE49-F238E27FC236}">
              <a16:creationId xmlns:a16="http://schemas.microsoft.com/office/drawing/2014/main" id="{00000000-0008-0000-1F00-000086000000}"/>
            </a:ext>
          </a:extLst>
        </xdr:cNvPr>
        <xdr:cNvSpPr>
          <a:spLocks noChangeShapeType="1"/>
        </xdr:cNvSpPr>
      </xdr:nvSpPr>
      <xdr:spPr bwMode="auto">
        <a:xfrm>
          <a:off x="5686425" y="11391900"/>
          <a:ext cx="1524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47625</xdr:colOff>
      <xdr:row>7</xdr:row>
      <xdr:rowOff>219075</xdr:rowOff>
    </xdr:from>
    <xdr:to>
      <xdr:col>35</xdr:col>
      <xdr:colOff>38100</xdr:colOff>
      <xdr:row>7</xdr:row>
      <xdr:rowOff>219075</xdr:rowOff>
    </xdr:to>
    <xdr:sp macro="" textlink="">
      <xdr:nvSpPr>
        <xdr:cNvPr id="135" name="Line 344">
          <a:extLst>
            <a:ext uri="{FF2B5EF4-FFF2-40B4-BE49-F238E27FC236}">
              <a16:creationId xmlns:a16="http://schemas.microsoft.com/office/drawing/2014/main" id="{00000000-0008-0000-1F00-000087000000}"/>
            </a:ext>
          </a:extLst>
        </xdr:cNvPr>
        <xdr:cNvSpPr>
          <a:spLocks noChangeShapeType="1"/>
        </xdr:cNvSpPr>
      </xdr:nvSpPr>
      <xdr:spPr bwMode="auto">
        <a:xfrm>
          <a:off x="5686425" y="11687175"/>
          <a:ext cx="1524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47625</xdr:colOff>
      <xdr:row>8</xdr:row>
      <xdr:rowOff>0</xdr:rowOff>
    </xdr:from>
    <xdr:to>
      <xdr:col>37</xdr:col>
      <xdr:colOff>66675</xdr:colOff>
      <xdr:row>8</xdr:row>
      <xdr:rowOff>0</xdr:rowOff>
    </xdr:to>
    <xdr:sp macro="" textlink="">
      <xdr:nvSpPr>
        <xdr:cNvPr id="136" name="Line 345">
          <a:extLst>
            <a:ext uri="{FF2B5EF4-FFF2-40B4-BE49-F238E27FC236}">
              <a16:creationId xmlns:a16="http://schemas.microsoft.com/office/drawing/2014/main" id="{00000000-0008-0000-1F00-000088000000}"/>
            </a:ext>
          </a:extLst>
        </xdr:cNvPr>
        <xdr:cNvSpPr>
          <a:spLocks noChangeShapeType="1"/>
        </xdr:cNvSpPr>
      </xdr:nvSpPr>
      <xdr:spPr bwMode="auto">
        <a:xfrm>
          <a:off x="5686425" y="11772900"/>
          <a:ext cx="504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6</xdr:row>
      <xdr:rowOff>228600</xdr:rowOff>
    </xdr:from>
    <xdr:to>
      <xdr:col>35</xdr:col>
      <xdr:colOff>0</xdr:colOff>
      <xdr:row>7</xdr:row>
      <xdr:rowOff>219075</xdr:rowOff>
    </xdr:to>
    <xdr:sp macro="" textlink="">
      <xdr:nvSpPr>
        <xdr:cNvPr id="137" name="Line 346">
          <a:extLst>
            <a:ext uri="{FF2B5EF4-FFF2-40B4-BE49-F238E27FC236}">
              <a16:creationId xmlns:a16="http://schemas.microsoft.com/office/drawing/2014/main" id="{00000000-0008-0000-1F00-000089000000}"/>
            </a:ext>
          </a:extLst>
        </xdr:cNvPr>
        <xdr:cNvSpPr>
          <a:spLocks noChangeShapeType="1"/>
        </xdr:cNvSpPr>
      </xdr:nvSpPr>
      <xdr:spPr bwMode="auto">
        <a:xfrm>
          <a:off x="5800725" y="11391900"/>
          <a:ext cx="0" cy="2952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37</xdr:col>
      <xdr:colOff>0</xdr:colOff>
      <xdr:row>6</xdr:row>
      <xdr:rowOff>142875</xdr:rowOff>
    </xdr:from>
    <xdr:to>
      <xdr:col>37</xdr:col>
      <xdr:colOff>0</xdr:colOff>
      <xdr:row>8</xdr:row>
      <xdr:rowOff>0</xdr:rowOff>
    </xdr:to>
    <xdr:sp macro="" textlink="">
      <xdr:nvSpPr>
        <xdr:cNvPr id="138" name="Line 347">
          <a:extLst>
            <a:ext uri="{FF2B5EF4-FFF2-40B4-BE49-F238E27FC236}">
              <a16:creationId xmlns:a16="http://schemas.microsoft.com/office/drawing/2014/main" id="{00000000-0008-0000-1F00-00008A000000}"/>
            </a:ext>
          </a:extLst>
        </xdr:cNvPr>
        <xdr:cNvSpPr>
          <a:spLocks noChangeShapeType="1"/>
        </xdr:cNvSpPr>
      </xdr:nvSpPr>
      <xdr:spPr bwMode="auto">
        <a:xfrm>
          <a:off x="6124575" y="11306175"/>
          <a:ext cx="0" cy="46672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35</xdr:col>
      <xdr:colOff>0</xdr:colOff>
      <xdr:row>6</xdr:row>
      <xdr:rowOff>142875</xdr:rowOff>
    </xdr:from>
    <xdr:to>
      <xdr:col>35</xdr:col>
      <xdr:colOff>0</xdr:colOff>
      <xdr:row>6</xdr:row>
      <xdr:rowOff>228600</xdr:rowOff>
    </xdr:to>
    <xdr:sp macro="" textlink="">
      <xdr:nvSpPr>
        <xdr:cNvPr id="139" name="Line 348">
          <a:extLst>
            <a:ext uri="{FF2B5EF4-FFF2-40B4-BE49-F238E27FC236}">
              <a16:creationId xmlns:a16="http://schemas.microsoft.com/office/drawing/2014/main" id="{00000000-0008-0000-1F00-00008B000000}"/>
            </a:ext>
          </a:extLst>
        </xdr:cNvPr>
        <xdr:cNvSpPr>
          <a:spLocks noChangeShapeType="1"/>
        </xdr:cNvSpPr>
      </xdr:nvSpPr>
      <xdr:spPr bwMode="auto">
        <a:xfrm flipV="1">
          <a:off x="5800725" y="11306175"/>
          <a:ext cx="0" cy="8572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7</xdr:row>
      <xdr:rowOff>219075</xdr:rowOff>
    </xdr:from>
    <xdr:to>
      <xdr:col>35</xdr:col>
      <xdr:colOff>0</xdr:colOff>
      <xdr:row>8</xdr:row>
      <xdr:rowOff>0</xdr:rowOff>
    </xdr:to>
    <xdr:sp macro="" textlink="">
      <xdr:nvSpPr>
        <xdr:cNvPr id="140" name="Line 349">
          <a:extLst>
            <a:ext uri="{FF2B5EF4-FFF2-40B4-BE49-F238E27FC236}">
              <a16:creationId xmlns:a16="http://schemas.microsoft.com/office/drawing/2014/main" id="{00000000-0008-0000-1F00-00008C000000}"/>
            </a:ext>
          </a:extLst>
        </xdr:cNvPr>
        <xdr:cNvSpPr>
          <a:spLocks noChangeShapeType="1"/>
        </xdr:cNvSpPr>
      </xdr:nvSpPr>
      <xdr:spPr bwMode="auto">
        <a:xfrm>
          <a:off x="5800725" y="11687175"/>
          <a:ext cx="0" cy="8572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0</xdr:colOff>
      <xdr:row>6</xdr:row>
      <xdr:rowOff>142875</xdr:rowOff>
    </xdr:to>
    <xdr:sp macro="" textlink="">
      <xdr:nvSpPr>
        <xdr:cNvPr id="141" name="Line 350">
          <a:extLst>
            <a:ext uri="{FF2B5EF4-FFF2-40B4-BE49-F238E27FC236}">
              <a16:creationId xmlns:a16="http://schemas.microsoft.com/office/drawing/2014/main" id="{00000000-0008-0000-1F00-00008D000000}"/>
            </a:ext>
          </a:extLst>
        </xdr:cNvPr>
        <xdr:cNvSpPr>
          <a:spLocks noChangeShapeType="1"/>
        </xdr:cNvSpPr>
      </xdr:nvSpPr>
      <xdr:spPr bwMode="auto">
        <a:xfrm>
          <a:off x="5800725" y="11163300"/>
          <a:ext cx="0" cy="14287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triangle" w="sm" len="sm"/>
        </a:ln>
      </xdr:spPr>
    </xdr:sp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0</xdr:colOff>
      <xdr:row>8</xdr:row>
      <xdr:rowOff>171450</xdr:rowOff>
    </xdr:to>
    <xdr:sp macro="" textlink="">
      <xdr:nvSpPr>
        <xdr:cNvPr id="142" name="Line 351">
          <a:extLst>
            <a:ext uri="{FF2B5EF4-FFF2-40B4-BE49-F238E27FC236}">
              <a16:creationId xmlns:a16="http://schemas.microsoft.com/office/drawing/2014/main" id="{00000000-0008-0000-1F00-00008E000000}"/>
            </a:ext>
          </a:extLst>
        </xdr:cNvPr>
        <xdr:cNvSpPr>
          <a:spLocks noChangeShapeType="1"/>
        </xdr:cNvSpPr>
      </xdr:nvSpPr>
      <xdr:spPr bwMode="auto">
        <a:xfrm flipV="1">
          <a:off x="5800725" y="11772900"/>
          <a:ext cx="0" cy="17145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triangl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43" name="AutoShape 353">
          <a:extLst>
            <a:ext uri="{FF2B5EF4-FFF2-40B4-BE49-F238E27FC236}">
              <a16:creationId xmlns:a16="http://schemas.microsoft.com/office/drawing/2014/main" id="{00000000-0008-0000-1F00-00008F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44" name="AutoShape 354">
          <a:extLst>
            <a:ext uri="{FF2B5EF4-FFF2-40B4-BE49-F238E27FC236}">
              <a16:creationId xmlns:a16="http://schemas.microsoft.com/office/drawing/2014/main" id="{00000000-0008-0000-1F00-000090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45" name="Line 384">
          <a:extLst>
            <a:ext uri="{FF2B5EF4-FFF2-40B4-BE49-F238E27FC236}">
              <a16:creationId xmlns:a16="http://schemas.microsoft.com/office/drawing/2014/main" id="{00000000-0008-0000-1F00-000091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46" name="Line 385">
          <a:extLst>
            <a:ext uri="{FF2B5EF4-FFF2-40B4-BE49-F238E27FC236}">
              <a16:creationId xmlns:a16="http://schemas.microsoft.com/office/drawing/2014/main" id="{00000000-0008-0000-1F00-000092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47" name="Line 386">
          <a:extLst>
            <a:ext uri="{FF2B5EF4-FFF2-40B4-BE49-F238E27FC236}">
              <a16:creationId xmlns:a16="http://schemas.microsoft.com/office/drawing/2014/main" id="{00000000-0008-0000-1F00-000093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48" name="Line 387">
          <a:extLst>
            <a:ext uri="{FF2B5EF4-FFF2-40B4-BE49-F238E27FC236}">
              <a16:creationId xmlns:a16="http://schemas.microsoft.com/office/drawing/2014/main" id="{00000000-0008-0000-1F00-000094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49" name="Line 389">
          <a:extLst>
            <a:ext uri="{FF2B5EF4-FFF2-40B4-BE49-F238E27FC236}">
              <a16:creationId xmlns:a16="http://schemas.microsoft.com/office/drawing/2014/main" id="{00000000-0008-0000-1F00-000095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50" name="Line 390">
          <a:extLst>
            <a:ext uri="{FF2B5EF4-FFF2-40B4-BE49-F238E27FC236}">
              <a16:creationId xmlns:a16="http://schemas.microsoft.com/office/drawing/2014/main" id="{00000000-0008-0000-1F00-000096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29</xdr:row>
      <xdr:rowOff>0</xdr:rowOff>
    </xdr:from>
    <xdr:to>
      <xdr:col>10</xdr:col>
      <xdr:colOff>114300</xdr:colOff>
      <xdr:row>29</xdr:row>
      <xdr:rowOff>0</xdr:rowOff>
    </xdr:to>
    <xdr:sp macro="" textlink="">
      <xdr:nvSpPr>
        <xdr:cNvPr id="151" name="Line 391">
          <a:extLst>
            <a:ext uri="{FF2B5EF4-FFF2-40B4-BE49-F238E27FC236}">
              <a16:creationId xmlns:a16="http://schemas.microsoft.com/office/drawing/2014/main" id="{00000000-0008-0000-1F00-000097000000}"/>
            </a:ext>
          </a:extLst>
        </xdr:cNvPr>
        <xdr:cNvSpPr>
          <a:spLocks noChangeShapeType="1"/>
        </xdr:cNvSpPr>
      </xdr:nvSpPr>
      <xdr:spPr bwMode="auto">
        <a:xfrm flipV="1">
          <a:off x="18669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52" name="Line 392">
          <a:extLst>
            <a:ext uri="{FF2B5EF4-FFF2-40B4-BE49-F238E27FC236}">
              <a16:creationId xmlns:a16="http://schemas.microsoft.com/office/drawing/2014/main" id="{00000000-0008-0000-1F00-000098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53" name="Line 401">
          <a:extLst>
            <a:ext uri="{FF2B5EF4-FFF2-40B4-BE49-F238E27FC236}">
              <a16:creationId xmlns:a16="http://schemas.microsoft.com/office/drawing/2014/main" id="{00000000-0008-0000-1F00-00009900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54" name="Line 405">
          <a:extLst>
            <a:ext uri="{FF2B5EF4-FFF2-40B4-BE49-F238E27FC236}">
              <a16:creationId xmlns:a16="http://schemas.microsoft.com/office/drawing/2014/main" id="{00000000-0008-0000-1F00-00009A000000}"/>
            </a:ext>
          </a:extLst>
        </xdr:cNvPr>
        <xdr:cNvSpPr>
          <a:spLocks noChangeShapeType="1"/>
        </xdr:cNvSpPr>
      </xdr:nvSpPr>
      <xdr:spPr bwMode="auto">
        <a:xfrm>
          <a:off x="45053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55" name="Line 406">
          <a:extLst>
            <a:ext uri="{FF2B5EF4-FFF2-40B4-BE49-F238E27FC236}">
              <a16:creationId xmlns:a16="http://schemas.microsoft.com/office/drawing/2014/main" id="{00000000-0008-0000-1F00-00009B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56" name="Line 410">
          <a:extLst>
            <a:ext uri="{FF2B5EF4-FFF2-40B4-BE49-F238E27FC236}">
              <a16:creationId xmlns:a16="http://schemas.microsoft.com/office/drawing/2014/main" id="{00000000-0008-0000-1F00-00009C000000}"/>
            </a:ext>
          </a:extLst>
        </xdr:cNvPr>
        <xdr:cNvSpPr>
          <a:spLocks noChangeShapeType="1"/>
        </xdr:cNvSpPr>
      </xdr:nvSpPr>
      <xdr:spPr bwMode="auto">
        <a:xfrm>
          <a:off x="45053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57" name="Line 411">
          <a:extLst>
            <a:ext uri="{FF2B5EF4-FFF2-40B4-BE49-F238E27FC236}">
              <a16:creationId xmlns:a16="http://schemas.microsoft.com/office/drawing/2014/main" id="{00000000-0008-0000-1F00-00009D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58" name="Line 419">
          <a:extLst>
            <a:ext uri="{FF2B5EF4-FFF2-40B4-BE49-F238E27FC236}">
              <a16:creationId xmlns:a16="http://schemas.microsoft.com/office/drawing/2014/main" id="{00000000-0008-0000-1F00-00009E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59" name="Line 420">
          <a:extLst>
            <a:ext uri="{FF2B5EF4-FFF2-40B4-BE49-F238E27FC236}">
              <a16:creationId xmlns:a16="http://schemas.microsoft.com/office/drawing/2014/main" id="{00000000-0008-0000-1F00-00009F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60" name="AutoShape 423">
          <a:extLst>
            <a:ext uri="{FF2B5EF4-FFF2-40B4-BE49-F238E27FC236}">
              <a16:creationId xmlns:a16="http://schemas.microsoft.com/office/drawing/2014/main" id="{00000000-0008-0000-1F00-0000A0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61" name="AutoShape 424">
          <a:extLst>
            <a:ext uri="{FF2B5EF4-FFF2-40B4-BE49-F238E27FC236}">
              <a16:creationId xmlns:a16="http://schemas.microsoft.com/office/drawing/2014/main" id="{00000000-0008-0000-1F00-0000A1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62" name="Line 427">
          <a:extLst>
            <a:ext uri="{FF2B5EF4-FFF2-40B4-BE49-F238E27FC236}">
              <a16:creationId xmlns:a16="http://schemas.microsoft.com/office/drawing/2014/main" id="{00000000-0008-0000-1F00-0000A2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63" name="Line 428">
          <a:extLst>
            <a:ext uri="{FF2B5EF4-FFF2-40B4-BE49-F238E27FC236}">
              <a16:creationId xmlns:a16="http://schemas.microsoft.com/office/drawing/2014/main" id="{00000000-0008-0000-1F00-0000A3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64" name="Line 429">
          <a:extLst>
            <a:ext uri="{FF2B5EF4-FFF2-40B4-BE49-F238E27FC236}">
              <a16:creationId xmlns:a16="http://schemas.microsoft.com/office/drawing/2014/main" id="{00000000-0008-0000-1F00-0000A4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65" name="Line 430">
          <a:extLst>
            <a:ext uri="{FF2B5EF4-FFF2-40B4-BE49-F238E27FC236}">
              <a16:creationId xmlns:a16="http://schemas.microsoft.com/office/drawing/2014/main" id="{00000000-0008-0000-1F00-0000A5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66" name="Line 431">
          <a:extLst>
            <a:ext uri="{FF2B5EF4-FFF2-40B4-BE49-F238E27FC236}">
              <a16:creationId xmlns:a16="http://schemas.microsoft.com/office/drawing/2014/main" id="{00000000-0008-0000-1F00-0000A6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67" name="Line 432">
          <a:extLst>
            <a:ext uri="{FF2B5EF4-FFF2-40B4-BE49-F238E27FC236}">
              <a16:creationId xmlns:a16="http://schemas.microsoft.com/office/drawing/2014/main" id="{00000000-0008-0000-1F00-0000A7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29</xdr:row>
      <xdr:rowOff>0</xdr:rowOff>
    </xdr:from>
    <xdr:to>
      <xdr:col>10</xdr:col>
      <xdr:colOff>114300</xdr:colOff>
      <xdr:row>29</xdr:row>
      <xdr:rowOff>0</xdr:rowOff>
    </xdr:to>
    <xdr:sp macro="" textlink="">
      <xdr:nvSpPr>
        <xdr:cNvPr id="168" name="Line 433">
          <a:extLst>
            <a:ext uri="{FF2B5EF4-FFF2-40B4-BE49-F238E27FC236}">
              <a16:creationId xmlns:a16="http://schemas.microsoft.com/office/drawing/2014/main" id="{00000000-0008-0000-1F00-0000A8000000}"/>
            </a:ext>
          </a:extLst>
        </xdr:cNvPr>
        <xdr:cNvSpPr>
          <a:spLocks noChangeShapeType="1"/>
        </xdr:cNvSpPr>
      </xdr:nvSpPr>
      <xdr:spPr bwMode="auto">
        <a:xfrm flipV="1">
          <a:off x="18669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69" name="Line 434">
          <a:extLst>
            <a:ext uri="{FF2B5EF4-FFF2-40B4-BE49-F238E27FC236}">
              <a16:creationId xmlns:a16="http://schemas.microsoft.com/office/drawing/2014/main" id="{00000000-0008-0000-1F00-0000A9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70" name="Line 435">
          <a:extLst>
            <a:ext uri="{FF2B5EF4-FFF2-40B4-BE49-F238E27FC236}">
              <a16:creationId xmlns:a16="http://schemas.microsoft.com/office/drawing/2014/main" id="{00000000-0008-0000-1F00-0000AA000000}"/>
            </a:ext>
          </a:extLst>
        </xdr:cNvPr>
        <xdr:cNvSpPr>
          <a:spLocks noChangeShapeType="1"/>
        </xdr:cNvSpPr>
      </xdr:nvSpPr>
      <xdr:spPr bwMode="auto">
        <a:xfrm>
          <a:off x="45053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71" name="Line 436">
          <a:extLst>
            <a:ext uri="{FF2B5EF4-FFF2-40B4-BE49-F238E27FC236}">
              <a16:creationId xmlns:a16="http://schemas.microsoft.com/office/drawing/2014/main" id="{00000000-0008-0000-1F00-0000AB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72" name="Line 437">
          <a:extLst>
            <a:ext uri="{FF2B5EF4-FFF2-40B4-BE49-F238E27FC236}">
              <a16:creationId xmlns:a16="http://schemas.microsoft.com/office/drawing/2014/main" id="{00000000-0008-0000-1F00-0000AC000000}"/>
            </a:ext>
          </a:extLst>
        </xdr:cNvPr>
        <xdr:cNvSpPr>
          <a:spLocks noChangeShapeType="1"/>
        </xdr:cNvSpPr>
      </xdr:nvSpPr>
      <xdr:spPr bwMode="auto">
        <a:xfrm>
          <a:off x="45053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73" name="Line 438">
          <a:extLst>
            <a:ext uri="{FF2B5EF4-FFF2-40B4-BE49-F238E27FC236}">
              <a16:creationId xmlns:a16="http://schemas.microsoft.com/office/drawing/2014/main" id="{00000000-0008-0000-1F00-0000AD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74" name="Line 441">
          <a:extLst>
            <a:ext uri="{FF2B5EF4-FFF2-40B4-BE49-F238E27FC236}">
              <a16:creationId xmlns:a16="http://schemas.microsoft.com/office/drawing/2014/main" id="{00000000-0008-0000-1F00-0000AE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75" name="Line 442">
          <a:extLst>
            <a:ext uri="{FF2B5EF4-FFF2-40B4-BE49-F238E27FC236}">
              <a16:creationId xmlns:a16="http://schemas.microsoft.com/office/drawing/2014/main" id="{00000000-0008-0000-1F00-0000AF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16</xdr:col>
      <xdr:colOff>85725</xdr:colOff>
      <xdr:row>29</xdr:row>
      <xdr:rowOff>0</xdr:rowOff>
    </xdr:from>
    <xdr:to>
      <xdr:col>16</xdr:col>
      <xdr:colOff>85725</xdr:colOff>
      <xdr:row>29</xdr:row>
      <xdr:rowOff>0</xdr:rowOff>
    </xdr:to>
    <xdr:sp macro="" textlink="">
      <xdr:nvSpPr>
        <xdr:cNvPr id="176" name="Line 444">
          <a:extLst>
            <a:ext uri="{FF2B5EF4-FFF2-40B4-BE49-F238E27FC236}">
              <a16:creationId xmlns:a16="http://schemas.microsoft.com/office/drawing/2014/main" id="{00000000-0008-0000-1F00-0000B0000000}"/>
            </a:ext>
          </a:extLst>
        </xdr:cNvPr>
        <xdr:cNvSpPr>
          <a:spLocks noChangeShapeType="1"/>
        </xdr:cNvSpPr>
      </xdr:nvSpPr>
      <xdr:spPr bwMode="auto">
        <a:xfrm>
          <a:off x="280987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76200</xdr:colOff>
      <xdr:row>29</xdr:row>
      <xdr:rowOff>0</xdr:rowOff>
    </xdr:from>
    <xdr:to>
      <xdr:col>16</xdr:col>
      <xdr:colOff>76200</xdr:colOff>
      <xdr:row>29</xdr:row>
      <xdr:rowOff>0</xdr:rowOff>
    </xdr:to>
    <xdr:sp macro="" textlink="">
      <xdr:nvSpPr>
        <xdr:cNvPr id="177" name="Line 445">
          <a:extLst>
            <a:ext uri="{FF2B5EF4-FFF2-40B4-BE49-F238E27FC236}">
              <a16:creationId xmlns:a16="http://schemas.microsoft.com/office/drawing/2014/main" id="{00000000-0008-0000-1F00-0000B1000000}"/>
            </a:ext>
          </a:extLst>
        </xdr:cNvPr>
        <xdr:cNvSpPr>
          <a:spLocks noChangeShapeType="1"/>
        </xdr:cNvSpPr>
      </xdr:nvSpPr>
      <xdr:spPr bwMode="auto">
        <a:xfrm flipV="1">
          <a:off x="28003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78" name="AutoShape 447">
          <a:extLst>
            <a:ext uri="{FF2B5EF4-FFF2-40B4-BE49-F238E27FC236}">
              <a16:creationId xmlns:a16="http://schemas.microsoft.com/office/drawing/2014/main" id="{00000000-0008-0000-1F00-0000B2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79" name="AutoShape 448">
          <a:extLst>
            <a:ext uri="{FF2B5EF4-FFF2-40B4-BE49-F238E27FC236}">
              <a16:creationId xmlns:a16="http://schemas.microsoft.com/office/drawing/2014/main" id="{00000000-0008-0000-1F00-0000B3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80" name="Line 478">
          <a:extLst>
            <a:ext uri="{FF2B5EF4-FFF2-40B4-BE49-F238E27FC236}">
              <a16:creationId xmlns:a16="http://schemas.microsoft.com/office/drawing/2014/main" id="{00000000-0008-0000-1F00-0000B4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81" name="Line 479">
          <a:extLst>
            <a:ext uri="{FF2B5EF4-FFF2-40B4-BE49-F238E27FC236}">
              <a16:creationId xmlns:a16="http://schemas.microsoft.com/office/drawing/2014/main" id="{00000000-0008-0000-1F00-0000B5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82" name="Line 480">
          <a:extLst>
            <a:ext uri="{FF2B5EF4-FFF2-40B4-BE49-F238E27FC236}">
              <a16:creationId xmlns:a16="http://schemas.microsoft.com/office/drawing/2014/main" id="{00000000-0008-0000-1F00-0000B6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83" name="Line 481">
          <a:extLst>
            <a:ext uri="{FF2B5EF4-FFF2-40B4-BE49-F238E27FC236}">
              <a16:creationId xmlns:a16="http://schemas.microsoft.com/office/drawing/2014/main" id="{00000000-0008-0000-1F00-0000B7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84" name="Line 483">
          <a:extLst>
            <a:ext uri="{FF2B5EF4-FFF2-40B4-BE49-F238E27FC236}">
              <a16:creationId xmlns:a16="http://schemas.microsoft.com/office/drawing/2014/main" id="{00000000-0008-0000-1F00-0000B8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85" name="Line 484">
          <a:extLst>
            <a:ext uri="{FF2B5EF4-FFF2-40B4-BE49-F238E27FC236}">
              <a16:creationId xmlns:a16="http://schemas.microsoft.com/office/drawing/2014/main" id="{00000000-0008-0000-1F00-0000B9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86" name="Line 486">
          <a:extLst>
            <a:ext uri="{FF2B5EF4-FFF2-40B4-BE49-F238E27FC236}">
              <a16:creationId xmlns:a16="http://schemas.microsoft.com/office/drawing/2014/main" id="{00000000-0008-0000-1F00-0000BA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87" name="Line 495">
          <a:extLst>
            <a:ext uri="{FF2B5EF4-FFF2-40B4-BE49-F238E27FC236}">
              <a16:creationId xmlns:a16="http://schemas.microsoft.com/office/drawing/2014/main" id="{00000000-0008-0000-1F00-0000BB00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88" name="Line 499">
          <a:extLst>
            <a:ext uri="{FF2B5EF4-FFF2-40B4-BE49-F238E27FC236}">
              <a16:creationId xmlns:a16="http://schemas.microsoft.com/office/drawing/2014/main" id="{00000000-0008-0000-1F00-0000BC000000}"/>
            </a:ext>
          </a:extLst>
        </xdr:cNvPr>
        <xdr:cNvSpPr>
          <a:spLocks noChangeShapeType="1"/>
        </xdr:cNvSpPr>
      </xdr:nvSpPr>
      <xdr:spPr bwMode="auto">
        <a:xfrm>
          <a:off x="45053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89" name="Line 500">
          <a:extLst>
            <a:ext uri="{FF2B5EF4-FFF2-40B4-BE49-F238E27FC236}">
              <a16:creationId xmlns:a16="http://schemas.microsoft.com/office/drawing/2014/main" id="{00000000-0008-0000-1F00-0000BD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90" name="Line 504">
          <a:extLst>
            <a:ext uri="{FF2B5EF4-FFF2-40B4-BE49-F238E27FC236}">
              <a16:creationId xmlns:a16="http://schemas.microsoft.com/office/drawing/2014/main" id="{00000000-0008-0000-1F00-0000BE000000}"/>
            </a:ext>
          </a:extLst>
        </xdr:cNvPr>
        <xdr:cNvSpPr>
          <a:spLocks noChangeShapeType="1"/>
        </xdr:cNvSpPr>
      </xdr:nvSpPr>
      <xdr:spPr bwMode="auto">
        <a:xfrm>
          <a:off x="45053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91" name="Line 505">
          <a:extLst>
            <a:ext uri="{FF2B5EF4-FFF2-40B4-BE49-F238E27FC236}">
              <a16:creationId xmlns:a16="http://schemas.microsoft.com/office/drawing/2014/main" id="{00000000-0008-0000-1F00-0000BF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92" name="Line 513">
          <a:extLst>
            <a:ext uri="{FF2B5EF4-FFF2-40B4-BE49-F238E27FC236}">
              <a16:creationId xmlns:a16="http://schemas.microsoft.com/office/drawing/2014/main" id="{00000000-0008-0000-1F00-0000C0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93" name="Line 514">
          <a:extLst>
            <a:ext uri="{FF2B5EF4-FFF2-40B4-BE49-F238E27FC236}">
              <a16:creationId xmlns:a16="http://schemas.microsoft.com/office/drawing/2014/main" id="{00000000-0008-0000-1F00-0000C1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94" name="AutoShape 518">
          <a:extLst>
            <a:ext uri="{FF2B5EF4-FFF2-40B4-BE49-F238E27FC236}">
              <a16:creationId xmlns:a16="http://schemas.microsoft.com/office/drawing/2014/main" id="{00000000-0008-0000-1F00-0000C2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95" name="AutoShape 519">
          <a:extLst>
            <a:ext uri="{FF2B5EF4-FFF2-40B4-BE49-F238E27FC236}">
              <a16:creationId xmlns:a16="http://schemas.microsoft.com/office/drawing/2014/main" id="{00000000-0008-0000-1F00-0000C3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96" name="Line 549">
          <a:extLst>
            <a:ext uri="{FF2B5EF4-FFF2-40B4-BE49-F238E27FC236}">
              <a16:creationId xmlns:a16="http://schemas.microsoft.com/office/drawing/2014/main" id="{00000000-0008-0000-1F00-0000C4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97" name="Line 550">
          <a:extLst>
            <a:ext uri="{FF2B5EF4-FFF2-40B4-BE49-F238E27FC236}">
              <a16:creationId xmlns:a16="http://schemas.microsoft.com/office/drawing/2014/main" id="{00000000-0008-0000-1F00-0000C5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98" name="Line 551">
          <a:extLst>
            <a:ext uri="{FF2B5EF4-FFF2-40B4-BE49-F238E27FC236}">
              <a16:creationId xmlns:a16="http://schemas.microsoft.com/office/drawing/2014/main" id="{00000000-0008-0000-1F00-0000C6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99" name="Line 552">
          <a:extLst>
            <a:ext uri="{FF2B5EF4-FFF2-40B4-BE49-F238E27FC236}">
              <a16:creationId xmlns:a16="http://schemas.microsoft.com/office/drawing/2014/main" id="{00000000-0008-0000-1F00-0000C7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00" name="Line 554">
          <a:extLst>
            <a:ext uri="{FF2B5EF4-FFF2-40B4-BE49-F238E27FC236}">
              <a16:creationId xmlns:a16="http://schemas.microsoft.com/office/drawing/2014/main" id="{00000000-0008-0000-1F00-0000C8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01" name="Line 555">
          <a:extLst>
            <a:ext uri="{FF2B5EF4-FFF2-40B4-BE49-F238E27FC236}">
              <a16:creationId xmlns:a16="http://schemas.microsoft.com/office/drawing/2014/main" id="{00000000-0008-0000-1F00-0000C9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202" name="Line 557">
          <a:extLst>
            <a:ext uri="{FF2B5EF4-FFF2-40B4-BE49-F238E27FC236}">
              <a16:creationId xmlns:a16="http://schemas.microsoft.com/office/drawing/2014/main" id="{00000000-0008-0000-1F00-0000CA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203" name="Line 566">
          <a:extLst>
            <a:ext uri="{FF2B5EF4-FFF2-40B4-BE49-F238E27FC236}">
              <a16:creationId xmlns:a16="http://schemas.microsoft.com/office/drawing/2014/main" id="{00000000-0008-0000-1F00-0000CB00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04" name="Line 571">
          <a:extLst>
            <a:ext uri="{FF2B5EF4-FFF2-40B4-BE49-F238E27FC236}">
              <a16:creationId xmlns:a16="http://schemas.microsoft.com/office/drawing/2014/main" id="{00000000-0008-0000-1F00-0000CC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05" name="Line 576">
          <a:extLst>
            <a:ext uri="{FF2B5EF4-FFF2-40B4-BE49-F238E27FC236}">
              <a16:creationId xmlns:a16="http://schemas.microsoft.com/office/drawing/2014/main" id="{00000000-0008-0000-1F00-0000CD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06" name="Line 584">
          <a:extLst>
            <a:ext uri="{FF2B5EF4-FFF2-40B4-BE49-F238E27FC236}">
              <a16:creationId xmlns:a16="http://schemas.microsoft.com/office/drawing/2014/main" id="{00000000-0008-0000-1F00-0000CE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07" name="Line 585">
          <a:extLst>
            <a:ext uri="{FF2B5EF4-FFF2-40B4-BE49-F238E27FC236}">
              <a16:creationId xmlns:a16="http://schemas.microsoft.com/office/drawing/2014/main" id="{00000000-0008-0000-1F00-0000CF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208" name="AutoShape 588">
          <a:extLst>
            <a:ext uri="{FF2B5EF4-FFF2-40B4-BE49-F238E27FC236}">
              <a16:creationId xmlns:a16="http://schemas.microsoft.com/office/drawing/2014/main" id="{00000000-0008-0000-1F00-0000D0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209" name="AutoShape 589">
          <a:extLst>
            <a:ext uri="{FF2B5EF4-FFF2-40B4-BE49-F238E27FC236}">
              <a16:creationId xmlns:a16="http://schemas.microsoft.com/office/drawing/2014/main" id="{00000000-0008-0000-1F00-0000D1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10" name="Line 592">
          <a:extLst>
            <a:ext uri="{FF2B5EF4-FFF2-40B4-BE49-F238E27FC236}">
              <a16:creationId xmlns:a16="http://schemas.microsoft.com/office/drawing/2014/main" id="{00000000-0008-0000-1F00-0000D2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11" name="Line 593">
          <a:extLst>
            <a:ext uri="{FF2B5EF4-FFF2-40B4-BE49-F238E27FC236}">
              <a16:creationId xmlns:a16="http://schemas.microsoft.com/office/drawing/2014/main" id="{00000000-0008-0000-1F00-0000D3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12" name="Line 594">
          <a:extLst>
            <a:ext uri="{FF2B5EF4-FFF2-40B4-BE49-F238E27FC236}">
              <a16:creationId xmlns:a16="http://schemas.microsoft.com/office/drawing/2014/main" id="{00000000-0008-0000-1F00-0000D4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13" name="Line 595">
          <a:extLst>
            <a:ext uri="{FF2B5EF4-FFF2-40B4-BE49-F238E27FC236}">
              <a16:creationId xmlns:a16="http://schemas.microsoft.com/office/drawing/2014/main" id="{00000000-0008-0000-1F00-0000D5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14" name="Line 596">
          <a:extLst>
            <a:ext uri="{FF2B5EF4-FFF2-40B4-BE49-F238E27FC236}">
              <a16:creationId xmlns:a16="http://schemas.microsoft.com/office/drawing/2014/main" id="{00000000-0008-0000-1F00-0000D6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15" name="Line 597">
          <a:extLst>
            <a:ext uri="{FF2B5EF4-FFF2-40B4-BE49-F238E27FC236}">
              <a16:creationId xmlns:a16="http://schemas.microsoft.com/office/drawing/2014/main" id="{00000000-0008-0000-1F00-0000D7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216" name="Line 599">
          <a:extLst>
            <a:ext uri="{FF2B5EF4-FFF2-40B4-BE49-F238E27FC236}">
              <a16:creationId xmlns:a16="http://schemas.microsoft.com/office/drawing/2014/main" id="{00000000-0008-0000-1F00-0000D8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17" name="Line 601">
          <a:extLst>
            <a:ext uri="{FF2B5EF4-FFF2-40B4-BE49-F238E27FC236}">
              <a16:creationId xmlns:a16="http://schemas.microsoft.com/office/drawing/2014/main" id="{00000000-0008-0000-1F00-0000D9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18" name="Line 603">
          <a:extLst>
            <a:ext uri="{FF2B5EF4-FFF2-40B4-BE49-F238E27FC236}">
              <a16:creationId xmlns:a16="http://schemas.microsoft.com/office/drawing/2014/main" id="{00000000-0008-0000-1F00-0000DA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19" name="Line 606">
          <a:extLst>
            <a:ext uri="{FF2B5EF4-FFF2-40B4-BE49-F238E27FC236}">
              <a16:creationId xmlns:a16="http://schemas.microsoft.com/office/drawing/2014/main" id="{00000000-0008-0000-1F00-0000DB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20" name="Line 607">
          <a:extLst>
            <a:ext uri="{FF2B5EF4-FFF2-40B4-BE49-F238E27FC236}">
              <a16:creationId xmlns:a16="http://schemas.microsoft.com/office/drawing/2014/main" id="{00000000-0008-0000-1F00-0000DC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9</xdr:col>
      <xdr:colOff>47625</xdr:colOff>
      <xdr:row>29</xdr:row>
      <xdr:rowOff>0</xdr:rowOff>
    </xdr:from>
    <xdr:to>
      <xdr:col>9</xdr:col>
      <xdr:colOff>47625</xdr:colOff>
      <xdr:row>29</xdr:row>
      <xdr:rowOff>0</xdr:rowOff>
    </xdr:to>
    <xdr:sp macro="" textlink="">
      <xdr:nvSpPr>
        <xdr:cNvPr id="221" name="Line 608">
          <a:extLst>
            <a:ext uri="{FF2B5EF4-FFF2-40B4-BE49-F238E27FC236}">
              <a16:creationId xmlns:a16="http://schemas.microsoft.com/office/drawing/2014/main" id="{00000000-0008-0000-1F00-0000DD000000}"/>
            </a:ext>
          </a:extLst>
        </xdr:cNvPr>
        <xdr:cNvSpPr>
          <a:spLocks noChangeShapeType="1"/>
        </xdr:cNvSpPr>
      </xdr:nvSpPr>
      <xdr:spPr bwMode="auto">
        <a:xfrm>
          <a:off x="16383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85725</xdr:colOff>
      <xdr:row>29</xdr:row>
      <xdr:rowOff>0</xdr:rowOff>
    </xdr:from>
    <xdr:to>
      <xdr:col>16</xdr:col>
      <xdr:colOff>85725</xdr:colOff>
      <xdr:row>29</xdr:row>
      <xdr:rowOff>0</xdr:rowOff>
    </xdr:to>
    <xdr:sp macro="" textlink="">
      <xdr:nvSpPr>
        <xdr:cNvPr id="222" name="Line 609">
          <a:extLst>
            <a:ext uri="{FF2B5EF4-FFF2-40B4-BE49-F238E27FC236}">
              <a16:creationId xmlns:a16="http://schemas.microsoft.com/office/drawing/2014/main" id="{00000000-0008-0000-1F00-0000DE000000}"/>
            </a:ext>
          </a:extLst>
        </xdr:cNvPr>
        <xdr:cNvSpPr>
          <a:spLocks noChangeShapeType="1"/>
        </xdr:cNvSpPr>
      </xdr:nvSpPr>
      <xdr:spPr bwMode="auto">
        <a:xfrm>
          <a:off x="280987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76200</xdr:colOff>
      <xdr:row>29</xdr:row>
      <xdr:rowOff>0</xdr:rowOff>
    </xdr:from>
    <xdr:to>
      <xdr:col>16</xdr:col>
      <xdr:colOff>76200</xdr:colOff>
      <xdr:row>29</xdr:row>
      <xdr:rowOff>0</xdr:rowOff>
    </xdr:to>
    <xdr:sp macro="" textlink="">
      <xdr:nvSpPr>
        <xdr:cNvPr id="223" name="Line 610">
          <a:extLst>
            <a:ext uri="{FF2B5EF4-FFF2-40B4-BE49-F238E27FC236}">
              <a16:creationId xmlns:a16="http://schemas.microsoft.com/office/drawing/2014/main" id="{00000000-0008-0000-1F00-0000DF000000}"/>
            </a:ext>
          </a:extLst>
        </xdr:cNvPr>
        <xdr:cNvSpPr>
          <a:spLocks noChangeShapeType="1"/>
        </xdr:cNvSpPr>
      </xdr:nvSpPr>
      <xdr:spPr bwMode="auto">
        <a:xfrm flipV="1">
          <a:off x="28003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224" name="AutoShape 612">
          <a:extLst>
            <a:ext uri="{FF2B5EF4-FFF2-40B4-BE49-F238E27FC236}">
              <a16:creationId xmlns:a16="http://schemas.microsoft.com/office/drawing/2014/main" id="{00000000-0008-0000-1F00-0000E0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225" name="AutoShape 613">
          <a:extLst>
            <a:ext uri="{FF2B5EF4-FFF2-40B4-BE49-F238E27FC236}">
              <a16:creationId xmlns:a16="http://schemas.microsoft.com/office/drawing/2014/main" id="{00000000-0008-0000-1F00-0000E1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26" name="Line 643">
          <a:extLst>
            <a:ext uri="{FF2B5EF4-FFF2-40B4-BE49-F238E27FC236}">
              <a16:creationId xmlns:a16="http://schemas.microsoft.com/office/drawing/2014/main" id="{00000000-0008-0000-1F00-0000E2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27" name="Line 644">
          <a:extLst>
            <a:ext uri="{FF2B5EF4-FFF2-40B4-BE49-F238E27FC236}">
              <a16:creationId xmlns:a16="http://schemas.microsoft.com/office/drawing/2014/main" id="{00000000-0008-0000-1F00-0000E3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28" name="Line 645">
          <a:extLst>
            <a:ext uri="{FF2B5EF4-FFF2-40B4-BE49-F238E27FC236}">
              <a16:creationId xmlns:a16="http://schemas.microsoft.com/office/drawing/2014/main" id="{00000000-0008-0000-1F00-0000E4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29" name="Line 646">
          <a:extLst>
            <a:ext uri="{FF2B5EF4-FFF2-40B4-BE49-F238E27FC236}">
              <a16:creationId xmlns:a16="http://schemas.microsoft.com/office/drawing/2014/main" id="{00000000-0008-0000-1F00-0000E5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30" name="Line 648">
          <a:extLst>
            <a:ext uri="{FF2B5EF4-FFF2-40B4-BE49-F238E27FC236}">
              <a16:creationId xmlns:a16="http://schemas.microsoft.com/office/drawing/2014/main" id="{00000000-0008-0000-1F00-0000E6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31" name="Line 649">
          <a:extLst>
            <a:ext uri="{FF2B5EF4-FFF2-40B4-BE49-F238E27FC236}">
              <a16:creationId xmlns:a16="http://schemas.microsoft.com/office/drawing/2014/main" id="{00000000-0008-0000-1F00-0000E7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232" name="Line 651">
          <a:extLst>
            <a:ext uri="{FF2B5EF4-FFF2-40B4-BE49-F238E27FC236}">
              <a16:creationId xmlns:a16="http://schemas.microsoft.com/office/drawing/2014/main" id="{00000000-0008-0000-1F00-0000E8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233" name="Line 660">
          <a:extLst>
            <a:ext uri="{FF2B5EF4-FFF2-40B4-BE49-F238E27FC236}">
              <a16:creationId xmlns:a16="http://schemas.microsoft.com/office/drawing/2014/main" id="{00000000-0008-0000-1F00-0000E900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34" name="Line 665">
          <a:extLst>
            <a:ext uri="{FF2B5EF4-FFF2-40B4-BE49-F238E27FC236}">
              <a16:creationId xmlns:a16="http://schemas.microsoft.com/office/drawing/2014/main" id="{00000000-0008-0000-1F00-0000EA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35" name="Line 670">
          <a:extLst>
            <a:ext uri="{FF2B5EF4-FFF2-40B4-BE49-F238E27FC236}">
              <a16:creationId xmlns:a16="http://schemas.microsoft.com/office/drawing/2014/main" id="{00000000-0008-0000-1F00-0000EB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36" name="Line 678">
          <a:extLst>
            <a:ext uri="{FF2B5EF4-FFF2-40B4-BE49-F238E27FC236}">
              <a16:creationId xmlns:a16="http://schemas.microsoft.com/office/drawing/2014/main" id="{00000000-0008-0000-1F00-0000EC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37" name="Line 679">
          <a:extLst>
            <a:ext uri="{FF2B5EF4-FFF2-40B4-BE49-F238E27FC236}">
              <a16:creationId xmlns:a16="http://schemas.microsoft.com/office/drawing/2014/main" id="{00000000-0008-0000-1F00-0000ED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238" name="AutoShape 683">
          <a:extLst>
            <a:ext uri="{FF2B5EF4-FFF2-40B4-BE49-F238E27FC236}">
              <a16:creationId xmlns:a16="http://schemas.microsoft.com/office/drawing/2014/main" id="{00000000-0008-0000-1F00-0000EE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239" name="AutoShape 684">
          <a:extLst>
            <a:ext uri="{FF2B5EF4-FFF2-40B4-BE49-F238E27FC236}">
              <a16:creationId xmlns:a16="http://schemas.microsoft.com/office/drawing/2014/main" id="{00000000-0008-0000-1F00-0000EF000000}"/>
            </a:ext>
          </a:extLst>
        </xdr:cNvPr>
        <xdr:cNvCxnSpPr>
          <a:cxnSpLocks noChangeShapeType="1"/>
        </xdr:cNvCxnSpPr>
      </xdr:nvCxnSpPr>
      <xdr:spPr bwMode="auto">
        <a:xfrm>
          <a:off x="2276475" y="18392775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40" name="Line 714">
          <a:extLst>
            <a:ext uri="{FF2B5EF4-FFF2-40B4-BE49-F238E27FC236}">
              <a16:creationId xmlns:a16="http://schemas.microsoft.com/office/drawing/2014/main" id="{00000000-0008-0000-1F00-0000F0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41" name="Line 715">
          <a:extLst>
            <a:ext uri="{FF2B5EF4-FFF2-40B4-BE49-F238E27FC236}">
              <a16:creationId xmlns:a16="http://schemas.microsoft.com/office/drawing/2014/main" id="{00000000-0008-0000-1F00-0000F1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42" name="Line 716">
          <a:extLst>
            <a:ext uri="{FF2B5EF4-FFF2-40B4-BE49-F238E27FC236}">
              <a16:creationId xmlns:a16="http://schemas.microsoft.com/office/drawing/2014/main" id="{00000000-0008-0000-1F00-0000F2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43" name="Line 717">
          <a:extLst>
            <a:ext uri="{FF2B5EF4-FFF2-40B4-BE49-F238E27FC236}">
              <a16:creationId xmlns:a16="http://schemas.microsoft.com/office/drawing/2014/main" id="{00000000-0008-0000-1F00-0000F3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44" name="Line 719">
          <a:extLst>
            <a:ext uri="{FF2B5EF4-FFF2-40B4-BE49-F238E27FC236}">
              <a16:creationId xmlns:a16="http://schemas.microsoft.com/office/drawing/2014/main" id="{00000000-0008-0000-1F00-0000F4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45" name="Line 720">
          <a:extLst>
            <a:ext uri="{FF2B5EF4-FFF2-40B4-BE49-F238E27FC236}">
              <a16:creationId xmlns:a16="http://schemas.microsoft.com/office/drawing/2014/main" id="{00000000-0008-0000-1F00-0000F5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246" name="Line 722">
          <a:extLst>
            <a:ext uri="{FF2B5EF4-FFF2-40B4-BE49-F238E27FC236}">
              <a16:creationId xmlns:a16="http://schemas.microsoft.com/office/drawing/2014/main" id="{00000000-0008-0000-1F00-0000F600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247" name="Line 731">
          <a:extLst>
            <a:ext uri="{FF2B5EF4-FFF2-40B4-BE49-F238E27FC236}">
              <a16:creationId xmlns:a16="http://schemas.microsoft.com/office/drawing/2014/main" id="{00000000-0008-0000-1F00-0000F700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48" name="Line 736">
          <a:extLst>
            <a:ext uri="{FF2B5EF4-FFF2-40B4-BE49-F238E27FC236}">
              <a16:creationId xmlns:a16="http://schemas.microsoft.com/office/drawing/2014/main" id="{00000000-0008-0000-1F00-0000F8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49" name="Line 741">
          <a:extLst>
            <a:ext uri="{FF2B5EF4-FFF2-40B4-BE49-F238E27FC236}">
              <a16:creationId xmlns:a16="http://schemas.microsoft.com/office/drawing/2014/main" id="{00000000-0008-0000-1F00-0000F900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50" name="Line 749">
          <a:extLst>
            <a:ext uri="{FF2B5EF4-FFF2-40B4-BE49-F238E27FC236}">
              <a16:creationId xmlns:a16="http://schemas.microsoft.com/office/drawing/2014/main" id="{00000000-0008-0000-1F00-0000FA00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51" name="Line 750">
          <a:extLst>
            <a:ext uri="{FF2B5EF4-FFF2-40B4-BE49-F238E27FC236}">
              <a16:creationId xmlns:a16="http://schemas.microsoft.com/office/drawing/2014/main" id="{00000000-0008-0000-1F00-0000FB00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52" name="Line 785">
          <a:extLst>
            <a:ext uri="{FF2B5EF4-FFF2-40B4-BE49-F238E27FC236}">
              <a16:creationId xmlns:a16="http://schemas.microsoft.com/office/drawing/2014/main" id="{00000000-0008-0000-1F00-0000FC00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53" name="Line 786">
          <a:extLst>
            <a:ext uri="{FF2B5EF4-FFF2-40B4-BE49-F238E27FC236}">
              <a16:creationId xmlns:a16="http://schemas.microsoft.com/office/drawing/2014/main" id="{00000000-0008-0000-1F00-0000FD00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54" name="Line 787">
          <a:extLst>
            <a:ext uri="{FF2B5EF4-FFF2-40B4-BE49-F238E27FC236}">
              <a16:creationId xmlns:a16="http://schemas.microsoft.com/office/drawing/2014/main" id="{00000000-0008-0000-1F00-0000FE00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55" name="Line 788">
          <a:extLst>
            <a:ext uri="{FF2B5EF4-FFF2-40B4-BE49-F238E27FC236}">
              <a16:creationId xmlns:a16="http://schemas.microsoft.com/office/drawing/2014/main" id="{00000000-0008-0000-1F00-0000FF00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56" name="Line 790">
          <a:extLst>
            <a:ext uri="{FF2B5EF4-FFF2-40B4-BE49-F238E27FC236}">
              <a16:creationId xmlns:a16="http://schemas.microsoft.com/office/drawing/2014/main" id="{00000000-0008-0000-1F00-00000001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57" name="Line 791">
          <a:extLst>
            <a:ext uri="{FF2B5EF4-FFF2-40B4-BE49-F238E27FC236}">
              <a16:creationId xmlns:a16="http://schemas.microsoft.com/office/drawing/2014/main" id="{00000000-0008-0000-1F00-00000101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258" name="Line 793">
          <a:extLst>
            <a:ext uri="{FF2B5EF4-FFF2-40B4-BE49-F238E27FC236}">
              <a16:creationId xmlns:a16="http://schemas.microsoft.com/office/drawing/2014/main" id="{00000000-0008-0000-1F00-00000201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259" name="Line 802">
          <a:extLst>
            <a:ext uri="{FF2B5EF4-FFF2-40B4-BE49-F238E27FC236}">
              <a16:creationId xmlns:a16="http://schemas.microsoft.com/office/drawing/2014/main" id="{00000000-0008-0000-1F00-00000301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60" name="Line 807">
          <a:extLst>
            <a:ext uri="{FF2B5EF4-FFF2-40B4-BE49-F238E27FC236}">
              <a16:creationId xmlns:a16="http://schemas.microsoft.com/office/drawing/2014/main" id="{00000000-0008-0000-1F00-00000401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61" name="Line 812">
          <a:extLst>
            <a:ext uri="{FF2B5EF4-FFF2-40B4-BE49-F238E27FC236}">
              <a16:creationId xmlns:a16="http://schemas.microsoft.com/office/drawing/2014/main" id="{00000000-0008-0000-1F00-00000501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62" name="Line 820">
          <a:extLst>
            <a:ext uri="{FF2B5EF4-FFF2-40B4-BE49-F238E27FC236}">
              <a16:creationId xmlns:a16="http://schemas.microsoft.com/office/drawing/2014/main" id="{00000000-0008-0000-1F00-00000601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63" name="Line 821">
          <a:extLst>
            <a:ext uri="{FF2B5EF4-FFF2-40B4-BE49-F238E27FC236}">
              <a16:creationId xmlns:a16="http://schemas.microsoft.com/office/drawing/2014/main" id="{00000000-0008-0000-1F00-00000701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64" name="Line 856">
          <a:extLst>
            <a:ext uri="{FF2B5EF4-FFF2-40B4-BE49-F238E27FC236}">
              <a16:creationId xmlns:a16="http://schemas.microsoft.com/office/drawing/2014/main" id="{00000000-0008-0000-1F00-00000801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65" name="Line 857">
          <a:extLst>
            <a:ext uri="{FF2B5EF4-FFF2-40B4-BE49-F238E27FC236}">
              <a16:creationId xmlns:a16="http://schemas.microsoft.com/office/drawing/2014/main" id="{00000000-0008-0000-1F00-00000901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66" name="Line 858">
          <a:extLst>
            <a:ext uri="{FF2B5EF4-FFF2-40B4-BE49-F238E27FC236}">
              <a16:creationId xmlns:a16="http://schemas.microsoft.com/office/drawing/2014/main" id="{00000000-0008-0000-1F00-00000A010000}"/>
            </a:ext>
          </a:extLst>
        </xdr:cNvPr>
        <xdr:cNvSpPr>
          <a:spLocks noChangeShapeType="1"/>
        </xdr:cNvSpPr>
      </xdr:nvSpPr>
      <xdr:spPr bwMode="auto">
        <a:xfrm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67" name="Line 859">
          <a:extLst>
            <a:ext uri="{FF2B5EF4-FFF2-40B4-BE49-F238E27FC236}">
              <a16:creationId xmlns:a16="http://schemas.microsoft.com/office/drawing/2014/main" id="{00000000-0008-0000-1F00-00000B010000}"/>
            </a:ext>
          </a:extLst>
        </xdr:cNvPr>
        <xdr:cNvSpPr>
          <a:spLocks noChangeShapeType="1"/>
        </xdr:cNvSpPr>
      </xdr:nvSpPr>
      <xdr:spPr bwMode="auto">
        <a:xfrm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268" name="Line 861">
          <a:extLst>
            <a:ext uri="{FF2B5EF4-FFF2-40B4-BE49-F238E27FC236}">
              <a16:creationId xmlns:a16="http://schemas.microsoft.com/office/drawing/2014/main" id="{00000000-0008-0000-1F00-00000C010000}"/>
            </a:ext>
          </a:extLst>
        </xdr:cNvPr>
        <xdr:cNvSpPr>
          <a:spLocks noChangeShapeType="1"/>
        </xdr:cNvSpPr>
      </xdr:nvSpPr>
      <xdr:spPr bwMode="auto">
        <a:xfrm flipV="1">
          <a:off x="1609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269" name="Line 862">
          <a:extLst>
            <a:ext uri="{FF2B5EF4-FFF2-40B4-BE49-F238E27FC236}">
              <a16:creationId xmlns:a16="http://schemas.microsoft.com/office/drawing/2014/main" id="{00000000-0008-0000-1F00-00000D010000}"/>
            </a:ext>
          </a:extLst>
        </xdr:cNvPr>
        <xdr:cNvSpPr>
          <a:spLocks noChangeShapeType="1"/>
        </xdr:cNvSpPr>
      </xdr:nvSpPr>
      <xdr:spPr bwMode="auto">
        <a:xfrm flipV="1">
          <a:off x="29432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270" name="Line 864">
          <a:extLst>
            <a:ext uri="{FF2B5EF4-FFF2-40B4-BE49-F238E27FC236}">
              <a16:creationId xmlns:a16="http://schemas.microsoft.com/office/drawing/2014/main" id="{00000000-0008-0000-1F00-00000E010000}"/>
            </a:ext>
          </a:extLst>
        </xdr:cNvPr>
        <xdr:cNvSpPr>
          <a:spLocks noChangeShapeType="1"/>
        </xdr:cNvSpPr>
      </xdr:nvSpPr>
      <xdr:spPr bwMode="auto">
        <a:xfrm flipV="1">
          <a:off x="264795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271" name="Line 873">
          <a:extLst>
            <a:ext uri="{FF2B5EF4-FFF2-40B4-BE49-F238E27FC236}">
              <a16:creationId xmlns:a16="http://schemas.microsoft.com/office/drawing/2014/main" id="{00000000-0008-0000-1F00-00000F010000}"/>
            </a:ext>
          </a:extLst>
        </xdr:cNvPr>
        <xdr:cNvSpPr>
          <a:spLocks noChangeShapeType="1"/>
        </xdr:cNvSpPr>
      </xdr:nvSpPr>
      <xdr:spPr bwMode="auto">
        <a:xfrm flipV="1">
          <a:off x="32099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72" name="Line 878">
          <a:extLst>
            <a:ext uri="{FF2B5EF4-FFF2-40B4-BE49-F238E27FC236}">
              <a16:creationId xmlns:a16="http://schemas.microsoft.com/office/drawing/2014/main" id="{00000000-0008-0000-1F00-00001001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73" name="Line 883">
          <a:extLst>
            <a:ext uri="{FF2B5EF4-FFF2-40B4-BE49-F238E27FC236}">
              <a16:creationId xmlns:a16="http://schemas.microsoft.com/office/drawing/2014/main" id="{00000000-0008-0000-1F00-000011010000}"/>
            </a:ext>
          </a:extLst>
        </xdr:cNvPr>
        <xdr:cNvSpPr>
          <a:spLocks noChangeShapeType="1"/>
        </xdr:cNvSpPr>
      </xdr:nvSpPr>
      <xdr:spPr bwMode="auto">
        <a:xfrm>
          <a:off x="5638800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74" name="Line 891">
          <a:extLst>
            <a:ext uri="{FF2B5EF4-FFF2-40B4-BE49-F238E27FC236}">
              <a16:creationId xmlns:a16="http://schemas.microsoft.com/office/drawing/2014/main" id="{00000000-0008-0000-1F00-000012010000}"/>
            </a:ext>
          </a:extLst>
        </xdr:cNvPr>
        <xdr:cNvSpPr>
          <a:spLocks noChangeShapeType="1"/>
        </xdr:cNvSpPr>
      </xdr:nvSpPr>
      <xdr:spPr bwMode="auto">
        <a:xfrm flipV="1"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75" name="Line 892">
          <a:extLst>
            <a:ext uri="{FF2B5EF4-FFF2-40B4-BE49-F238E27FC236}">
              <a16:creationId xmlns:a16="http://schemas.microsoft.com/office/drawing/2014/main" id="{00000000-0008-0000-1F00-000013010000}"/>
            </a:ext>
          </a:extLst>
        </xdr:cNvPr>
        <xdr:cNvSpPr>
          <a:spLocks noChangeShapeType="1"/>
        </xdr:cNvSpPr>
      </xdr:nvSpPr>
      <xdr:spPr bwMode="auto">
        <a:xfrm>
          <a:off x="5800725" y="18392775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8</xdr:col>
      <xdr:colOff>152400</xdr:colOff>
      <xdr:row>5</xdr:row>
      <xdr:rowOff>85725</xdr:rowOff>
    </xdr:from>
    <xdr:to>
      <xdr:col>17</xdr:col>
      <xdr:colOff>0</xdr:colOff>
      <xdr:row>5</xdr:row>
      <xdr:rowOff>85725</xdr:rowOff>
    </xdr:to>
    <xdr:sp macro="" textlink="">
      <xdr:nvSpPr>
        <xdr:cNvPr id="276" name="Line 336">
          <a:extLst>
            <a:ext uri="{FF2B5EF4-FFF2-40B4-BE49-F238E27FC236}">
              <a16:creationId xmlns:a16="http://schemas.microsoft.com/office/drawing/2014/main" id="{00000000-0008-0000-1F00-000014010000}"/>
            </a:ext>
          </a:extLst>
        </xdr:cNvPr>
        <xdr:cNvSpPr>
          <a:spLocks noChangeShapeType="1"/>
        </xdr:cNvSpPr>
      </xdr:nvSpPr>
      <xdr:spPr bwMode="auto">
        <a:xfrm>
          <a:off x="1562100" y="10839450"/>
          <a:ext cx="1323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8</xdr:row>
      <xdr:rowOff>257175</xdr:rowOff>
    </xdr:from>
    <xdr:to>
      <xdr:col>17</xdr:col>
      <xdr:colOff>9525</xdr:colOff>
      <xdr:row>8</xdr:row>
      <xdr:rowOff>266700</xdr:rowOff>
    </xdr:to>
    <xdr:sp macro="" textlink="">
      <xdr:nvSpPr>
        <xdr:cNvPr id="277" name="Line 336">
          <a:extLst>
            <a:ext uri="{FF2B5EF4-FFF2-40B4-BE49-F238E27FC236}">
              <a16:creationId xmlns:a16="http://schemas.microsoft.com/office/drawing/2014/main" id="{00000000-0008-0000-1F00-000015010000}"/>
            </a:ext>
          </a:extLst>
        </xdr:cNvPr>
        <xdr:cNvSpPr>
          <a:spLocks noChangeShapeType="1"/>
        </xdr:cNvSpPr>
      </xdr:nvSpPr>
      <xdr:spPr bwMode="auto">
        <a:xfrm>
          <a:off x="1590675" y="12030075"/>
          <a:ext cx="1304925" cy="95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5</xdr:row>
      <xdr:rowOff>85725</xdr:rowOff>
    </xdr:from>
    <xdr:to>
      <xdr:col>9</xdr:col>
      <xdr:colOff>9525</xdr:colOff>
      <xdr:row>8</xdr:row>
      <xdr:rowOff>257175</xdr:rowOff>
    </xdr:to>
    <xdr:sp macro="" textlink="">
      <xdr:nvSpPr>
        <xdr:cNvPr id="278" name="Line 334">
          <a:extLst>
            <a:ext uri="{FF2B5EF4-FFF2-40B4-BE49-F238E27FC236}">
              <a16:creationId xmlns:a16="http://schemas.microsoft.com/office/drawing/2014/main" id="{00000000-0008-0000-1F00-000016010000}"/>
            </a:ext>
          </a:extLst>
        </xdr:cNvPr>
        <xdr:cNvSpPr>
          <a:spLocks noChangeShapeType="1"/>
        </xdr:cNvSpPr>
      </xdr:nvSpPr>
      <xdr:spPr bwMode="auto">
        <a:xfrm>
          <a:off x="1590675" y="10839450"/>
          <a:ext cx="9525" cy="11906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85725</xdr:rowOff>
    </xdr:from>
    <xdr:to>
      <xdr:col>17</xdr:col>
      <xdr:colOff>9525</xdr:colOff>
      <xdr:row>8</xdr:row>
      <xdr:rowOff>276225</xdr:rowOff>
    </xdr:to>
    <xdr:sp macro="" textlink="">
      <xdr:nvSpPr>
        <xdr:cNvPr id="279" name="Line 334">
          <a:extLst>
            <a:ext uri="{FF2B5EF4-FFF2-40B4-BE49-F238E27FC236}">
              <a16:creationId xmlns:a16="http://schemas.microsoft.com/office/drawing/2014/main" id="{00000000-0008-0000-1F00-000017010000}"/>
            </a:ext>
          </a:extLst>
        </xdr:cNvPr>
        <xdr:cNvSpPr>
          <a:spLocks noChangeShapeType="1"/>
        </xdr:cNvSpPr>
      </xdr:nvSpPr>
      <xdr:spPr bwMode="auto">
        <a:xfrm>
          <a:off x="2895600" y="10839450"/>
          <a:ext cx="0" cy="12096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4</xdr:row>
      <xdr:rowOff>161925</xdr:rowOff>
    </xdr:from>
    <xdr:to>
      <xdr:col>13</xdr:col>
      <xdr:colOff>38100</xdr:colOff>
      <xdr:row>5</xdr:row>
      <xdr:rowOff>66675</xdr:rowOff>
    </xdr:to>
    <xdr:cxnSp macro="">
      <xdr:nvCxnSpPr>
        <xdr:cNvPr id="2" name="AutoShape 282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400175"/>
          <a:ext cx="0" cy="20955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8</xdr:row>
      <xdr:rowOff>257175</xdr:rowOff>
    </xdr:from>
    <xdr:to>
      <xdr:col>13</xdr:col>
      <xdr:colOff>38100</xdr:colOff>
      <xdr:row>9</xdr:row>
      <xdr:rowOff>190500</xdr:rowOff>
    </xdr:to>
    <xdr:cxnSp macro="">
      <xdr:nvCxnSpPr>
        <xdr:cNvPr id="3" name="AutoShape 283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CxnSpPr>
          <a:cxnSpLocks noChangeShapeType="1"/>
        </xdr:cNvCxnSpPr>
      </xdr:nvCxnSpPr>
      <xdr:spPr bwMode="auto">
        <a:xfrm>
          <a:off x="2276475" y="2819400"/>
          <a:ext cx="0" cy="409575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12</xdr:col>
      <xdr:colOff>9525</xdr:colOff>
      <xdr:row>4</xdr:row>
      <xdr:rowOff>161925</xdr:rowOff>
    </xdr:from>
    <xdr:to>
      <xdr:col>13</xdr:col>
      <xdr:colOff>38100</xdr:colOff>
      <xdr:row>4</xdr:row>
      <xdr:rowOff>161925</xdr:rowOff>
    </xdr:to>
    <xdr:cxnSp macro="">
      <xdr:nvCxnSpPr>
        <xdr:cNvPr id="4" name="AutoShape 284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CxnSpPr>
          <a:cxnSpLocks noChangeShapeType="1"/>
        </xdr:cNvCxnSpPr>
      </xdr:nvCxnSpPr>
      <xdr:spPr bwMode="auto">
        <a:xfrm flipH="1">
          <a:off x="2085975" y="1400175"/>
          <a:ext cx="19050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12</xdr:col>
      <xdr:colOff>0</xdr:colOff>
      <xdr:row>9</xdr:row>
      <xdr:rowOff>190500</xdr:rowOff>
    </xdr:from>
    <xdr:to>
      <xdr:col>13</xdr:col>
      <xdr:colOff>38100</xdr:colOff>
      <xdr:row>9</xdr:row>
      <xdr:rowOff>190500</xdr:rowOff>
    </xdr:to>
    <xdr:cxnSp macro="">
      <xdr:nvCxnSpPr>
        <xdr:cNvPr id="5" name="AutoShape 285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CxnSpPr>
          <a:cxnSpLocks noChangeShapeType="1"/>
        </xdr:cNvCxnSpPr>
      </xdr:nvCxnSpPr>
      <xdr:spPr bwMode="auto">
        <a:xfrm flipH="1">
          <a:off x="2076450" y="3228975"/>
          <a:ext cx="20002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17</xdr:col>
      <xdr:colOff>57150</xdr:colOff>
      <xdr:row>7</xdr:row>
      <xdr:rowOff>9525</xdr:rowOff>
    </xdr:from>
    <xdr:to>
      <xdr:col>19</xdr:col>
      <xdr:colOff>66675</xdr:colOff>
      <xdr:row>7</xdr:row>
      <xdr:rowOff>9525</xdr:rowOff>
    </xdr:to>
    <xdr:cxnSp macro="">
      <xdr:nvCxnSpPr>
        <xdr:cNvPr id="6" name="AutoShape 286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CxnSpPr>
          <a:cxnSpLocks noChangeShapeType="1"/>
        </xdr:cNvCxnSpPr>
      </xdr:nvCxnSpPr>
      <xdr:spPr bwMode="auto">
        <a:xfrm>
          <a:off x="2943225" y="2266950"/>
          <a:ext cx="33337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19050</xdr:colOff>
      <xdr:row>7</xdr:row>
      <xdr:rowOff>9525</xdr:rowOff>
    </xdr:to>
    <xdr:cxnSp macro="">
      <xdr:nvCxnSpPr>
        <xdr:cNvPr id="7" name="AutoShape 287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CxnSpPr>
          <a:cxnSpLocks noChangeShapeType="1"/>
        </xdr:cNvCxnSpPr>
      </xdr:nvCxnSpPr>
      <xdr:spPr bwMode="auto">
        <a:xfrm flipH="1">
          <a:off x="1314450" y="2266950"/>
          <a:ext cx="29527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19</xdr:col>
      <xdr:colOff>66675</xdr:colOff>
      <xdr:row>6</xdr:row>
      <xdr:rowOff>152400</xdr:rowOff>
    </xdr:from>
    <xdr:to>
      <xdr:col>19</xdr:col>
      <xdr:colOff>66675</xdr:colOff>
      <xdr:row>7</xdr:row>
      <xdr:rowOff>9525</xdr:rowOff>
    </xdr:to>
    <xdr:cxnSp macro="">
      <xdr:nvCxnSpPr>
        <xdr:cNvPr id="8" name="AutoShape 288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CxnSpPr>
          <a:cxnSpLocks noChangeShapeType="1"/>
        </xdr:cNvCxnSpPr>
      </xdr:nvCxnSpPr>
      <xdr:spPr bwMode="auto">
        <a:xfrm flipV="1">
          <a:off x="3276600" y="2105025"/>
          <a:ext cx="0" cy="161925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7</xdr:col>
      <xdr:colOff>66675</xdr:colOff>
      <xdr:row>6</xdr:row>
      <xdr:rowOff>161925</xdr:rowOff>
    </xdr:from>
    <xdr:to>
      <xdr:col>7</xdr:col>
      <xdr:colOff>66675</xdr:colOff>
      <xdr:row>7</xdr:row>
      <xdr:rowOff>9525</xdr:rowOff>
    </xdr:to>
    <xdr:cxnSp macro="">
      <xdr:nvCxnSpPr>
        <xdr:cNvPr id="9" name="AutoShape 289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CxnSpPr>
          <a:cxnSpLocks noChangeShapeType="1"/>
        </xdr:cNvCxnSpPr>
      </xdr:nvCxnSpPr>
      <xdr:spPr bwMode="auto">
        <a:xfrm flipV="1">
          <a:off x="1314450" y="2114550"/>
          <a:ext cx="0" cy="15240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 type="triangle" w="sm" len="sm"/>
        </a:ln>
      </xdr:spPr>
    </xdr:cxnSp>
    <xdr:clientData/>
  </xdr:twoCellAnchor>
  <xdr:twoCellAnchor>
    <xdr:from>
      <xdr:col>9</xdr:col>
      <xdr:colOff>9525</xdr:colOff>
      <xdr:row>6</xdr:row>
      <xdr:rowOff>9525</xdr:rowOff>
    </xdr:from>
    <xdr:to>
      <xdr:col>17</xdr:col>
      <xdr:colOff>19050</xdr:colOff>
      <xdr:row>6</xdr:row>
      <xdr:rowOff>123825</xdr:rowOff>
    </xdr:to>
    <xdr:sp macro="" textlink="">
      <xdr:nvSpPr>
        <xdr:cNvPr id="10" name="Line 290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>
          <a:spLocks noChangeShapeType="1"/>
        </xdr:cNvSpPr>
      </xdr:nvSpPr>
      <xdr:spPr bwMode="auto">
        <a:xfrm flipV="1">
          <a:off x="1600200" y="1962150"/>
          <a:ext cx="1304925" cy="114300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9</xdr:col>
      <xdr:colOff>9525</xdr:colOff>
      <xdr:row>7</xdr:row>
      <xdr:rowOff>171450</xdr:rowOff>
    </xdr:from>
    <xdr:to>
      <xdr:col>17</xdr:col>
      <xdr:colOff>9525</xdr:colOff>
      <xdr:row>8</xdr:row>
      <xdr:rowOff>9525</xdr:rowOff>
    </xdr:to>
    <xdr:sp macro="" textlink="">
      <xdr:nvSpPr>
        <xdr:cNvPr id="11" name="Line 291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>
          <a:spLocks noChangeShapeType="1"/>
        </xdr:cNvSpPr>
      </xdr:nvSpPr>
      <xdr:spPr bwMode="auto">
        <a:xfrm>
          <a:off x="1600200" y="2428875"/>
          <a:ext cx="1295400" cy="142875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</xdr:col>
      <xdr:colOff>66675</xdr:colOff>
      <xdr:row>5</xdr:row>
      <xdr:rowOff>76200</xdr:rowOff>
    </xdr:from>
    <xdr:to>
      <xdr:col>7</xdr:col>
      <xdr:colOff>9525</xdr:colOff>
      <xdr:row>5</xdr:row>
      <xdr:rowOff>76200</xdr:rowOff>
    </xdr:to>
    <xdr:cxnSp macro="">
      <xdr:nvCxnSpPr>
        <xdr:cNvPr id="12" name="AutoShape 292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CxnSpPr>
          <a:cxnSpLocks noChangeShapeType="1"/>
        </xdr:cNvCxnSpPr>
      </xdr:nvCxnSpPr>
      <xdr:spPr bwMode="auto">
        <a:xfrm flipH="1">
          <a:off x="504825" y="1619250"/>
          <a:ext cx="75247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2</xdr:col>
      <xdr:colOff>66675</xdr:colOff>
      <xdr:row>8</xdr:row>
      <xdr:rowOff>257175</xdr:rowOff>
    </xdr:from>
    <xdr:to>
      <xdr:col>7</xdr:col>
      <xdr:colOff>0</xdr:colOff>
      <xdr:row>8</xdr:row>
      <xdr:rowOff>257175</xdr:rowOff>
    </xdr:to>
    <xdr:cxnSp macro="">
      <xdr:nvCxnSpPr>
        <xdr:cNvPr id="13" name="AutoShape 293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CxnSpPr>
          <a:cxnSpLocks noChangeShapeType="1"/>
        </xdr:cNvCxnSpPr>
      </xdr:nvCxnSpPr>
      <xdr:spPr bwMode="auto">
        <a:xfrm flipH="1">
          <a:off x="504825" y="2819400"/>
          <a:ext cx="74295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4</xdr:col>
      <xdr:colOff>47625</xdr:colOff>
      <xdr:row>6</xdr:row>
      <xdr:rowOff>114300</xdr:rowOff>
    </xdr:from>
    <xdr:to>
      <xdr:col>7</xdr:col>
      <xdr:colOff>0</xdr:colOff>
      <xdr:row>6</xdr:row>
      <xdr:rowOff>114300</xdr:rowOff>
    </xdr:to>
    <xdr:sp macro="" textlink="">
      <xdr:nvSpPr>
        <xdr:cNvPr id="14" name="Line 294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>
          <a:spLocks noChangeShapeType="1"/>
        </xdr:cNvSpPr>
      </xdr:nvSpPr>
      <xdr:spPr bwMode="auto">
        <a:xfrm flipH="1">
          <a:off x="809625" y="2066925"/>
          <a:ext cx="4381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</xdr:colOff>
      <xdr:row>7</xdr:row>
      <xdr:rowOff>180975</xdr:rowOff>
    </xdr:from>
    <xdr:to>
      <xdr:col>7</xdr:col>
      <xdr:colOff>0</xdr:colOff>
      <xdr:row>7</xdr:row>
      <xdr:rowOff>180975</xdr:rowOff>
    </xdr:to>
    <xdr:sp macro="" textlink="">
      <xdr:nvSpPr>
        <xdr:cNvPr id="15" name="Line 295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>
          <a:spLocks noChangeShapeType="1"/>
        </xdr:cNvSpPr>
      </xdr:nvSpPr>
      <xdr:spPr bwMode="auto">
        <a:xfrm flipH="1">
          <a:off x="809625" y="2438400"/>
          <a:ext cx="43815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5</xdr:row>
      <xdr:rowOff>66675</xdr:rowOff>
    </xdr:from>
    <xdr:to>
      <xdr:col>5</xdr:col>
      <xdr:colOff>0</xdr:colOff>
      <xdr:row>6</xdr:row>
      <xdr:rowOff>114300</xdr:rowOff>
    </xdr:to>
    <xdr:sp macro="" textlink="">
      <xdr:nvSpPr>
        <xdr:cNvPr id="16" name="Line 296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>
          <a:spLocks noChangeShapeType="1"/>
        </xdr:cNvSpPr>
      </xdr:nvSpPr>
      <xdr:spPr bwMode="auto">
        <a:xfrm>
          <a:off x="923925" y="1609725"/>
          <a:ext cx="0" cy="45720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0</xdr:colOff>
      <xdr:row>6</xdr:row>
      <xdr:rowOff>114300</xdr:rowOff>
    </xdr:from>
    <xdr:to>
      <xdr:col>5</xdr:col>
      <xdr:colOff>0</xdr:colOff>
      <xdr:row>7</xdr:row>
      <xdr:rowOff>180975</xdr:rowOff>
    </xdr:to>
    <xdr:sp macro="" textlink="">
      <xdr:nvSpPr>
        <xdr:cNvPr id="17" name="Line 297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>
          <a:spLocks noChangeShapeType="1"/>
        </xdr:cNvSpPr>
      </xdr:nvSpPr>
      <xdr:spPr bwMode="auto">
        <a:xfrm>
          <a:off x="923925" y="2066925"/>
          <a:ext cx="0" cy="3714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5</xdr:col>
      <xdr:colOff>0</xdr:colOff>
      <xdr:row>7</xdr:row>
      <xdr:rowOff>180975</xdr:rowOff>
    </xdr:from>
    <xdr:to>
      <xdr:col>5</xdr:col>
      <xdr:colOff>0</xdr:colOff>
      <xdr:row>8</xdr:row>
      <xdr:rowOff>257175</xdr:rowOff>
    </xdr:to>
    <xdr:sp macro="" textlink="">
      <xdr:nvSpPr>
        <xdr:cNvPr id="18" name="Line 298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>
          <a:spLocks noChangeShapeType="1"/>
        </xdr:cNvSpPr>
      </xdr:nvSpPr>
      <xdr:spPr bwMode="auto">
        <a:xfrm>
          <a:off x="923925" y="2438400"/>
          <a:ext cx="0" cy="38100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</xdr:col>
      <xdr:colOff>0</xdr:colOff>
      <xdr:row>5</xdr:row>
      <xdr:rowOff>66675</xdr:rowOff>
    </xdr:from>
    <xdr:to>
      <xdr:col>3</xdr:col>
      <xdr:colOff>0</xdr:colOff>
      <xdr:row>8</xdr:row>
      <xdr:rowOff>257175</xdr:rowOff>
    </xdr:to>
    <xdr:sp macro="" textlink="">
      <xdr:nvSpPr>
        <xdr:cNvPr id="19" name="Line 299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>
          <a:spLocks noChangeShapeType="1"/>
        </xdr:cNvSpPr>
      </xdr:nvSpPr>
      <xdr:spPr bwMode="auto">
        <a:xfrm>
          <a:off x="600075" y="1609725"/>
          <a:ext cx="0" cy="12096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20</xdr:col>
      <xdr:colOff>0</xdr:colOff>
      <xdr:row>5</xdr:row>
      <xdr:rowOff>66675</xdr:rowOff>
    </xdr:from>
    <xdr:to>
      <xdr:col>24</xdr:col>
      <xdr:colOff>47625</xdr:colOff>
      <xdr:row>5</xdr:row>
      <xdr:rowOff>66675</xdr:rowOff>
    </xdr:to>
    <xdr:cxnSp macro="">
      <xdr:nvCxnSpPr>
        <xdr:cNvPr id="20" name="AutoShape 300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CxnSpPr>
          <a:cxnSpLocks noChangeShapeType="1"/>
        </xdr:cNvCxnSpPr>
      </xdr:nvCxnSpPr>
      <xdr:spPr bwMode="auto">
        <a:xfrm>
          <a:off x="3371850" y="1609725"/>
          <a:ext cx="69532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20</xdr:col>
      <xdr:colOff>0</xdr:colOff>
      <xdr:row>8</xdr:row>
      <xdr:rowOff>257175</xdr:rowOff>
    </xdr:from>
    <xdr:to>
      <xdr:col>24</xdr:col>
      <xdr:colOff>47625</xdr:colOff>
      <xdr:row>8</xdr:row>
      <xdr:rowOff>257175</xdr:rowOff>
    </xdr:to>
    <xdr:cxnSp macro="">
      <xdr:nvCxnSpPr>
        <xdr:cNvPr id="21" name="AutoShape 301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CxnSpPr>
          <a:cxnSpLocks noChangeShapeType="1"/>
        </xdr:cNvCxnSpPr>
      </xdr:nvCxnSpPr>
      <xdr:spPr bwMode="auto">
        <a:xfrm>
          <a:off x="3371850" y="2819400"/>
          <a:ext cx="695325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20</xdr:col>
      <xdr:colOff>0</xdr:colOff>
      <xdr:row>6</xdr:row>
      <xdr:rowOff>19050</xdr:rowOff>
    </xdr:from>
    <xdr:to>
      <xdr:col>22</xdr:col>
      <xdr:colOff>57150</xdr:colOff>
      <xdr:row>6</xdr:row>
      <xdr:rowOff>19050</xdr:rowOff>
    </xdr:to>
    <xdr:sp macro="" textlink="">
      <xdr:nvSpPr>
        <xdr:cNvPr id="22" name="Line 302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>
          <a:spLocks noChangeShapeType="1"/>
        </xdr:cNvSpPr>
      </xdr:nvSpPr>
      <xdr:spPr bwMode="auto">
        <a:xfrm>
          <a:off x="3371850" y="1971675"/>
          <a:ext cx="3810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0</xdr:colOff>
      <xdr:row>8</xdr:row>
      <xdr:rowOff>0</xdr:rowOff>
    </xdr:from>
    <xdr:to>
      <xdr:col>22</xdr:col>
      <xdr:colOff>57150</xdr:colOff>
      <xdr:row>8</xdr:row>
      <xdr:rowOff>0</xdr:rowOff>
    </xdr:to>
    <xdr:sp macro="" textlink="">
      <xdr:nvSpPr>
        <xdr:cNvPr id="23" name="Line 303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>
          <a:spLocks noChangeShapeType="1"/>
        </xdr:cNvSpPr>
      </xdr:nvSpPr>
      <xdr:spPr bwMode="auto">
        <a:xfrm>
          <a:off x="3371850" y="2562225"/>
          <a:ext cx="3810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0</xdr:colOff>
      <xdr:row>5</xdr:row>
      <xdr:rowOff>66675</xdr:rowOff>
    </xdr:from>
    <xdr:to>
      <xdr:col>22</xdr:col>
      <xdr:colOff>0</xdr:colOff>
      <xdr:row>6</xdr:row>
      <xdr:rowOff>19050</xdr:rowOff>
    </xdr:to>
    <xdr:sp macro="" textlink="">
      <xdr:nvSpPr>
        <xdr:cNvPr id="24" name="Line 304">
          <a:extLst>
            <a:ext uri="{FF2B5EF4-FFF2-40B4-BE49-F238E27FC236}">
              <a16:creationId xmlns:a16="http://schemas.microsoft.com/office/drawing/2014/main" id="{00000000-0008-0000-2000-000018000000}"/>
            </a:ext>
          </a:extLst>
        </xdr:cNvPr>
        <xdr:cNvSpPr>
          <a:spLocks noChangeShapeType="1"/>
        </xdr:cNvSpPr>
      </xdr:nvSpPr>
      <xdr:spPr bwMode="auto">
        <a:xfrm>
          <a:off x="3695700" y="1609725"/>
          <a:ext cx="0" cy="36195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22</xdr:col>
      <xdr:colOff>0</xdr:colOff>
      <xdr:row>6</xdr:row>
      <xdr:rowOff>19050</xdr:rowOff>
    </xdr:from>
    <xdr:to>
      <xdr:col>22</xdr:col>
      <xdr:colOff>0</xdr:colOff>
      <xdr:row>8</xdr:row>
      <xdr:rowOff>0</xdr:rowOff>
    </xdr:to>
    <xdr:sp macro="" textlink="">
      <xdr:nvSpPr>
        <xdr:cNvPr id="25" name="Line 305">
          <a:extLst>
            <a:ext uri="{FF2B5EF4-FFF2-40B4-BE49-F238E27FC236}">
              <a16:creationId xmlns:a16="http://schemas.microsoft.com/office/drawing/2014/main" id="{00000000-0008-0000-2000-000019000000}"/>
            </a:ext>
          </a:extLst>
        </xdr:cNvPr>
        <xdr:cNvSpPr>
          <a:spLocks noChangeShapeType="1"/>
        </xdr:cNvSpPr>
      </xdr:nvSpPr>
      <xdr:spPr bwMode="auto">
        <a:xfrm>
          <a:off x="3695700" y="1971675"/>
          <a:ext cx="0" cy="59055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0</xdr:colOff>
      <xdr:row>8</xdr:row>
      <xdr:rowOff>257175</xdr:rowOff>
    </xdr:to>
    <xdr:sp macro="" textlink="">
      <xdr:nvSpPr>
        <xdr:cNvPr id="26" name="Line 306">
          <a:extLst>
            <a:ext uri="{FF2B5EF4-FFF2-40B4-BE49-F238E27FC236}">
              <a16:creationId xmlns:a16="http://schemas.microsoft.com/office/drawing/2014/main" id="{00000000-0008-0000-2000-00001A000000}"/>
            </a:ext>
          </a:extLst>
        </xdr:cNvPr>
        <xdr:cNvSpPr>
          <a:spLocks noChangeShapeType="1"/>
        </xdr:cNvSpPr>
      </xdr:nvSpPr>
      <xdr:spPr bwMode="auto">
        <a:xfrm>
          <a:off x="3695700" y="2562225"/>
          <a:ext cx="0" cy="2571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24</xdr:col>
      <xdr:colOff>0</xdr:colOff>
      <xdr:row>5</xdr:row>
      <xdr:rowOff>66675</xdr:rowOff>
    </xdr:from>
    <xdr:to>
      <xdr:col>24</xdr:col>
      <xdr:colOff>0</xdr:colOff>
      <xdr:row>8</xdr:row>
      <xdr:rowOff>257175</xdr:rowOff>
    </xdr:to>
    <xdr:sp macro="" textlink="">
      <xdr:nvSpPr>
        <xdr:cNvPr id="27" name="Line 307">
          <a:extLst>
            <a:ext uri="{FF2B5EF4-FFF2-40B4-BE49-F238E27FC236}">
              <a16:creationId xmlns:a16="http://schemas.microsoft.com/office/drawing/2014/main" id="{00000000-0008-0000-2000-00001B000000}"/>
            </a:ext>
          </a:extLst>
        </xdr:cNvPr>
        <xdr:cNvSpPr>
          <a:spLocks noChangeShapeType="1"/>
        </xdr:cNvSpPr>
      </xdr:nvSpPr>
      <xdr:spPr bwMode="auto">
        <a:xfrm>
          <a:off x="4019550" y="1609725"/>
          <a:ext cx="0" cy="12096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9</xdr:col>
      <xdr:colOff>19050</xdr:colOff>
      <xdr:row>17</xdr:row>
      <xdr:rowOff>0</xdr:rowOff>
    </xdr:from>
    <xdr:to>
      <xdr:col>17</xdr:col>
      <xdr:colOff>57150</xdr:colOff>
      <xdr:row>17</xdr:row>
      <xdr:rowOff>0</xdr:rowOff>
    </xdr:to>
    <xdr:sp macro="" textlink="">
      <xdr:nvSpPr>
        <xdr:cNvPr id="28" name="Line 308">
          <a:extLst>
            <a:ext uri="{FF2B5EF4-FFF2-40B4-BE49-F238E27FC236}">
              <a16:creationId xmlns:a16="http://schemas.microsoft.com/office/drawing/2014/main" id="{00000000-0008-0000-2000-00001C000000}"/>
            </a:ext>
          </a:extLst>
        </xdr:cNvPr>
        <xdr:cNvSpPr>
          <a:spLocks noChangeShapeType="1"/>
        </xdr:cNvSpPr>
      </xdr:nvSpPr>
      <xdr:spPr bwMode="auto">
        <a:xfrm>
          <a:off x="1609725" y="5600700"/>
          <a:ext cx="13335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15</xdr:row>
      <xdr:rowOff>238125</xdr:rowOff>
    </xdr:from>
    <xdr:to>
      <xdr:col>17</xdr:col>
      <xdr:colOff>57150</xdr:colOff>
      <xdr:row>15</xdr:row>
      <xdr:rowOff>285750</xdr:rowOff>
    </xdr:to>
    <xdr:sp macro="" textlink="">
      <xdr:nvSpPr>
        <xdr:cNvPr id="29" name="Line 309">
          <a:extLst>
            <a:ext uri="{FF2B5EF4-FFF2-40B4-BE49-F238E27FC236}">
              <a16:creationId xmlns:a16="http://schemas.microsoft.com/office/drawing/2014/main" id="{00000000-0008-0000-2000-00001D000000}"/>
            </a:ext>
          </a:extLst>
        </xdr:cNvPr>
        <xdr:cNvSpPr>
          <a:spLocks noChangeShapeType="1"/>
        </xdr:cNvSpPr>
      </xdr:nvSpPr>
      <xdr:spPr bwMode="auto">
        <a:xfrm flipH="1">
          <a:off x="2647950" y="5105400"/>
          <a:ext cx="295275" cy="476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15</xdr:row>
      <xdr:rowOff>219075</xdr:rowOff>
    </xdr:from>
    <xdr:to>
      <xdr:col>10</xdr:col>
      <xdr:colOff>114300</xdr:colOff>
      <xdr:row>15</xdr:row>
      <xdr:rowOff>285750</xdr:rowOff>
    </xdr:to>
    <xdr:sp macro="" textlink="">
      <xdr:nvSpPr>
        <xdr:cNvPr id="30" name="Line 310"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>
          <a:spLocks noChangeShapeType="1"/>
        </xdr:cNvSpPr>
      </xdr:nvSpPr>
      <xdr:spPr bwMode="auto">
        <a:xfrm flipH="1" flipV="1">
          <a:off x="1609725" y="5086350"/>
          <a:ext cx="257175" cy="666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28575</xdr:colOff>
      <xdr:row>15</xdr:row>
      <xdr:rowOff>285750</xdr:rowOff>
    </xdr:from>
    <xdr:to>
      <xdr:col>15</xdr:col>
      <xdr:colOff>85725</xdr:colOff>
      <xdr:row>17</xdr:row>
      <xdr:rowOff>0</xdr:rowOff>
    </xdr:to>
    <xdr:sp macro="" textlink="">
      <xdr:nvSpPr>
        <xdr:cNvPr id="31" name="Arc 311">
          <a:extLst>
            <a:ext uri="{FF2B5EF4-FFF2-40B4-BE49-F238E27FC236}">
              <a16:creationId xmlns:a16="http://schemas.microsoft.com/office/drawing/2014/main" id="{00000000-0008-0000-2000-00001F000000}"/>
            </a:ext>
          </a:extLst>
        </xdr:cNvPr>
        <xdr:cNvSpPr>
          <a:spLocks/>
        </xdr:cNvSpPr>
      </xdr:nvSpPr>
      <xdr:spPr bwMode="auto">
        <a:xfrm rot="5400000">
          <a:off x="2233612" y="5186363"/>
          <a:ext cx="447675" cy="381000"/>
        </a:xfrm>
        <a:custGeom>
          <a:avLst/>
          <a:gdLst>
            <a:gd name="T0" fmla="*/ 0 w 21600"/>
            <a:gd name="T1" fmla="*/ 0 h 21600"/>
            <a:gd name="T2" fmla="*/ 139111184 w 21600"/>
            <a:gd name="T3" fmla="*/ 118540664 h 21600"/>
            <a:gd name="T4" fmla="*/ 0 w 21600"/>
            <a:gd name="T5" fmla="*/ 11854066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15</xdr:row>
      <xdr:rowOff>285750</xdr:rowOff>
    </xdr:from>
    <xdr:to>
      <xdr:col>13</xdr:col>
      <xdr:colOff>38100</xdr:colOff>
      <xdr:row>17</xdr:row>
      <xdr:rowOff>0</xdr:rowOff>
    </xdr:to>
    <xdr:sp macro="" textlink="">
      <xdr:nvSpPr>
        <xdr:cNvPr id="32" name="Arc 312">
          <a:extLst>
            <a:ext uri="{FF2B5EF4-FFF2-40B4-BE49-F238E27FC236}">
              <a16:creationId xmlns:a16="http://schemas.microsoft.com/office/drawing/2014/main" id="{00000000-0008-0000-2000-000020000000}"/>
            </a:ext>
          </a:extLst>
        </xdr:cNvPr>
        <xdr:cNvSpPr>
          <a:spLocks/>
        </xdr:cNvSpPr>
      </xdr:nvSpPr>
      <xdr:spPr bwMode="auto">
        <a:xfrm rot="10800000">
          <a:off x="1866900" y="5153025"/>
          <a:ext cx="409575" cy="447675"/>
        </a:xfrm>
        <a:custGeom>
          <a:avLst/>
          <a:gdLst>
            <a:gd name="T0" fmla="*/ 0 w 21600"/>
            <a:gd name="T1" fmla="*/ 0 h 21600"/>
            <a:gd name="T2" fmla="*/ 147262676 w 21600"/>
            <a:gd name="T3" fmla="*/ 139111184 h 21600"/>
            <a:gd name="T4" fmla="*/ 0 w 21600"/>
            <a:gd name="T5" fmla="*/ 13911118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15</xdr:row>
      <xdr:rowOff>238125</xdr:rowOff>
    </xdr:from>
    <xdr:to>
      <xdr:col>17</xdr:col>
      <xdr:colOff>57150</xdr:colOff>
      <xdr:row>17</xdr:row>
      <xdr:rowOff>0</xdr:rowOff>
    </xdr:to>
    <xdr:sp macro="" textlink="">
      <xdr:nvSpPr>
        <xdr:cNvPr id="33" name="Line 313">
          <a:extLst>
            <a:ext uri="{FF2B5EF4-FFF2-40B4-BE49-F238E27FC236}">
              <a16:creationId xmlns:a16="http://schemas.microsoft.com/office/drawing/2014/main" id="{00000000-0008-0000-2000-000021000000}"/>
            </a:ext>
          </a:extLst>
        </xdr:cNvPr>
        <xdr:cNvSpPr>
          <a:spLocks noChangeShapeType="1"/>
        </xdr:cNvSpPr>
      </xdr:nvSpPr>
      <xdr:spPr bwMode="auto">
        <a:xfrm flipV="1">
          <a:off x="2943225" y="5105400"/>
          <a:ext cx="0" cy="495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15</xdr:row>
      <xdr:rowOff>219075</xdr:rowOff>
    </xdr:from>
    <xdr:to>
      <xdr:col>9</xdr:col>
      <xdr:colOff>19050</xdr:colOff>
      <xdr:row>17</xdr:row>
      <xdr:rowOff>0</xdr:rowOff>
    </xdr:to>
    <xdr:sp macro="" textlink="">
      <xdr:nvSpPr>
        <xdr:cNvPr id="34" name="Line 314"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>
          <a:spLocks noChangeShapeType="1"/>
        </xdr:cNvSpPr>
      </xdr:nvSpPr>
      <xdr:spPr bwMode="auto">
        <a:xfrm flipV="1">
          <a:off x="1609725" y="5086350"/>
          <a:ext cx="0" cy="514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17</xdr:row>
      <xdr:rowOff>38100</xdr:rowOff>
    </xdr:from>
    <xdr:to>
      <xdr:col>9</xdr:col>
      <xdr:colOff>19050</xdr:colOff>
      <xdr:row>18</xdr:row>
      <xdr:rowOff>66675</xdr:rowOff>
    </xdr:to>
    <xdr:sp macro="" textlink="">
      <xdr:nvSpPr>
        <xdr:cNvPr id="35" name="Line 315">
          <a:extLst>
            <a:ext uri="{FF2B5EF4-FFF2-40B4-BE49-F238E27FC236}">
              <a16:creationId xmlns:a16="http://schemas.microsoft.com/office/drawing/2014/main" id="{00000000-0008-0000-2000-000023000000}"/>
            </a:ext>
          </a:extLst>
        </xdr:cNvPr>
        <xdr:cNvSpPr>
          <a:spLocks noChangeShapeType="1"/>
        </xdr:cNvSpPr>
      </xdr:nvSpPr>
      <xdr:spPr bwMode="auto">
        <a:xfrm>
          <a:off x="1609725" y="5638800"/>
          <a:ext cx="0" cy="3333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17</xdr:row>
      <xdr:rowOff>38100</xdr:rowOff>
    </xdr:from>
    <xdr:to>
      <xdr:col>17</xdr:col>
      <xdr:colOff>57150</xdr:colOff>
      <xdr:row>18</xdr:row>
      <xdr:rowOff>57150</xdr:rowOff>
    </xdr:to>
    <xdr:sp macro="" textlink="">
      <xdr:nvSpPr>
        <xdr:cNvPr id="36" name="Line 316">
          <a:extLst>
            <a:ext uri="{FF2B5EF4-FFF2-40B4-BE49-F238E27FC236}">
              <a16:creationId xmlns:a16="http://schemas.microsoft.com/office/drawing/2014/main" id="{00000000-0008-0000-2000-000024000000}"/>
            </a:ext>
          </a:extLst>
        </xdr:cNvPr>
        <xdr:cNvSpPr>
          <a:spLocks noChangeShapeType="1"/>
        </xdr:cNvSpPr>
      </xdr:nvSpPr>
      <xdr:spPr bwMode="auto">
        <a:xfrm>
          <a:off x="2943225" y="5638800"/>
          <a:ext cx="0" cy="3238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18</xdr:row>
      <xdr:rowOff>0</xdr:rowOff>
    </xdr:from>
    <xdr:to>
      <xdr:col>17</xdr:col>
      <xdr:colOff>57150</xdr:colOff>
      <xdr:row>18</xdr:row>
      <xdr:rowOff>0</xdr:rowOff>
    </xdr:to>
    <xdr:sp macro="" textlink="">
      <xdr:nvSpPr>
        <xdr:cNvPr id="37" name="Line 317">
          <a:extLst>
            <a:ext uri="{FF2B5EF4-FFF2-40B4-BE49-F238E27FC236}">
              <a16:creationId xmlns:a16="http://schemas.microsoft.com/office/drawing/2014/main" id="{00000000-0008-0000-2000-000025000000}"/>
            </a:ext>
          </a:extLst>
        </xdr:cNvPr>
        <xdr:cNvSpPr>
          <a:spLocks noChangeShapeType="1"/>
        </xdr:cNvSpPr>
      </xdr:nvSpPr>
      <xdr:spPr bwMode="auto">
        <a:xfrm>
          <a:off x="1609725" y="5905500"/>
          <a:ext cx="133350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9</xdr:col>
      <xdr:colOff>9525</xdr:colOff>
      <xdr:row>13</xdr:row>
      <xdr:rowOff>209550</xdr:rowOff>
    </xdr:from>
    <xdr:to>
      <xdr:col>9</xdr:col>
      <xdr:colOff>9525</xdr:colOff>
      <xdr:row>15</xdr:row>
      <xdr:rowOff>142875</xdr:rowOff>
    </xdr:to>
    <xdr:sp macro="" textlink="">
      <xdr:nvSpPr>
        <xdr:cNvPr id="38" name="Line 318">
          <a:extLst>
            <a:ext uri="{FF2B5EF4-FFF2-40B4-BE49-F238E27FC236}">
              <a16:creationId xmlns:a16="http://schemas.microsoft.com/office/drawing/2014/main" id="{00000000-0008-0000-2000-000026000000}"/>
            </a:ext>
          </a:extLst>
        </xdr:cNvPr>
        <xdr:cNvSpPr>
          <a:spLocks noChangeShapeType="1"/>
        </xdr:cNvSpPr>
      </xdr:nvSpPr>
      <xdr:spPr bwMode="auto">
        <a:xfrm flipV="1">
          <a:off x="1600200" y="4467225"/>
          <a:ext cx="0" cy="54292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13</xdr:row>
      <xdr:rowOff>247650</xdr:rowOff>
    </xdr:from>
    <xdr:to>
      <xdr:col>17</xdr:col>
      <xdr:colOff>57150</xdr:colOff>
      <xdr:row>15</xdr:row>
      <xdr:rowOff>200025</xdr:rowOff>
    </xdr:to>
    <xdr:sp macro="" textlink="">
      <xdr:nvSpPr>
        <xdr:cNvPr id="39" name="Line 319">
          <a:extLst>
            <a:ext uri="{FF2B5EF4-FFF2-40B4-BE49-F238E27FC236}">
              <a16:creationId xmlns:a16="http://schemas.microsoft.com/office/drawing/2014/main" id="{00000000-0008-0000-2000-000027000000}"/>
            </a:ext>
          </a:extLst>
        </xdr:cNvPr>
        <xdr:cNvSpPr>
          <a:spLocks noChangeShapeType="1"/>
        </xdr:cNvSpPr>
      </xdr:nvSpPr>
      <xdr:spPr bwMode="auto">
        <a:xfrm flipV="1">
          <a:off x="2943225" y="4505325"/>
          <a:ext cx="0" cy="5619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14</xdr:row>
      <xdr:rowOff>238125</xdr:rowOff>
    </xdr:from>
    <xdr:to>
      <xdr:col>10</xdr:col>
      <xdr:colOff>114300</xdr:colOff>
      <xdr:row>15</xdr:row>
      <xdr:rowOff>180975</xdr:rowOff>
    </xdr:to>
    <xdr:sp macro="" textlink="">
      <xdr:nvSpPr>
        <xdr:cNvPr id="40" name="Line 320">
          <a:extLst>
            <a:ext uri="{FF2B5EF4-FFF2-40B4-BE49-F238E27FC236}">
              <a16:creationId xmlns:a16="http://schemas.microsoft.com/office/drawing/2014/main" id="{00000000-0008-0000-2000-000028000000}"/>
            </a:ext>
          </a:extLst>
        </xdr:cNvPr>
        <xdr:cNvSpPr>
          <a:spLocks noChangeShapeType="1"/>
        </xdr:cNvSpPr>
      </xdr:nvSpPr>
      <xdr:spPr bwMode="auto">
        <a:xfrm flipV="1">
          <a:off x="1866900" y="4800600"/>
          <a:ext cx="0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14</xdr:row>
      <xdr:rowOff>228600</xdr:rowOff>
    </xdr:from>
    <xdr:to>
      <xdr:col>15</xdr:col>
      <xdr:colOff>85725</xdr:colOff>
      <xdr:row>15</xdr:row>
      <xdr:rowOff>190500</xdr:rowOff>
    </xdr:to>
    <xdr:sp macro="" textlink="">
      <xdr:nvSpPr>
        <xdr:cNvPr id="41" name="Line 321">
          <a:extLst>
            <a:ext uri="{FF2B5EF4-FFF2-40B4-BE49-F238E27FC236}">
              <a16:creationId xmlns:a16="http://schemas.microsoft.com/office/drawing/2014/main" id="{00000000-0008-0000-2000-000029000000}"/>
            </a:ext>
          </a:extLst>
        </xdr:cNvPr>
        <xdr:cNvSpPr>
          <a:spLocks noChangeShapeType="1"/>
        </xdr:cNvSpPr>
      </xdr:nvSpPr>
      <xdr:spPr bwMode="auto">
        <a:xfrm flipV="1">
          <a:off x="2647950" y="4791075"/>
          <a:ext cx="0" cy="26670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14</xdr:row>
      <xdr:rowOff>0</xdr:rowOff>
    </xdr:from>
    <xdr:to>
      <xdr:col>17</xdr:col>
      <xdr:colOff>57150</xdr:colOff>
      <xdr:row>14</xdr:row>
      <xdr:rowOff>0</xdr:rowOff>
    </xdr:to>
    <xdr:sp macro="" textlink="">
      <xdr:nvSpPr>
        <xdr:cNvPr id="42" name="Line 322">
          <a:extLst>
            <a:ext uri="{FF2B5EF4-FFF2-40B4-BE49-F238E27FC236}">
              <a16:creationId xmlns:a16="http://schemas.microsoft.com/office/drawing/2014/main" id="{00000000-0008-0000-2000-00002A000000}"/>
            </a:ext>
          </a:extLst>
        </xdr:cNvPr>
        <xdr:cNvSpPr>
          <a:spLocks noChangeShapeType="1"/>
        </xdr:cNvSpPr>
      </xdr:nvSpPr>
      <xdr:spPr bwMode="auto">
        <a:xfrm>
          <a:off x="1609725" y="4562475"/>
          <a:ext cx="133350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9</xdr:col>
      <xdr:colOff>19050</xdr:colOff>
      <xdr:row>15</xdr:row>
      <xdr:rowOff>0</xdr:rowOff>
    </xdr:from>
    <xdr:to>
      <xdr:col>10</xdr:col>
      <xdr:colOff>114300</xdr:colOff>
      <xdr:row>15</xdr:row>
      <xdr:rowOff>0</xdr:rowOff>
    </xdr:to>
    <xdr:sp macro="" textlink="">
      <xdr:nvSpPr>
        <xdr:cNvPr id="43" name="Line 323">
          <a:extLst>
            <a:ext uri="{FF2B5EF4-FFF2-40B4-BE49-F238E27FC236}">
              <a16:creationId xmlns:a16="http://schemas.microsoft.com/office/drawing/2014/main" id="{00000000-0008-0000-2000-00002B000000}"/>
            </a:ext>
          </a:extLst>
        </xdr:cNvPr>
        <xdr:cNvSpPr>
          <a:spLocks noChangeShapeType="1"/>
        </xdr:cNvSpPr>
      </xdr:nvSpPr>
      <xdr:spPr bwMode="auto">
        <a:xfrm>
          <a:off x="1609725" y="4867275"/>
          <a:ext cx="257175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10</xdr:col>
      <xdr:colOff>114300</xdr:colOff>
      <xdr:row>15</xdr:row>
      <xdr:rowOff>0</xdr:rowOff>
    </xdr:from>
    <xdr:to>
      <xdr:col>15</xdr:col>
      <xdr:colOff>85725</xdr:colOff>
      <xdr:row>15</xdr:row>
      <xdr:rowOff>0</xdr:rowOff>
    </xdr:to>
    <xdr:sp macro="" textlink="">
      <xdr:nvSpPr>
        <xdr:cNvPr id="44" name="Line 324">
          <a:extLst>
            <a:ext uri="{FF2B5EF4-FFF2-40B4-BE49-F238E27FC236}">
              <a16:creationId xmlns:a16="http://schemas.microsoft.com/office/drawing/2014/main" id="{00000000-0008-0000-2000-00002C000000}"/>
            </a:ext>
          </a:extLst>
        </xdr:cNvPr>
        <xdr:cNvSpPr>
          <a:spLocks noChangeShapeType="1"/>
        </xdr:cNvSpPr>
      </xdr:nvSpPr>
      <xdr:spPr bwMode="auto">
        <a:xfrm>
          <a:off x="1866900" y="4867275"/>
          <a:ext cx="78105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15</xdr:col>
      <xdr:colOff>85725</xdr:colOff>
      <xdr:row>15</xdr:row>
      <xdr:rowOff>0</xdr:rowOff>
    </xdr:from>
    <xdr:to>
      <xdr:col>17</xdr:col>
      <xdr:colOff>57150</xdr:colOff>
      <xdr:row>15</xdr:row>
      <xdr:rowOff>0</xdr:rowOff>
    </xdr:to>
    <xdr:sp macro="" textlink="">
      <xdr:nvSpPr>
        <xdr:cNvPr id="45" name="Line 325">
          <a:extLst>
            <a:ext uri="{FF2B5EF4-FFF2-40B4-BE49-F238E27FC236}">
              <a16:creationId xmlns:a16="http://schemas.microsoft.com/office/drawing/2014/main" id="{00000000-0008-0000-2000-00002D000000}"/>
            </a:ext>
          </a:extLst>
        </xdr:cNvPr>
        <xdr:cNvSpPr>
          <a:spLocks noChangeShapeType="1"/>
        </xdr:cNvSpPr>
      </xdr:nvSpPr>
      <xdr:spPr bwMode="auto">
        <a:xfrm>
          <a:off x="2647950" y="4867275"/>
          <a:ext cx="295275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18</xdr:col>
      <xdr:colOff>0</xdr:colOff>
      <xdr:row>17</xdr:row>
      <xdr:rowOff>0</xdr:rowOff>
    </xdr:from>
    <xdr:to>
      <xdr:col>21</xdr:col>
      <xdr:colOff>57150</xdr:colOff>
      <xdr:row>17</xdr:row>
      <xdr:rowOff>0</xdr:rowOff>
    </xdr:to>
    <xdr:sp macro="" textlink="">
      <xdr:nvSpPr>
        <xdr:cNvPr id="46" name="Line 326">
          <a:extLst>
            <a:ext uri="{FF2B5EF4-FFF2-40B4-BE49-F238E27FC236}">
              <a16:creationId xmlns:a16="http://schemas.microsoft.com/office/drawing/2014/main" id="{00000000-0008-0000-2000-00002E000000}"/>
            </a:ext>
          </a:extLst>
        </xdr:cNvPr>
        <xdr:cNvSpPr>
          <a:spLocks noChangeShapeType="1"/>
        </xdr:cNvSpPr>
      </xdr:nvSpPr>
      <xdr:spPr bwMode="auto">
        <a:xfrm>
          <a:off x="3048000" y="5600700"/>
          <a:ext cx="5429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15</xdr:row>
      <xdr:rowOff>285750</xdr:rowOff>
    </xdr:from>
    <xdr:to>
      <xdr:col>19</xdr:col>
      <xdr:colOff>66675</xdr:colOff>
      <xdr:row>15</xdr:row>
      <xdr:rowOff>285750</xdr:rowOff>
    </xdr:to>
    <xdr:sp macro="" textlink="">
      <xdr:nvSpPr>
        <xdr:cNvPr id="47" name="Line 327">
          <a:extLst>
            <a:ext uri="{FF2B5EF4-FFF2-40B4-BE49-F238E27FC236}">
              <a16:creationId xmlns:a16="http://schemas.microsoft.com/office/drawing/2014/main" id="{00000000-0008-0000-2000-00002F000000}"/>
            </a:ext>
          </a:extLst>
        </xdr:cNvPr>
        <xdr:cNvSpPr>
          <a:spLocks noChangeShapeType="1"/>
        </xdr:cNvSpPr>
      </xdr:nvSpPr>
      <xdr:spPr bwMode="auto">
        <a:xfrm>
          <a:off x="3048000" y="5153025"/>
          <a:ext cx="2286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18</xdr:col>
      <xdr:colOff>0</xdr:colOff>
      <xdr:row>15</xdr:row>
      <xdr:rowOff>238125</xdr:rowOff>
    </xdr:from>
    <xdr:to>
      <xdr:col>21</xdr:col>
      <xdr:colOff>57150</xdr:colOff>
      <xdr:row>15</xdr:row>
      <xdr:rowOff>238125</xdr:rowOff>
    </xdr:to>
    <xdr:sp macro="" textlink="">
      <xdr:nvSpPr>
        <xdr:cNvPr id="48" name="Line 328">
          <a:extLst>
            <a:ext uri="{FF2B5EF4-FFF2-40B4-BE49-F238E27FC236}">
              <a16:creationId xmlns:a16="http://schemas.microsoft.com/office/drawing/2014/main" id="{00000000-0008-0000-2000-000030000000}"/>
            </a:ext>
          </a:extLst>
        </xdr:cNvPr>
        <xdr:cNvSpPr>
          <a:spLocks noChangeShapeType="1"/>
        </xdr:cNvSpPr>
      </xdr:nvSpPr>
      <xdr:spPr bwMode="auto">
        <a:xfrm>
          <a:off x="3048000" y="5105400"/>
          <a:ext cx="5429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15</xdr:row>
      <xdr:rowOff>285750</xdr:rowOff>
    </xdr:from>
    <xdr:to>
      <xdr:col>19</xdr:col>
      <xdr:colOff>0</xdr:colOff>
      <xdr:row>17</xdr:row>
      <xdr:rowOff>0</xdr:rowOff>
    </xdr:to>
    <xdr:sp macro="" textlink="">
      <xdr:nvSpPr>
        <xdr:cNvPr id="49" name="Line 329">
          <a:extLst>
            <a:ext uri="{FF2B5EF4-FFF2-40B4-BE49-F238E27FC236}">
              <a16:creationId xmlns:a16="http://schemas.microsoft.com/office/drawing/2014/main" id="{00000000-0008-0000-2000-000031000000}"/>
            </a:ext>
          </a:extLst>
        </xdr:cNvPr>
        <xdr:cNvSpPr>
          <a:spLocks noChangeShapeType="1"/>
        </xdr:cNvSpPr>
      </xdr:nvSpPr>
      <xdr:spPr bwMode="auto">
        <a:xfrm>
          <a:off x="3209925" y="5153025"/>
          <a:ext cx="0" cy="4476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19</xdr:col>
      <xdr:colOff>0</xdr:colOff>
      <xdr:row>15</xdr:row>
      <xdr:rowOff>238125</xdr:rowOff>
    </xdr:from>
    <xdr:to>
      <xdr:col>19</xdr:col>
      <xdr:colOff>0</xdr:colOff>
      <xdr:row>15</xdr:row>
      <xdr:rowOff>285750</xdr:rowOff>
    </xdr:to>
    <xdr:sp macro="" textlink="">
      <xdr:nvSpPr>
        <xdr:cNvPr id="50" name="Line 330">
          <a:extLst>
            <a:ext uri="{FF2B5EF4-FFF2-40B4-BE49-F238E27FC236}">
              <a16:creationId xmlns:a16="http://schemas.microsoft.com/office/drawing/2014/main" id="{00000000-0008-0000-2000-000032000000}"/>
            </a:ext>
          </a:extLst>
        </xdr:cNvPr>
        <xdr:cNvSpPr>
          <a:spLocks noChangeShapeType="1"/>
        </xdr:cNvSpPr>
      </xdr:nvSpPr>
      <xdr:spPr bwMode="auto">
        <a:xfrm flipV="1">
          <a:off x="3209925" y="5105400"/>
          <a:ext cx="0" cy="4762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19</xdr:col>
      <xdr:colOff>0</xdr:colOff>
      <xdr:row>14</xdr:row>
      <xdr:rowOff>295275</xdr:rowOff>
    </xdr:from>
    <xdr:to>
      <xdr:col>19</xdr:col>
      <xdr:colOff>0</xdr:colOff>
      <xdr:row>15</xdr:row>
      <xdr:rowOff>238125</xdr:rowOff>
    </xdr:to>
    <xdr:sp macro="" textlink="">
      <xdr:nvSpPr>
        <xdr:cNvPr id="51" name="Line 331">
          <a:extLst>
            <a:ext uri="{FF2B5EF4-FFF2-40B4-BE49-F238E27FC236}">
              <a16:creationId xmlns:a16="http://schemas.microsoft.com/office/drawing/2014/main" id="{00000000-0008-0000-2000-000033000000}"/>
            </a:ext>
          </a:extLst>
        </xdr:cNvPr>
        <xdr:cNvSpPr>
          <a:spLocks noChangeShapeType="1"/>
        </xdr:cNvSpPr>
      </xdr:nvSpPr>
      <xdr:spPr bwMode="auto">
        <a:xfrm>
          <a:off x="3209925" y="4857750"/>
          <a:ext cx="0" cy="24765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triangle" w="sm" len="sm"/>
        </a:ln>
      </xdr:spPr>
    </xdr:sp>
    <xdr:clientData/>
  </xdr:twoCellAnchor>
  <xdr:twoCellAnchor>
    <xdr:from>
      <xdr:col>21</xdr:col>
      <xdr:colOff>0</xdr:colOff>
      <xdr:row>15</xdr:row>
      <xdr:rowOff>238125</xdr:rowOff>
    </xdr:from>
    <xdr:to>
      <xdr:col>21</xdr:col>
      <xdr:colOff>0</xdr:colOff>
      <xdr:row>17</xdr:row>
      <xdr:rowOff>0</xdr:rowOff>
    </xdr:to>
    <xdr:sp macro="" textlink="">
      <xdr:nvSpPr>
        <xdr:cNvPr id="52" name="Line 332">
          <a:extLst>
            <a:ext uri="{FF2B5EF4-FFF2-40B4-BE49-F238E27FC236}">
              <a16:creationId xmlns:a16="http://schemas.microsoft.com/office/drawing/2014/main" id="{00000000-0008-0000-2000-000034000000}"/>
            </a:ext>
          </a:extLst>
        </xdr:cNvPr>
        <xdr:cNvSpPr>
          <a:spLocks noChangeShapeType="1"/>
        </xdr:cNvSpPr>
      </xdr:nvSpPr>
      <xdr:spPr bwMode="auto">
        <a:xfrm>
          <a:off x="3533775" y="5105400"/>
          <a:ext cx="0" cy="49530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27</xdr:col>
      <xdr:colOff>0</xdr:colOff>
      <xdr:row>6</xdr:row>
      <xdr:rowOff>142875</xdr:rowOff>
    </xdr:from>
    <xdr:to>
      <xdr:col>34</xdr:col>
      <xdr:colOff>0</xdr:colOff>
      <xdr:row>6</xdr:row>
      <xdr:rowOff>142875</xdr:rowOff>
    </xdr:to>
    <xdr:sp macro="" textlink="">
      <xdr:nvSpPr>
        <xdr:cNvPr id="53" name="Line 333">
          <a:extLst>
            <a:ext uri="{FF2B5EF4-FFF2-40B4-BE49-F238E27FC236}">
              <a16:creationId xmlns:a16="http://schemas.microsoft.com/office/drawing/2014/main" id="{00000000-0008-0000-2000-000035000000}"/>
            </a:ext>
          </a:extLst>
        </xdr:cNvPr>
        <xdr:cNvSpPr>
          <a:spLocks noChangeShapeType="1"/>
        </xdr:cNvSpPr>
      </xdr:nvSpPr>
      <xdr:spPr bwMode="auto">
        <a:xfrm>
          <a:off x="4505325" y="2095500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6</xdr:row>
      <xdr:rowOff>142875</xdr:rowOff>
    </xdr:from>
    <xdr:to>
      <xdr:col>27</xdr:col>
      <xdr:colOff>0</xdr:colOff>
      <xdr:row>8</xdr:row>
      <xdr:rowOff>0</xdr:rowOff>
    </xdr:to>
    <xdr:sp macro="" textlink="">
      <xdr:nvSpPr>
        <xdr:cNvPr id="54" name="Line 334">
          <a:extLst>
            <a:ext uri="{FF2B5EF4-FFF2-40B4-BE49-F238E27FC236}">
              <a16:creationId xmlns:a16="http://schemas.microsoft.com/office/drawing/2014/main" id="{00000000-0008-0000-2000-000036000000}"/>
            </a:ext>
          </a:extLst>
        </xdr:cNvPr>
        <xdr:cNvSpPr>
          <a:spLocks noChangeShapeType="1"/>
        </xdr:cNvSpPr>
      </xdr:nvSpPr>
      <xdr:spPr bwMode="auto">
        <a:xfrm>
          <a:off x="4505325" y="2095500"/>
          <a:ext cx="0" cy="4667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6</xdr:row>
      <xdr:rowOff>142875</xdr:rowOff>
    </xdr:from>
    <xdr:to>
      <xdr:col>34</xdr:col>
      <xdr:colOff>0</xdr:colOff>
      <xdr:row>8</xdr:row>
      <xdr:rowOff>0</xdr:rowOff>
    </xdr:to>
    <xdr:sp macro="" textlink="">
      <xdr:nvSpPr>
        <xdr:cNvPr id="55" name="Line 335">
          <a:extLst>
            <a:ext uri="{FF2B5EF4-FFF2-40B4-BE49-F238E27FC236}">
              <a16:creationId xmlns:a16="http://schemas.microsoft.com/office/drawing/2014/main" id="{00000000-0008-0000-2000-000037000000}"/>
            </a:ext>
          </a:extLst>
        </xdr:cNvPr>
        <xdr:cNvSpPr>
          <a:spLocks noChangeShapeType="1"/>
        </xdr:cNvSpPr>
      </xdr:nvSpPr>
      <xdr:spPr bwMode="auto">
        <a:xfrm>
          <a:off x="5638800" y="2095500"/>
          <a:ext cx="0" cy="4667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8</xdr:row>
      <xdr:rowOff>0</xdr:rowOff>
    </xdr:from>
    <xdr:to>
      <xdr:col>34</xdr:col>
      <xdr:colOff>0</xdr:colOff>
      <xdr:row>8</xdr:row>
      <xdr:rowOff>0</xdr:rowOff>
    </xdr:to>
    <xdr:sp macro="" textlink="">
      <xdr:nvSpPr>
        <xdr:cNvPr id="56" name="Line 336">
          <a:extLst>
            <a:ext uri="{FF2B5EF4-FFF2-40B4-BE49-F238E27FC236}">
              <a16:creationId xmlns:a16="http://schemas.microsoft.com/office/drawing/2014/main" id="{00000000-0008-0000-2000-000038000000}"/>
            </a:ext>
          </a:extLst>
        </xdr:cNvPr>
        <xdr:cNvSpPr>
          <a:spLocks noChangeShapeType="1"/>
        </xdr:cNvSpPr>
      </xdr:nvSpPr>
      <xdr:spPr bwMode="auto">
        <a:xfrm>
          <a:off x="4505325" y="2562225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6</xdr:row>
      <xdr:rowOff>228600</xdr:rowOff>
    </xdr:from>
    <xdr:to>
      <xdr:col>34</xdr:col>
      <xdr:colOff>0</xdr:colOff>
      <xdr:row>6</xdr:row>
      <xdr:rowOff>228600</xdr:rowOff>
    </xdr:to>
    <xdr:sp macro="" textlink="">
      <xdr:nvSpPr>
        <xdr:cNvPr id="57" name="Line 337">
          <a:extLst>
            <a:ext uri="{FF2B5EF4-FFF2-40B4-BE49-F238E27FC236}">
              <a16:creationId xmlns:a16="http://schemas.microsoft.com/office/drawing/2014/main" id="{00000000-0008-0000-2000-000039000000}"/>
            </a:ext>
          </a:extLst>
        </xdr:cNvPr>
        <xdr:cNvSpPr>
          <a:spLocks noChangeShapeType="1"/>
        </xdr:cNvSpPr>
      </xdr:nvSpPr>
      <xdr:spPr bwMode="auto">
        <a:xfrm>
          <a:off x="4505325" y="2181225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27</xdr:col>
      <xdr:colOff>0</xdr:colOff>
      <xdr:row>7</xdr:row>
      <xdr:rowOff>219075</xdr:rowOff>
    </xdr:from>
    <xdr:to>
      <xdr:col>34</xdr:col>
      <xdr:colOff>0</xdr:colOff>
      <xdr:row>7</xdr:row>
      <xdr:rowOff>219075</xdr:rowOff>
    </xdr:to>
    <xdr:sp macro="" textlink="">
      <xdr:nvSpPr>
        <xdr:cNvPr id="58" name="Line 338">
          <a:extLst>
            <a:ext uri="{FF2B5EF4-FFF2-40B4-BE49-F238E27FC236}">
              <a16:creationId xmlns:a16="http://schemas.microsoft.com/office/drawing/2014/main" id="{00000000-0008-0000-2000-00003A000000}"/>
            </a:ext>
          </a:extLst>
        </xdr:cNvPr>
        <xdr:cNvSpPr>
          <a:spLocks noChangeShapeType="1"/>
        </xdr:cNvSpPr>
      </xdr:nvSpPr>
      <xdr:spPr bwMode="auto">
        <a:xfrm>
          <a:off x="4505325" y="2476500"/>
          <a:ext cx="1133475" cy="0"/>
        </a:xfrm>
        <a:prstGeom prst="line">
          <a:avLst/>
        </a:prstGeom>
        <a:noFill/>
        <a:ln w="6350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27</xdr:col>
      <xdr:colOff>0</xdr:colOff>
      <xdr:row>8</xdr:row>
      <xdr:rowOff>47625</xdr:rowOff>
    </xdr:from>
    <xdr:to>
      <xdr:col>27</xdr:col>
      <xdr:colOff>0</xdr:colOff>
      <xdr:row>9</xdr:row>
      <xdr:rowOff>57150</xdr:rowOff>
    </xdr:to>
    <xdr:sp macro="" textlink="">
      <xdr:nvSpPr>
        <xdr:cNvPr id="59" name="Line 339">
          <a:extLst>
            <a:ext uri="{FF2B5EF4-FFF2-40B4-BE49-F238E27FC236}">
              <a16:creationId xmlns:a16="http://schemas.microsoft.com/office/drawing/2014/main" id="{00000000-0008-0000-2000-00003B000000}"/>
            </a:ext>
          </a:extLst>
        </xdr:cNvPr>
        <xdr:cNvSpPr>
          <a:spLocks noChangeShapeType="1"/>
        </xdr:cNvSpPr>
      </xdr:nvSpPr>
      <xdr:spPr bwMode="auto">
        <a:xfrm>
          <a:off x="4505325" y="2609850"/>
          <a:ext cx="0" cy="4857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8</xdr:row>
      <xdr:rowOff>47625</xdr:rowOff>
    </xdr:from>
    <xdr:to>
      <xdr:col>34</xdr:col>
      <xdr:colOff>0</xdr:colOff>
      <xdr:row>9</xdr:row>
      <xdr:rowOff>57150</xdr:rowOff>
    </xdr:to>
    <xdr:sp macro="" textlink="">
      <xdr:nvSpPr>
        <xdr:cNvPr id="60" name="Line 340">
          <a:extLst>
            <a:ext uri="{FF2B5EF4-FFF2-40B4-BE49-F238E27FC236}">
              <a16:creationId xmlns:a16="http://schemas.microsoft.com/office/drawing/2014/main" id="{00000000-0008-0000-2000-00003C000000}"/>
            </a:ext>
          </a:extLst>
        </xdr:cNvPr>
        <xdr:cNvSpPr>
          <a:spLocks noChangeShapeType="1"/>
        </xdr:cNvSpPr>
      </xdr:nvSpPr>
      <xdr:spPr bwMode="auto">
        <a:xfrm>
          <a:off x="5638800" y="2609850"/>
          <a:ext cx="0" cy="485775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9</xdr:row>
      <xdr:rowOff>0</xdr:rowOff>
    </xdr:from>
    <xdr:to>
      <xdr:col>34</xdr:col>
      <xdr:colOff>0</xdr:colOff>
      <xdr:row>9</xdr:row>
      <xdr:rowOff>0</xdr:rowOff>
    </xdr:to>
    <xdr:sp macro="" textlink="">
      <xdr:nvSpPr>
        <xdr:cNvPr id="61" name="Line 341">
          <a:extLst>
            <a:ext uri="{FF2B5EF4-FFF2-40B4-BE49-F238E27FC236}">
              <a16:creationId xmlns:a16="http://schemas.microsoft.com/office/drawing/2014/main" id="{00000000-0008-0000-2000-00003D000000}"/>
            </a:ext>
          </a:extLst>
        </xdr:cNvPr>
        <xdr:cNvSpPr>
          <a:spLocks noChangeShapeType="1"/>
        </xdr:cNvSpPr>
      </xdr:nvSpPr>
      <xdr:spPr bwMode="auto">
        <a:xfrm>
          <a:off x="4505325" y="3038475"/>
          <a:ext cx="1133475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34</xdr:col>
      <xdr:colOff>47625</xdr:colOff>
      <xdr:row>6</xdr:row>
      <xdr:rowOff>142875</xdr:rowOff>
    </xdr:from>
    <xdr:to>
      <xdr:col>37</xdr:col>
      <xdr:colOff>66675</xdr:colOff>
      <xdr:row>6</xdr:row>
      <xdr:rowOff>142875</xdr:rowOff>
    </xdr:to>
    <xdr:sp macro="" textlink="">
      <xdr:nvSpPr>
        <xdr:cNvPr id="62" name="Line 342">
          <a:extLst>
            <a:ext uri="{FF2B5EF4-FFF2-40B4-BE49-F238E27FC236}">
              <a16:creationId xmlns:a16="http://schemas.microsoft.com/office/drawing/2014/main" id="{00000000-0008-0000-2000-00003E000000}"/>
            </a:ext>
          </a:extLst>
        </xdr:cNvPr>
        <xdr:cNvSpPr>
          <a:spLocks noChangeShapeType="1"/>
        </xdr:cNvSpPr>
      </xdr:nvSpPr>
      <xdr:spPr bwMode="auto">
        <a:xfrm>
          <a:off x="5686425" y="2095500"/>
          <a:ext cx="504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47625</xdr:colOff>
      <xdr:row>6</xdr:row>
      <xdr:rowOff>228600</xdr:rowOff>
    </xdr:from>
    <xdr:to>
      <xdr:col>35</xdr:col>
      <xdr:colOff>38100</xdr:colOff>
      <xdr:row>6</xdr:row>
      <xdr:rowOff>228600</xdr:rowOff>
    </xdr:to>
    <xdr:sp macro="" textlink="">
      <xdr:nvSpPr>
        <xdr:cNvPr id="63" name="Line 343">
          <a:extLst>
            <a:ext uri="{FF2B5EF4-FFF2-40B4-BE49-F238E27FC236}">
              <a16:creationId xmlns:a16="http://schemas.microsoft.com/office/drawing/2014/main" id="{00000000-0008-0000-2000-00003F000000}"/>
            </a:ext>
          </a:extLst>
        </xdr:cNvPr>
        <xdr:cNvSpPr>
          <a:spLocks noChangeShapeType="1"/>
        </xdr:cNvSpPr>
      </xdr:nvSpPr>
      <xdr:spPr bwMode="auto">
        <a:xfrm>
          <a:off x="5686425" y="2181225"/>
          <a:ext cx="1524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47625</xdr:colOff>
      <xdr:row>7</xdr:row>
      <xdr:rowOff>219075</xdr:rowOff>
    </xdr:from>
    <xdr:to>
      <xdr:col>35</xdr:col>
      <xdr:colOff>38100</xdr:colOff>
      <xdr:row>7</xdr:row>
      <xdr:rowOff>219075</xdr:rowOff>
    </xdr:to>
    <xdr:sp macro="" textlink="">
      <xdr:nvSpPr>
        <xdr:cNvPr id="64" name="Line 344">
          <a:extLst>
            <a:ext uri="{FF2B5EF4-FFF2-40B4-BE49-F238E27FC236}">
              <a16:creationId xmlns:a16="http://schemas.microsoft.com/office/drawing/2014/main" id="{00000000-0008-0000-2000-000040000000}"/>
            </a:ext>
          </a:extLst>
        </xdr:cNvPr>
        <xdr:cNvSpPr>
          <a:spLocks noChangeShapeType="1"/>
        </xdr:cNvSpPr>
      </xdr:nvSpPr>
      <xdr:spPr bwMode="auto">
        <a:xfrm>
          <a:off x="5686425" y="2476500"/>
          <a:ext cx="15240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47625</xdr:colOff>
      <xdr:row>8</xdr:row>
      <xdr:rowOff>0</xdr:rowOff>
    </xdr:from>
    <xdr:to>
      <xdr:col>37</xdr:col>
      <xdr:colOff>66675</xdr:colOff>
      <xdr:row>8</xdr:row>
      <xdr:rowOff>0</xdr:rowOff>
    </xdr:to>
    <xdr:sp macro="" textlink="">
      <xdr:nvSpPr>
        <xdr:cNvPr id="65" name="Line 345">
          <a:extLst>
            <a:ext uri="{FF2B5EF4-FFF2-40B4-BE49-F238E27FC236}">
              <a16:creationId xmlns:a16="http://schemas.microsoft.com/office/drawing/2014/main" id="{00000000-0008-0000-2000-000041000000}"/>
            </a:ext>
          </a:extLst>
        </xdr:cNvPr>
        <xdr:cNvSpPr>
          <a:spLocks noChangeShapeType="1"/>
        </xdr:cNvSpPr>
      </xdr:nvSpPr>
      <xdr:spPr bwMode="auto">
        <a:xfrm>
          <a:off x="5686425" y="2562225"/>
          <a:ext cx="504825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6</xdr:row>
      <xdr:rowOff>228600</xdr:rowOff>
    </xdr:from>
    <xdr:to>
      <xdr:col>35</xdr:col>
      <xdr:colOff>0</xdr:colOff>
      <xdr:row>7</xdr:row>
      <xdr:rowOff>219075</xdr:rowOff>
    </xdr:to>
    <xdr:sp macro="" textlink="">
      <xdr:nvSpPr>
        <xdr:cNvPr id="66" name="Line 346">
          <a:extLst>
            <a:ext uri="{FF2B5EF4-FFF2-40B4-BE49-F238E27FC236}">
              <a16:creationId xmlns:a16="http://schemas.microsoft.com/office/drawing/2014/main" id="{00000000-0008-0000-2000-000042000000}"/>
            </a:ext>
          </a:extLst>
        </xdr:cNvPr>
        <xdr:cNvSpPr>
          <a:spLocks noChangeShapeType="1"/>
        </xdr:cNvSpPr>
      </xdr:nvSpPr>
      <xdr:spPr bwMode="auto">
        <a:xfrm>
          <a:off x="5800725" y="2181225"/>
          <a:ext cx="0" cy="29527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37</xdr:col>
      <xdr:colOff>0</xdr:colOff>
      <xdr:row>6</xdr:row>
      <xdr:rowOff>142875</xdr:rowOff>
    </xdr:from>
    <xdr:to>
      <xdr:col>37</xdr:col>
      <xdr:colOff>0</xdr:colOff>
      <xdr:row>8</xdr:row>
      <xdr:rowOff>0</xdr:rowOff>
    </xdr:to>
    <xdr:sp macro="" textlink="">
      <xdr:nvSpPr>
        <xdr:cNvPr id="67" name="Line 347">
          <a:extLst>
            <a:ext uri="{FF2B5EF4-FFF2-40B4-BE49-F238E27FC236}">
              <a16:creationId xmlns:a16="http://schemas.microsoft.com/office/drawing/2014/main" id="{00000000-0008-0000-2000-000043000000}"/>
            </a:ext>
          </a:extLst>
        </xdr:cNvPr>
        <xdr:cNvSpPr>
          <a:spLocks noChangeShapeType="1"/>
        </xdr:cNvSpPr>
      </xdr:nvSpPr>
      <xdr:spPr bwMode="auto">
        <a:xfrm>
          <a:off x="6124575" y="2095500"/>
          <a:ext cx="0" cy="466725"/>
        </a:xfrm>
        <a:prstGeom prst="line">
          <a:avLst/>
        </a:prstGeom>
        <a:noFill/>
        <a:ln w="3175">
          <a:solidFill>
            <a:srgbClr val="000000"/>
          </a:solidFill>
          <a:round/>
          <a:headEnd type="triangle" w="sm" len="sm"/>
          <a:tailEnd type="triangle" w="sm" len="sm"/>
        </a:ln>
      </xdr:spPr>
    </xdr:sp>
    <xdr:clientData/>
  </xdr:twoCellAnchor>
  <xdr:twoCellAnchor>
    <xdr:from>
      <xdr:col>35</xdr:col>
      <xdr:colOff>0</xdr:colOff>
      <xdr:row>6</xdr:row>
      <xdr:rowOff>142875</xdr:rowOff>
    </xdr:from>
    <xdr:to>
      <xdr:col>35</xdr:col>
      <xdr:colOff>0</xdr:colOff>
      <xdr:row>6</xdr:row>
      <xdr:rowOff>228600</xdr:rowOff>
    </xdr:to>
    <xdr:sp macro="" textlink="">
      <xdr:nvSpPr>
        <xdr:cNvPr id="68" name="Line 348">
          <a:extLst>
            <a:ext uri="{FF2B5EF4-FFF2-40B4-BE49-F238E27FC236}">
              <a16:creationId xmlns:a16="http://schemas.microsoft.com/office/drawing/2014/main" id="{00000000-0008-0000-2000-000044000000}"/>
            </a:ext>
          </a:extLst>
        </xdr:cNvPr>
        <xdr:cNvSpPr>
          <a:spLocks noChangeShapeType="1"/>
        </xdr:cNvSpPr>
      </xdr:nvSpPr>
      <xdr:spPr bwMode="auto">
        <a:xfrm flipV="1">
          <a:off x="5800725" y="2095500"/>
          <a:ext cx="0" cy="8572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7</xdr:row>
      <xdr:rowOff>219075</xdr:rowOff>
    </xdr:from>
    <xdr:to>
      <xdr:col>35</xdr:col>
      <xdr:colOff>0</xdr:colOff>
      <xdr:row>8</xdr:row>
      <xdr:rowOff>0</xdr:rowOff>
    </xdr:to>
    <xdr:sp macro="" textlink="">
      <xdr:nvSpPr>
        <xdr:cNvPr id="69" name="Line 349">
          <a:extLst>
            <a:ext uri="{FF2B5EF4-FFF2-40B4-BE49-F238E27FC236}">
              <a16:creationId xmlns:a16="http://schemas.microsoft.com/office/drawing/2014/main" id="{00000000-0008-0000-2000-000045000000}"/>
            </a:ext>
          </a:extLst>
        </xdr:cNvPr>
        <xdr:cNvSpPr>
          <a:spLocks noChangeShapeType="1"/>
        </xdr:cNvSpPr>
      </xdr:nvSpPr>
      <xdr:spPr bwMode="auto">
        <a:xfrm>
          <a:off x="5800725" y="2476500"/>
          <a:ext cx="0" cy="8572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6</xdr:row>
      <xdr:rowOff>0</xdr:rowOff>
    </xdr:from>
    <xdr:to>
      <xdr:col>35</xdr:col>
      <xdr:colOff>0</xdr:colOff>
      <xdr:row>6</xdr:row>
      <xdr:rowOff>142875</xdr:rowOff>
    </xdr:to>
    <xdr:sp macro="" textlink="">
      <xdr:nvSpPr>
        <xdr:cNvPr id="70" name="Line 350">
          <a:extLst>
            <a:ext uri="{FF2B5EF4-FFF2-40B4-BE49-F238E27FC236}">
              <a16:creationId xmlns:a16="http://schemas.microsoft.com/office/drawing/2014/main" id="{00000000-0008-0000-2000-000046000000}"/>
            </a:ext>
          </a:extLst>
        </xdr:cNvPr>
        <xdr:cNvSpPr>
          <a:spLocks noChangeShapeType="1"/>
        </xdr:cNvSpPr>
      </xdr:nvSpPr>
      <xdr:spPr bwMode="auto">
        <a:xfrm>
          <a:off x="5800725" y="1952625"/>
          <a:ext cx="0" cy="142875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triangle" w="sm" len="sm"/>
        </a:ln>
      </xdr:spPr>
    </xdr:sp>
    <xdr:clientData/>
  </xdr:twoCellAnchor>
  <xdr:twoCellAnchor>
    <xdr:from>
      <xdr:col>35</xdr:col>
      <xdr:colOff>0</xdr:colOff>
      <xdr:row>8</xdr:row>
      <xdr:rowOff>0</xdr:rowOff>
    </xdr:from>
    <xdr:to>
      <xdr:col>35</xdr:col>
      <xdr:colOff>0</xdr:colOff>
      <xdr:row>8</xdr:row>
      <xdr:rowOff>171450</xdr:rowOff>
    </xdr:to>
    <xdr:sp macro="" textlink="">
      <xdr:nvSpPr>
        <xdr:cNvPr id="71" name="Line 351">
          <a:extLst>
            <a:ext uri="{FF2B5EF4-FFF2-40B4-BE49-F238E27FC236}">
              <a16:creationId xmlns:a16="http://schemas.microsoft.com/office/drawing/2014/main" id="{00000000-0008-0000-2000-000047000000}"/>
            </a:ext>
          </a:extLst>
        </xdr:cNvPr>
        <xdr:cNvSpPr>
          <a:spLocks noChangeShapeType="1"/>
        </xdr:cNvSpPr>
      </xdr:nvSpPr>
      <xdr:spPr bwMode="auto">
        <a:xfrm flipV="1">
          <a:off x="5800725" y="2562225"/>
          <a:ext cx="0" cy="17145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triangl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72" name="AutoShape 353">
          <a:extLst>
            <a:ext uri="{FF2B5EF4-FFF2-40B4-BE49-F238E27FC236}">
              <a16:creationId xmlns:a16="http://schemas.microsoft.com/office/drawing/2014/main" id="{00000000-0008-0000-2000-000048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73" name="AutoShape 354">
          <a:extLst>
            <a:ext uri="{FF2B5EF4-FFF2-40B4-BE49-F238E27FC236}">
              <a16:creationId xmlns:a16="http://schemas.microsoft.com/office/drawing/2014/main" id="{00000000-0008-0000-2000-000049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74" name="Line 384">
          <a:extLst>
            <a:ext uri="{FF2B5EF4-FFF2-40B4-BE49-F238E27FC236}">
              <a16:creationId xmlns:a16="http://schemas.microsoft.com/office/drawing/2014/main" id="{00000000-0008-0000-2000-00004A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75" name="Line 385">
          <a:extLst>
            <a:ext uri="{FF2B5EF4-FFF2-40B4-BE49-F238E27FC236}">
              <a16:creationId xmlns:a16="http://schemas.microsoft.com/office/drawing/2014/main" id="{00000000-0008-0000-2000-00004B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76" name="Line 386">
          <a:extLst>
            <a:ext uri="{FF2B5EF4-FFF2-40B4-BE49-F238E27FC236}">
              <a16:creationId xmlns:a16="http://schemas.microsoft.com/office/drawing/2014/main" id="{00000000-0008-0000-2000-00004C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77" name="Line 387">
          <a:extLst>
            <a:ext uri="{FF2B5EF4-FFF2-40B4-BE49-F238E27FC236}">
              <a16:creationId xmlns:a16="http://schemas.microsoft.com/office/drawing/2014/main" id="{00000000-0008-0000-2000-00004D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78" name="Line 389">
          <a:extLst>
            <a:ext uri="{FF2B5EF4-FFF2-40B4-BE49-F238E27FC236}">
              <a16:creationId xmlns:a16="http://schemas.microsoft.com/office/drawing/2014/main" id="{00000000-0008-0000-2000-00004E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79" name="Line 390">
          <a:extLst>
            <a:ext uri="{FF2B5EF4-FFF2-40B4-BE49-F238E27FC236}">
              <a16:creationId xmlns:a16="http://schemas.microsoft.com/office/drawing/2014/main" id="{00000000-0008-0000-2000-00004F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29</xdr:row>
      <xdr:rowOff>0</xdr:rowOff>
    </xdr:from>
    <xdr:to>
      <xdr:col>10</xdr:col>
      <xdr:colOff>114300</xdr:colOff>
      <xdr:row>29</xdr:row>
      <xdr:rowOff>0</xdr:rowOff>
    </xdr:to>
    <xdr:sp macro="" textlink="">
      <xdr:nvSpPr>
        <xdr:cNvPr id="80" name="Line 391">
          <a:extLst>
            <a:ext uri="{FF2B5EF4-FFF2-40B4-BE49-F238E27FC236}">
              <a16:creationId xmlns:a16="http://schemas.microsoft.com/office/drawing/2014/main" id="{00000000-0008-0000-2000-000050000000}"/>
            </a:ext>
          </a:extLst>
        </xdr:cNvPr>
        <xdr:cNvSpPr>
          <a:spLocks noChangeShapeType="1"/>
        </xdr:cNvSpPr>
      </xdr:nvSpPr>
      <xdr:spPr bwMode="auto">
        <a:xfrm flipV="1">
          <a:off x="18669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81" name="Line 392">
          <a:extLst>
            <a:ext uri="{FF2B5EF4-FFF2-40B4-BE49-F238E27FC236}">
              <a16:creationId xmlns:a16="http://schemas.microsoft.com/office/drawing/2014/main" id="{00000000-0008-0000-2000-000051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82" name="Line 401">
          <a:extLst>
            <a:ext uri="{FF2B5EF4-FFF2-40B4-BE49-F238E27FC236}">
              <a16:creationId xmlns:a16="http://schemas.microsoft.com/office/drawing/2014/main" id="{00000000-0008-0000-2000-000052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83" name="Line 405">
          <a:extLst>
            <a:ext uri="{FF2B5EF4-FFF2-40B4-BE49-F238E27FC236}">
              <a16:creationId xmlns:a16="http://schemas.microsoft.com/office/drawing/2014/main" id="{00000000-0008-0000-2000-000053000000}"/>
            </a:ext>
          </a:extLst>
        </xdr:cNvPr>
        <xdr:cNvSpPr>
          <a:spLocks noChangeShapeType="1"/>
        </xdr:cNvSpPr>
      </xdr:nvSpPr>
      <xdr:spPr bwMode="auto">
        <a:xfrm>
          <a:off x="45053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84" name="Line 406">
          <a:extLst>
            <a:ext uri="{FF2B5EF4-FFF2-40B4-BE49-F238E27FC236}">
              <a16:creationId xmlns:a16="http://schemas.microsoft.com/office/drawing/2014/main" id="{00000000-0008-0000-2000-000054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85" name="Line 410">
          <a:extLst>
            <a:ext uri="{FF2B5EF4-FFF2-40B4-BE49-F238E27FC236}">
              <a16:creationId xmlns:a16="http://schemas.microsoft.com/office/drawing/2014/main" id="{00000000-0008-0000-2000-000055000000}"/>
            </a:ext>
          </a:extLst>
        </xdr:cNvPr>
        <xdr:cNvSpPr>
          <a:spLocks noChangeShapeType="1"/>
        </xdr:cNvSpPr>
      </xdr:nvSpPr>
      <xdr:spPr bwMode="auto">
        <a:xfrm>
          <a:off x="45053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86" name="Line 411">
          <a:extLst>
            <a:ext uri="{FF2B5EF4-FFF2-40B4-BE49-F238E27FC236}">
              <a16:creationId xmlns:a16="http://schemas.microsoft.com/office/drawing/2014/main" id="{00000000-0008-0000-2000-000056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87" name="Line 419">
          <a:extLst>
            <a:ext uri="{FF2B5EF4-FFF2-40B4-BE49-F238E27FC236}">
              <a16:creationId xmlns:a16="http://schemas.microsoft.com/office/drawing/2014/main" id="{00000000-0008-0000-2000-000057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88" name="Line 420">
          <a:extLst>
            <a:ext uri="{FF2B5EF4-FFF2-40B4-BE49-F238E27FC236}">
              <a16:creationId xmlns:a16="http://schemas.microsoft.com/office/drawing/2014/main" id="{00000000-0008-0000-2000-000058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89" name="AutoShape 423">
          <a:extLst>
            <a:ext uri="{FF2B5EF4-FFF2-40B4-BE49-F238E27FC236}">
              <a16:creationId xmlns:a16="http://schemas.microsoft.com/office/drawing/2014/main" id="{00000000-0008-0000-2000-000059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90" name="AutoShape 424">
          <a:extLst>
            <a:ext uri="{FF2B5EF4-FFF2-40B4-BE49-F238E27FC236}">
              <a16:creationId xmlns:a16="http://schemas.microsoft.com/office/drawing/2014/main" id="{00000000-0008-0000-2000-00005A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91" name="Line 427">
          <a:extLst>
            <a:ext uri="{FF2B5EF4-FFF2-40B4-BE49-F238E27FC236}">
              <a16:creationId xmlns:a16="http://schemas.microsoft.com/office/drawing/2014/main" id="{00000000-0008-0000-2000-00005B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92" name="Line 428">
          <a:extLst>
            <a:ext uri="{FF2B5EF4-FFF2-40B4-BE49-F238E27FC236}">
              <a16:creationId xmlns:a16="http://schemas.microsoft.com/office/drawing/2014/main" id="{00000000-0008-0000-2000-00005C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93" name="Line 429">
          <a:extLst>
            <a:ext uri="{FF2B5EF4-FFF2-40B4-BE49-F238E27FC236}">
              <a16:creationId xmlns:a16="http://schemas.microsoft.com/office/drawing/2014/main" id="{00000000-0008-0000-2000-00005D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94" name="Line 430">
          <a:extLst>
            <a:ext uri="{FF2B5EF4-FFF2-40B4-BE49-F238E27FC236}">
              <a16:creationId xmlns:a16="http://schemas.microsoft.com/office/drawing/2014/main" id="{00000000-0008-0000-2000-00005E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95" name="Line 431">
          <a:extLst>
            <a:ext uri="{FF2B5EF4-FFF2-40B4-BE49-F238E27FC236}">
              <a16:creationId xmlns:a16="http://schemas.microsoft.com/office/drawing/2014/main" id="{00000000-0008-0000-2000-00005F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96" name="Line 432">
          <a:extLst>
            <a:ext uri="{FF2B5EF4-FFF2-40B4-BE49-F238E27FC236}">
              <a16:creationId xmlns:a16="http://schemas.microsoft.com/office/drawing/2014/main" id="{00000000-0008-0000-2000-000060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29</xdr:row>
      <xdr:rowOff>0</xdr:rowOff>
    </xdr:from>
    <xdr:to>
      <xdr:col>10</xdr:col>
      <xdr:colOff>114300</xdr:colOff>
      <xdr:row>29</xdr:row>
      <xdr:rowOff>0</xdr:rowOff>
    </xdr:to>
    <xdr:sp macro="" textlink="">
      <xdr:nvSpPr>
        <xdr:cNvPr id="97" name="Line 433">
          <a:extLst>
            <a:ext uri="{FF2B5EF4-FFF2-40B4-BE49-F238E27FC236}">
              <a16:creationId xmlns:a16="http://schemas.microsoft.com/office/drawing/2014/main" id="{00000000-0008-0000-2000-000061000000}"/>
            </a:ext>
          </a:extLst>
        </xdr:cNvPr>
        <xdr:cNvSpPr>
          <a:spLocks noChangeShapeType="1"/>
        </xdr:cNvSpPr>
      </xdr:nvSpPr>
      <xdr:spPr bwMode="auto">
        <a:xfrm flipV="1">
          <a:off x="18669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98" name="Line 434">
          <a:extLst>
            <a:ext uri="{FF2B5EF4-FFF2-40B4-BE49-F238E27FC236}">
              <a16:creationId xmlns:a16="http://schemas.microsoft.com/office/drawing/2014/main" id="{00000000-0008-0000-2000-000062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99" name="Line 435">
          <a:extLst>
            <a:ext uri="{FF2B5EF4-FFF2-40B4-BE49-F238E27FC236}">
              <a16:creationId xmlns:a16="http://schemas.microsoft.com/office/drawing/2014/main" id="{00000000-0008-0000-2000-000063000000}"/>
            </a:ext>
          </a:extLst>
        </xdr:cNvPr>
        <xdr:cNvSpPr>
          <a:spLocks noChangeShapeType="1"/>
        </xdr:cNvSpPr>
      </xdr:nvSpPr>
      <xdr:spPr bwMode="auto">
        <a:xfrm>
          <a:off x="45053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00" name="Line 436">
          <a:extLst>
            <a:ext uri="{FF2B5EF4-FFF2-40B4-BE49-F238E27FC236}">
              <a16:creationId xmlns:a16="http://schemas.microsoft.com/office/drawing/2014/main" id="{00000000-0008-0000-2000-000064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01" name="Line 437">
          <a:extLst>
            <a:ext uri="{FF2B5EF4-FFF2-40B4-BE49-F238E27FC236}">
              <a16:creationId xmlns:a16="http://schemas.microsoft.com/office/drawing/2014/main" id="{00000000-0008-0000-2000-000065000000}"/>
            </a:ext>
          </a:extLst>
        </xdr:cNvPr>
        <xdr:cNvSpPr>
          <a:spLocks noChangeShapeType="1"/>
        </xdr:cNvSpPr>
      </xdr:nvSpPr>
      <xdr:spPr bwMode="auto">
        <a:xfrm>
          <a:off x="45053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02" name="Line 438">
          <a:extLst>
            <a:ext uri="{FF2B5EF4-FFF2-40B4-BE49-F238E27FC236}">
              <a16:creationId xmlns:a16="http://schemas.microsoft.com/office/drawing/2014/main" id="{00000000-0008-0000-2000-000066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03" name="Line 441">
          <a:extLst>
            <a:ext uri="{FF2B5EF4-FFF2-40B4-BE49-F238E27FC236}">
              <a16:creationId xmlns:a16="http://schemas.microsoft.com/office/drawing/2014/main" id="{00000000-0008-0000-2000-000067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04" name="Line 442">
          <a:extLst>
            <a:ext uri="{FF2B5EF4-FFF2-40B4-BE49-F238E27FC236}">
              <a16:creationId xmlns:a16="http://schemas.microsoft.com/office/drawing/2014/main" id="{00000000-0008-0000-2000-000068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16</xdr:col>
      <xdr:colOff>85725</xdr:colOff>
      <xdr:row>29</xdr:row>
      <xdr:rowOff>0</xdr:rowOff>
    </xdr:from>
    <xdr:to>
      <xdr:col>16</xdr:col>
      <xdr:colOff>85725</xdr:colOff>
      <xdr:row>29</xdr:row>
      <xdr:rowOff>0</xdr:rowOff>
    </xdr:to>
    <xdr:sp macro="" textlink="">
      <xdr:nvSpPr>
        <xdr:cNvPr id="105" name="Line 444">
          <a:extLst>
            <a:ext uri="{FF2B5EF4-FFF2-40B4-BE49-F238E27FC236}">
              <a16:creationId xmlns:a16="http://schemas.microsoft.com/office/drawing/2014/main" id="{00000000-0008-0000-2000-000069000000}"/>
            </a:ext>
          </a:extLst>
        </xdr:cNvPr>
        <xdr:cNvSpPr>
          <a:spLocks noChangeShapeType="1"/>
        </xdr:cNvSpPr>
      </xdr:nvSpPr>
      <xdr:spPr bwMode="auto">
        <a:xfrm>
          <a:off x="280987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76200</xdr:colOff>
      <xdr:row>29</xdr:row>
      <xdr:rowOff>0</xdr:rowOff>
    </xdr:from>
    <xdr:to>
      <xdr:col>16</xdr:col>
      <xdr:colOff>76200</xdr:colOff>
      <xdr:row>29</xdr:row>
      <xdr:rowOff>0</xdr:rowOff>
    </xdr:to>
    <xdr:sp macro="" textlink="">
      <xdr:nvSpPr>
        <xdr:cNvPr id="106" name="Line 445">
          <a:extLst>
            <a:ext uri="{FF2B5EF4-FFF2-40B4-BE49-F238E27FC236}">
              <a16:creationId xmlns:a16="http://schemas.microsoft.com/office/drawing/2014/main" id="{00000000-0008-0000-2000-00006A000000}"/>
            </a:ext>
          </a:extLst>
        </xdr:cNvPr>
        <xdr:cNvSpPr>
          <a:spLocks noChangeShapeType="1"/>
        </xdr:cNvSpPr>
      </xdr:nvSpPr>
      <xdr:spPr bwMode="auto">
        <a:xfrm flipV="1">
          <a:off x="28003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07" name="AutoShape 447">
          <a:extLst>
            <a:ext uri="{FF2B5EF4-FFF2-40B4-BE49-F238E27FC236}">
              <a16:creationId xmlns:a16="http://schemas.microsoft.com/office/drawing/2014/main" id="{00000000-0008-0000-2000-00006B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08" name="AutoShape 448">
          <a:extLst>
            <a:ext uri="{FF2B5EF4-FFF2-40B4-BE49-F238E27FC236}">
              <a16:creationId xmlns:a16="http://schemas.microsoft.com/office/drawing/2014/main" id="{00000000-0008-0000-2000-00006C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09" name="Line 478">
          <a:extLst>
            <a:ext uri="{FF2B5EF4-FFF2-40B4-BE49-F238E27FC236}">
              <a16:creationId xmlns:a16="http://schemas.microsoft.com/office/drawing/2014/main" id="{00000000-0008-0000-2000-00006D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10" name="Line 479">
          <a:extLst>
            <a:ext uri="{FF2B5EF4-FFF2-40B4-BE49-F238E27FC236}">
              <a16:creationId xmlns:a16="http://schemas.microsoft.com/office/drawing/2014/main" id="{00000000-0008-0000-2000-00006E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11" name="Line 480">
          <a:extLst>
            <a:ext uri="{FF2B5EF4-FFF2-40B4-BE49-F238E27FC236}">
              <a16:creationId xmlns:a16="http://schemas.microsoft.com/office/drawing/2014/main" id="{00000000-0008-0000-2000-00006F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12" name="Line 481">
          <a:extLst>
            <a:ext uri="{FF2B5EF4-FFF2-40B4-BE49-F238E27FC236}">
              <a16:creationId xmlns:a16="http://schemas.microsoft.com/office/drawing/2014/main" id="{00000000-0008-0000-2000-000070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13" name="Line 483">
          <a:extLst>
            <a:ext uri="{FF2B5EF4-FFF2-40B4-BE49-F238E27FC236}">
              <a16:creationId xmlns:a16="http://schemas.microsoft.com/office/drawing/2014/main" id="{00000000-0008-0000-2000-000071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14" name="Line 484">
          <a:extLst>
            <a:ext uri="{FF2B5EF4-FFF2-40B4-BE49-F238E27FC236}">
              <a16:creationId xmlns:a16="http://schemas.microsoft.com/office/drawing/2014/main" id="{00000000-0008-0000-2000-000072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15" name="Line 486">
          <a:extLst>
            <a:ext uri="{FF2B5EF4-FFF2-40B4-BE49-F238E27FC236}">
              <a16:creationId xmlns:a16="http://schemas.microsoft.com/office/drawing/2014/main" id="{00000000-0008-0000-2000-000073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16" name="Line 495">
          <a:extLst>
            <a:ext uri="{FF2B5EF4-FFF2-40B4-BE49-F238E27FC236}">
              <a16:creationId xmlns:a16="http://schemas.microsoft.com/office/drawing/2014/main" id="{00000000-0008-0000-2000-000074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17" name="Line 499">
          <a:extLst>
            <a:ext uri="{FF2B5EF4-FFF2-40B4-BE49-F238E27FC236}">
              <a16:creationId xmlns:a16="http://schemas.microsoft.com/office/drawing/2014/main" id="{00000000-0008-0000-2000-000075000000}"/>
            </a:ext>
          </a:extLst>
        </xdr:cNvPr>
        <xdr:cNvSpPr>
          <a:spLocks noChangeShapeType="1"/>
        </xdr:cNvSpPr>
      </xdr:nvSpPr>
      <xdr:spPr bwMode="auto">
        <a:xfrm>
          <a:off x="45053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18" name="Line 500">
          <a:extLst>
            <a:ext uri="{FF2B5EF4-FFF2-40B4-BE49-F238E27FC236}">
              <a16:creationId xmlns:a16="http://schemas.microsoft.com/office/drawing/2014/main" id="{00000000-0008-0000-2000-000076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0</xdr:colOff>
      <xdr:row>29</xdr:row>
      <xdr:rowOff>0</xdr:rowOff>
    </xdr:from>
    <xdr:to>
      <xdr:col>27</xdr:col>
      <xdr:colOff>0</xdr:colOff>
      <xdr:row>29</xdr:row>
      <xdr:rowOff>0</xdr:rowOff>
    </xdr:to>
    <xdr:sp macro="" textlink="">
      <xdr:nvSpPr>
        <xdr:cNvPr id="119" name="Line 504">
          <a:extLst>
            <a:ext uri="{FF2B5EF4-FFF2-40B4-BE49-F238E27FC236}">
              <a16:creationId xmlns:a16="http://schemas.microsoft.com/office/drawing/2014/main" id="{00000000-0008-0000-2000-000077000000}"/>
            </a:ext>
          </a:extLst>
        </xdr:cNvPr>
        <xdr:cNvSpPr>
          <a:spLocks noChangeShapeType="1"/>
        </xdr:cNvSpPr>
      </xdr:nvSpPr>
      <xdr:spPr bwMode="auto">
        <a:xfrm>
          <a:off x="45053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20" name="Line 505">
          <a:extLst>
            <a:ext uri="{FF2B5EF4-FFF2-40B4-BE49-F238E27FC236}">
              <a16:creationId xmlns:a16="http://schemas.microsoft.com/office/drawing/2014/main" id="{00000000-0008-0000-2000-000078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21" name="Line 513">
          <a:extLst>
            <a:ext uri="{FF2B5EF4-FFF2-40B4-BE49-F238E27FC236}">
              <a16:creationId xmlns:a16="http://schemas.microsoft.com/office/drawing/2014/main" id="{00000000-0008-0000-2000-000079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22" name="Line 514">
          <a:extLst>
            <a:ext uri="{FF2B5EF4-FFF2-40B4-BE49-F238E27FC236}">
              <a16:creationId xmlns:a16="http://schemas.microsoft.com/office/drawing/2014/main" id="{00000000-0008-0000-2000-00007A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23" name="AutoShape 518">
          <a:extLst>
            <a:ext uri="{FF2B5EF4-FFF2-40B4-BE49-F238E27FC236}">
              <a16:creationId xmlns:a16="http://schemas.microsoft.com/office/drawing/2014/main" id="{00000000-0008-0000-2000-00007B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24" name="AutoShape 519">
          <a:extLst>
            <a:ext uri="{FF2B5EF4-FFF2-40B4-BE49-F238E27FC236}">
              <a16:creationId xmlns:a16="http://schemas.microsoft.com/office/drawing/2014/main" id="{00000000-0008-0000-2000-00007C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25" name="Line 549">
          <a:extLst>
            <a:ext uri="{FF2B5EF4-FFF2-40B4-BE49-F238E27FC236}">
              <a16:creationId xmlns:a16="http://schemas.microsoft.com/office/drawing/2014/main" id="{00000000-0008-0000-2000-00007D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26" name="Line 550">
          <a:extLst>
            <a:ext uri="{FF2B5EF4-FFF2-40B4-BE49-F238E27FC236}">
              <a16:creationId xmlns:a16="http://schemas.microsoft.com/office/drawing/2014/main" id="{00000000-0008-0000-2000-00007E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27" name="Line 551">
          <a:extLst>
            <a:ext uri="{FF2B5EF4-FFF2-40B4-BE49-F238E27FC236}">
              <a16:creationId xmlns:a16="http://schemas.microsoft.com/office/drawing/2014/main" id="{00000000-0008-0000-2000-00007F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28" name="Line 552">
          <a:extLst>
            <a:ext uri="{FF2B5EF4-FFF2-40B4-BE49-F238E27FC236}">
              <a16:creationId xmlns:a16="http://schemas.microsoft.com/office/drawing/2014/main" id="{00000000-0008-0000-2000-000080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29" name="Line 554">
          <a:extLst>
            <a:ext uri="{FF2B5EF4-FFF2-40B4-BE49-F238E27FC236}">
              <a16:creationId xmlns:a16="http://schemas.microsoft.com/office/drawing/2014/main" id="{00000000-0008-0000-2000-000081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30" name="Line 555">
          <a:extLst>
            <a:ext uri="{FF2B5EF4-FFF2-40B4-BE49-F238E27FC236}">
              <a16:creationId xmlns:a16="http://schemas.microsoft.com/office/drawing/2014/main" id="{00000000-0008-0000-2000-000082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31" name="Line 557">
          <a:extLst>
            <a:ext uri="{FF2B5EF4-FFF2-40B4-BE49-F238E27FC236}">
              <a16:creationId xmlns:a16="http://schemas.microsoft.com/office/drawing/2014/main" id="{00000000-0008-0000-2000-000083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32" name="Line 566">
          <a:extLst>
            <a:ext uri="{FF2B5EF4-FFF2-40B4-BE49-F238E27FC236}">
              <a16:creationId xmlns:a16="http://schemas.microsoft.com/office/drawing/2014/main" id="{00000000-0008-0000-2000-000084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33" name="Line 571">
          <a:extLst>
            <a:ext uri="{FF2B5EF4-FFF2-40B4-BE49-F238E27FC236}">
              <a16:creationId xmlns:a16="http://schemas.microsoft.com/office/drawing/2014/main" id="{00000000-0008-0000-2000-000085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34" name="Line 576">
          <a:extLst>
            <a:ext uri="{FF2B5EF4-FFF2-40B4-BE49-F238E27FC236}">
              <a16:creationId xmlns:a16="http://schemas.microsoft.com/office/drawing/2014/main" id="{00000000-0008-0000-2000-000086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35" name="Line 584">
          <a:extLst>
            <a:ext uri="{FF2B5EF4-FFF2-40B4-BE49-F238E27FC236}">
              <a16:creationId xmlns:a16="http://schemas.microsoft.com/office/drawing/2014/main" id="{00000000-0008-0000-2000-000087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36" name="Line 585">
          <a:extLst>
            <a:ext uri="{FF2B5EF4-FFF2-40B4-BE49-F238E27FC236}">
              <a16:creationId xmlns:a16="http://schemas.microsoft.com/office/drawing/2014/main" id="{00000000-0008-0000-2000-000088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37" name="AutoShape 588">
          <a:extLst>
            <a:ext uri="{FF2B5EF4-FFF2-40B4-BE49-F238E27FC236}">
              <a16:creationId xmlns:a16="http://schemas.microsoft.com/office/drawing/2014/main" id="{00000000-0008-0000-2000-000089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38" name="AutoShape 589">
          <a:extLst>
            <a:ext uri="{FF2B5EF4-FFF2-40B4-BE49-F238E27FC236}">
              <a16:creationId xmlns:a16="http://schemas.microsoft.com/office/drawing/2014/main" id="{00000000-0008-0000-2000-00008A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39" name="Line 592">
          <a:extLst>
            <a:ext uri="{FF2B5EF4-FFF2-40B4-BE49-F238E27FC236}">
              <a16:creationId xmlns:a16="http://schemas.microsoft.com/office/drawing/2014/main" id="{00000000-0008-0000-2000-00008B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40" name="Line 593">
          <a:extLst>
            <a:ext uri="{FF2B5EF4-FFF2-40B4-BE49-F238E27FC236}">
              <a16:creationId xmlns:a16="http://schemas.microsoft.com/office/drawing/2014/main" id="{00000000-0008-0000-2000-00008C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41" name="Line 594">
          <a:extLst>
            <a:ext uri="{FF2B5EF4-FFF2-40B4-BE49-F238E27FC236}">
              <a16:creationId xmlns:a16="http://schemas.microsoft.com/office/drawing/2014/main" id="{00000000-0008-0000-2000-00008D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42" name="Line 595">
          <a:extLst>
            <a:ext uri="{FF2B5EF4-FFF2-40B4-BE49-F238E27FC236}">
              <a16:creationId xmlns:a16="http://schemas.microsoft.com/office/drawing/2014/main" id="{00000000-0008-0000-2000-00008E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43" name="Line 596">
          <a:extLst>
            <a:ext uri="{FF2B5EF4-FFF2-40B4-BE49-F238E27FC236}">
              <a16:creationId xmlns:a16="http://schemas.microsoft.com/office/drawing/2014/main" id="{00000000-0008-0000-2000-00008F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44" name="Line 597">
          <a:extLst>
            <a:ext uri="{FF2B5EF4-FFF2-40B4-BE49-F238E27FC236}">
              <a16:creationId xmlns:a16="http://schemas.microsoft.com/office/drawing/2014/main" id="{00000000-0008-0000-2000-000090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45" name="Line 599">
          <a:extLst>
            <a:ext uri="{FF2B5EF4-FFF2-40B4-BE49-F238E27FC236}">
              <a16:creationId xmlns:a16="http://schemas.microsoft.com/office/drawing/2014/main" id="{00000000-0008-0000-2000-000091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46" name="Line 601">
          <a:extLst>
            <a:ext uri="{FF2B5EF4-FFF2-40B4-BE49-F238E27FC236}">
              <a16:creationId xmlns:a16="http://schemas.microsoft.com/office/drawing/2014/main" id="{00000000-0008-0000-2000-000092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47" name="Line 603">
          <a:extLst>
            <a:ext uri="{FF2B5EF4-FFF2-40B4-BE49-F238E27FC236}">
              <a16:creationId xmlns:a16="http://schemas.microsoft.com/office/drawing/2014/main" id="{00000000-0008-0000-2000-000093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48" name="Line 606">
          <a:extLst>
            <a:ext uri="{FF2B5EF4-FFF2-40B4-BE49-F238E27FC236}">
              <a16:creationId xmlns:a16="http://schemas.microsoft.com/office/drawing/2014/main" id="{00000000-0008-0000-2000-000094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49" name="Line 607">
          <a:extLst>
            <a:ext uri="{FF2B5EF4-FFF2-40B4-BE49-F238E27FC236}">
              <a16:creationId xmlns:a16="http://schemas.microsoft.com/office/drawing/2014/main" id="{00000000-0008-0000-2000-000095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9</xdr:col>
      <xdr:colOff>47625</xdr:colOff>
      <xdr:row>29</xdr:row>
      <xdr:rowOff>0</xdr:rowOff>
    </xdr:from>
    <xdr:to>
      <xdr:col>9</xdr:col>
      <xdr:colOff>47625</xdr:colOff>
      <xdr:row>29</xdr:row>
      <xdr:rowOff>0</xdr:rowOff>
    </xdr:to>
    <xdr:sp macro="" textlink="">
      <xdr:nvSpPr>
        <xdr:cNvPr id="150" name="Line 608">
          <a:extLst>
            <a:ext uri="{FF2B5EF4-FFF2-40B4-BE49-F238E27FC236}">
              <a16:creationId xmlns:a16="http://schemas.microsoft.com/office/drawing/2014/main" id="{00000000-0008-0000-2000-000096000000}"/>
            </a:ext>
          </a:extLst>
        </xdr:cNvPr>
        <xdr:cNvSpPr>
          <a:spLocks noChangeShapeType="1"/>
        </xdr:cNvSpPr>
      </xdr:nvSpPr>
      <xdr:spPr bwMode="auto">
        <a:xfrm>
          <a:off x="16383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85725</xdr:colOff>
      <xdr:row>29</xdr:row>
      <xdr:rowOff>0</xdr:rowOff>
    </xdr:from>
    <xdr:to>
      <xdr:col>16</xdr:col>
      <xdr:colOff>85725</xdr:colOff>
      <xdr:row>29</xdr:row>
      <xdr:rowOff>0</xdr:rowOff>
    </xdr:to>
    <xdr:sp macro="" textlink="">
      <xdr:nvSpPr>
        <xdr:cNvPr id="151" name="Line 609">
          <a:extLst>
            <a:ext uri="{FF2B5EF4-FFF2-40B4-BE49-F238E27FC236}">
              <a16:creationId xmlns:a16="http://schemas.microsoft.com/office/drawing/2014/main" id="{00000000-0008-0000-2000-000097000000}"/>
            </a:ext>
          </a:extLst>
        </xdr:cNvPr>
        <xdr:cNvSpPr>
          <a:spLocks noChangeShapeType="1"/>
        </xdr:cNvSpPr>
      </xdr:nvSpPr>
      <xdr:spPr bwMode="auto">
        <a:xfrm>
          <a:off x="280987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76200</xdr:colOff>
      <xdr:row>29</xdr:row>
      <xdr:rowOff>0</xdr:rowOff>
    </xdr:from>
    <xdr:to>
      <xdr:col>16</xdr:col>
      <xdr:colOff>76200</xdr:colOff>
      <xdr:row>29</xdr:row>
      <xdr:rowOff>0</xdr:rowOff>
    </xdr:to>
    <xdr:sp macro="" textlink="">
      <xdr:nvSpPr>
        <xdr:cNvPr id="152" name="Line 610">
          <a:extLst>
            <a:ext uri="{FF2B5EF4-FFF2-40B4-BE49-F238E27FC236}">
              <a16:creationId xmlns:a16="http://schemas.microsoft.com/office/drawing/2014/main" id="{00000000-0008-0000-2000-000098000000}"/>
            </a:ext>
          </a:extLst>
        </xdr:cNvPr>
        <xdr:cNvSpPr>
          <a:spLocks noChangeShapeType="1"/>
        </xdr:cNvSpPr>
      </xdr:nvSpPr>
      <xdr:spPr bwMode="auto">
        <a:xfrm flipV="1">
          <a:off x="28003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53" name="AutoShape 612">
          <a:extLst>
            <a:ext uri="{FF2B5EF4-FFF2-40B4-BE49-F238E27FC236}">
              <a16:creationId xmlns:a16="http://schemas.microsoft.com/office/drawing/2014/main" id="{00000000-0008-0000-2000-000099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54" name="AutoShape 613">
          <a:extLst>
            <a:ext uri="{FF2B5EF4-FFF2-40B4-BE49-F238E27FC236}">
              <a16:creationId xmlns:a16="http://schemas.microsoft.com/office/drawing/2014/main" id="{00000000-0008-0000-2000-00009A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55" name="Line 643">
          <a:extLst>
            <a:ext uri="{FF2B5EF4-FFF2-40B4-BE49-F238E27FC236}">
              <a16:creationId xmlns:a16="http://schemas.microsoft.com/office/drawing/2014/main" id="{00000000-0008-0000-2000-00009B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56" name="Line 644">
          <a:extLst>
            <a:ext uri="{FF2B5EF4-FFF2-40B4-BE49-F238E27FC236}">
              <a16:creationId xmlns:a16="http://schemas.microsoft.com/office/drawing/2014/main" id="{00000000-0008-0000-2000-00009C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57" name="Line 645">
          <a:extLst>
            <a:ext uri="{FF2B5EF4-FFF2-40B4-BE49-F238E27FC236}">
              <a16:creationId xmlns:a16="http://schemas.microsoft.com/office/drawing/2014/main" id="{00000000-0008-0000-2000-00009D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58" name="Line 646">
          <a:extLst>
            <a:ext uri="{FF2B5EF4-FFF2-40B4-BE49-F238E27FC236}">
              <a16:creationId xmlns:a16="http://schemas.microsoft.com/office/drawing/2014/main" id="{00000000-0008-0000-2000-00009E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59" name="Line 648">
          <a:extLst>
            <a:ext uri="{FF2B5EF4-FFF2-40B4-BE49-F238E27FC236}">
              <a16:creationId xmlns:a16="http://schemas.microsoft.com/office/drawing/2014/main" id="{00000000-0008-0000-2000-00009F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60" name="Line 649">
          <a:extLst>
            <a:ext uri="{FF2B5EF4-FFF2-40B4-BE49-F238E27FC236}">
              <a16:creationId xmlns:a16="http://schemas.microsoft.com/office/drawing/2014/main" id="{00000000-0008-0000-2000-0000A0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61" name="Line 651">
          <a:extLst>
            <a:ext uri="{FF2B5EF4-FFF2-40B4-BE49-F238E27FC236}">
              <a16:creationId xmlns:a16="http://schemas.microsoft.com/office/drawing/2014/main" id="{00000000-0008-0000-2000-0000A1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62" name="Line 660">
          <a:extLst>
            <a:ext uri="{FF2B5EF4-FFF2-40B4-BE49-F238E27FC236}">
              <a16:creationId xmlns:a16="http://schemas.microsoft.com/office/drawing/2014/main" id="{00000000-0008-0000-2000-0000A2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63" name="Line 665">
          <a:extLst>
            <a:ext uri="{FF2B5EF4-FFF2-40B4-BE49-F238E27FC236}">
              <a16:creationId xmlns:a16="http://schemas.microsoft.com/office/drawing/2014/main" id="{00000000-0008-0000-2000-0000A3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64" name="Line 670">
          <a:extLst>
            <a:ext uri="{FF2B5EF4-FFF2-40B4-BE49-F238E27FC236}">
              <a16:creationId xmlns:a16="http://schemas.microsoft.com/office/drawing/2014/main" id="{00000000-0008-0000-2000-0000A4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65" name="Line 678">
          <a:extLst>
            <a:ext uri="{FF2B5EF4-FFF2-40B4-BE49-F238E27FC236}">
              <a16:creationId xmlns:a16="http://schemas.microsoft.com/office/drawing/2014/main" id="{00000000-0008-0000-2000-0000A5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66" name="Line 679">
          <a:extLst>
            <a:ext uri="{FF2B5EF4-FFF2-40B4-BE49-F238E27FC236}">
              <a16:creationId xmlns:a16="http://schemas.microsoft.com/office/drawing/2014/main" id="{00000000-0008-0000-2000-0000A6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67" name="AutoShape 683">
          <a:extLst>
            <a:ext uri="{FF2B5EF4-FFF2-40B4-BE49-F238E27FC236}">
              <a16:creationId xmlns:a16="http://schemas.microsoft.com/office/drawing/2014/main" id="{00000000-0008-0000-2000-0000A7000000}"/>
            </a:ext>
          </a:extLst>
        </xdr:cNvPr>
        <xdr:cNvCxnSpPr>
          <a:cxnSpLocks noChangeShapeType="1"/>
        </xdr:cNvCxnSpPr>
      </xdr:nvCxnSpPr>
      <xdr:spPr bwMode="auto">
        <a:xfrm flipV="1"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13</xdr:col>
      <xdr:colOff>38100</xdr:colOff>
      <xdr:row>29</xdr:row>
      <xdr:rowOff>0</xdr:rowOff>
    </xdr:from>
    <xdr:to>
      <xdr:col>13</xdr:col>
      <xdr:colOff>38100</xdr:colOff>
      <xdr:row>29</xdr:row>
      <xdr:rowOff>0</xdr:rowOff>
    </xdr:to>
    <xdr:cxnSp macro="">
      <xdr:nvCxnSpPr>
        <xdr:cNvPr id="168" name="AutoShape 684">
          <a:extLst>
            <a:ext uri="{FF2B5EF4-FFF2-40B4-BE49-F238E27FC236}">
              <a16:creationId xmlns:a16="http://schemas.microsoft.com/office/drawing/2014/main" id="{00000000-0008-0000-2000-0000A8000000}"/>
            </a:ext>
          </a:extLst>
        </xdr:cNvPr>
        <xdr:cNvCxnSpPr>
          <a:cxnSpLocks noChangeShapeType="1"/>
        </xdr:cNvCxnSpPr>
      </xdr:nvCxnSpPr>
      <xdr:spPr bwMode="auto">
        <a:xfrm>
          <a:off x="2276475" y="10248900"/>
          <a:ext cx="0" cy="0"/>
        </a:xfrm>
        <a:prstGeom prst="straightConnector1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cxn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69" name="Line 714">
          <a:extLst>
            <a:ext uri="{FF2B5EF4-FFF2-40B4-BE49-F238E27FC236}">
              <a16:creationId xmlns:a16="http://schemas.microsoft.com/office/drawing/2014/main" id="{00000000-0008-0000-2000-0000A9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70" name="Line 715">
          <a:extLst>
            <a:ext uri="{FF2B5EF4-FFF2-40B4-BE49-F238E27FC236}">
              <a16:creationId xmlns:a16="http://schemas.microsoft.com/office/drawing/2014/main" id="{00000000-0008-0000-2000-0000AA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71" name="Line 716">
          <a:extLst>
            <a:ext uri="{FF2B5EF4-FFF2-40B4-BE49-F238E27FC236}">
              <a16:creationId xmlns:a16="http://schemas.microsoft.com/office/drawing/2014/main" id="{00000000-0008-0000-2000-0000AB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72" name="Line 717">
          <a:extLst>
            <a:ext uri="{FF2B5EF4-FFF2-40B4-BE49-F238E27FC236}">
              <a16:creationId xmlns:a16="http://schemas.microsoft.com/office/drawing/2014/main" id="{00000000-0008-0000-2000-0000AC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73" name="Line 719">
          <a:extLst>
            <a:ext uri="{FF2B5EF4-FFF2-40B4-BE49-F238E27FC236}">
              <a16:creationId xmlns:a16="http://schemas.microsoft.com/office/drawing/2014/main" id="{00000000-0008-0000-2000-0000AD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74" name="Line 720">
          <a:extLst>
            <a:ext uri="{FF2B5EF4-FFF2-40B4-BE49-F238E27FC236}">
              <a16:creationId xmlns:a16="http://schemas.microsoft.com/office/drawing/2014/main" id="{00000000-0008-0000-2000-0000AE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75" name="Line 722">
          <a:extLst>
            <a:ext uri="{FF2B5EF4-FFF2-40B4-BE49-F238E27FC236}">
              <a16:creationId xmlns:a16="http://schemas.microsoft.com/office/drawing/2014/main" id="{00000000-0008-0000-2000-0000AF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76" name="Line 731">
          <a:extLst>
            <a:ext uri="{FF2B5EF4-FFF2-40B4-BE49-F238E27FC236}">
              <a16:creationId xmlns:a16="http://schemas.microsoft.com/office/drawing/2014/main" id="{00000000-0008-0000-2000-0000B0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77" name="Line 736">
          <a:extLst>
            <a:ext uri="{FF2B5EF4-FFF2-40B4-BE49-F238E27FC236}">
              <a16:creationId xmlns:a16="http://schemas.microsoft.com/office/drawing/2014/main" id="{00000000-0008-0000-2000-0000B1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78" name="Line 741">
          <a:extLst>
            <a:ext uri="{FF2B5EF4-FFF2-40B4-BE49-F238E27FC236}">
              <a16:creationId xmlns:a16="http://schemas.microsoft.com/office/drawing/2014/main" id="{00000000-0008-0000-2000-0000B2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79" name="Line 749">
          <a:extLst>
            <a:ext uri="{FF2B5EF4-FFF2-40B4-BE49-F238E27FC236}">
              <a16:creationId xmlns:a16="http://schemas.microsoft.com/office/drawing/2014/main" id="{00000000-0008-0000-2000-0000B3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80" name="Line 750">
          <a:extLst>
            <a:ext uri="{FF2B5EF4-FFF2-40B4-BE49-F238E27FC236}">
              <a16:creationId xmlns:a16="http://schemas.microsoft.com/office/drawing/2014/main" id="{00000000-0008-0000-2000-0000B4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81" name="Line 785">
          <a:extLst>
            <a:ext uri="{FF2B5EF4-FFF2-40B4-BE49-F238E27FC236}">
              <a16:creationId xmlns:a16="http://schemas.microsoft.com/office/drawing/2014/main" id="{00000000-0008-0000-2000-0000B5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82" name="Line 786">
          <a:extLst>
            <a:ext uri="{FF2B5EF4-FFF2-40B4-BE49-F238E27FC236}">
              <a16:creationId xmlns:a16="http://schemas.microsoft.com/office/drawing/2014/main" id="{00000000-0008-0000-2000-0000B6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83" name="Line 787">
          <a:extLst>
            <a:ext uri="{FF2B5EF4-FFF2-40B4-BE49-F238E27FC236}">
              <a16:creationId xmlns:a16="http://schemas.microsoft.com/office/drawing/2014/main" id="{00000000-0008-0000-2000-0000B7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84" name="Line 788">
          <a:extLst>
            <a:ext uri="{FF2B5EF4-FFF2-40B4-BE49-F238E27FC236}">
              <a16:creationId xmlns:a16="http://schemas.microsoft.com/office/drawing/2014/main" id="{00000000-0008-0000-2000-0000B8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85" name="Line 790">
          <a:extLst>
            <a:ext uri="{FF2B5EF4-FFF2-40B4-BE49-F238E27FC236}">
              <a16:creationId xmlns:a16="http://schemas.microsoft.com/office/drawing/2014/main" id="{00000000-0008-0000-2000-0000B9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86" name="Line 791">
          <a:extLst>
            <a:ext uri="{FF2B5EF4-FFF2-40B4-BE49-F238E27FC236}">
              <a16:creationId xmlns:a16="http://schemas.microsoft.com/office/drawing/2014/main" id="{00000000-0008-0000-2000-0000BA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87" name="Line 793">
          <a:extLst>
            <a:ext uri="{FF2B5EF4-FFF2-40B4-BE49-F238E27FC236}">
              <a16:creationId xmlns:a16="http://schemas.microsoft.com/office/drawing/2014/main" id="{00000000-0008-0000-2000-0000BB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188" name="Line 802">
          <a:extLst>
            <a:ext uri="{FF2B5EF4-FFF2-40B4-BE49-F238E27FC236}">
              <a16:creationId xmlns:a16="http://schemas.microsoft.com/office/drawing/2014/main" id="{00000000-0008-0000-2000-0000BC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89" name="Line 807">
          <a:extLst>
            <a:ext uri="{FF2B5EF4-FFF2-40B4-BE49-F238E27FC236}">
              <a16:creationId xmlns:a16="http://schemas.microsoft.com/office/drawing/2014/main" id="{00000000-0008-0000-2000-0000BD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190" name="Line 812">
          <a:extLst>
            <a:ext uri="{FF2B5EF4-FFF2-40B4-BE49-F238E27FC236}">
              <a16:creationId xmlns:a16="http://schemas.microsoft.com/office/drawing/2014/main" id="{00000000-0008-0000-2000-0000BE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91" name="Line 820">
          <a:extLst>
            <a:ext uri="{FF2B5EF4-FFF2-40B4-BE49-F238E27FC236}">
              <a16:creationId xmlns:a16="http://schemas.microsoft.com/office/drawing/2014/main" id="{00000000-0008-0000-2000-0000BF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192" name="Line 821">
          <a:extLst>
            <a:ext uri="{FF2B5EF4-FFF2-40B4-BE49-F238E27FC236}">
              <a16:creationId xmlns:a16="http://schemas.microsoft.com/office/drawing/2014/main" id="{00000000-0008-0000-2000-0000C0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93" name="Line 856">
          <a:extLst>
            <a:ext uri="{FF2B5EF4-FFF2-40B4-BE49-F238E27FC236}">
              <a16:creationId xmlns:a16="http://schemas.microsoft.com/office/drawing/2014/main" id="{00000000-0008-0000-2000-0000C1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94" name="Line 857">
          <a:extLst>
            <a:ext uri="{FF2B5EF4-FFF2-40B4-BE49-F238E27FC236}">
              <a16:creationId xmlns:a16="http://schemas.microsoft.com/office/drawing/2014/main" id="{00000000-0008-0000-2000-0000C2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95" name="Line 858">
          <a:extLst>
            <a:ext uri="{FF2B5EF4-FFF2-40B4-BE49-F238E27FC236}">
              <a16:creationId xmlns:a16="http://schemas.microsoft.com/office/drawing/2014/main" id="{00000000-0008-0000-2000-0000C3000000}"/>
            </a:ext>
          </a:extLst>
        </xdr:cNvPr>
        <xdr:cNvSpPr>
          <a:spLocks noChangeShapeType="1"/>
        </xdr:cNvSpPr>
      </xdr:nvSpPr>
      <xdr:spPr bwMode="auto">
        <a:xfrm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96" name="Line 859">
          <a:extLst>
            <a:ext uri="{FF2B5EF4-FFF2-40B4-BE49-F238E27FC236}">
              <a16:creationId xmlns:a16="http://schemas.microsoft.com/office/drawing/2014/main" id="{00000000-0008-0000-2000-0000C4000000}"/>
            </a:ext>
          </a:extLst>
        </xdr:cNvPr>
        <xdr:cNvSpPr>
          <a:spLocks noChangeShapeType="1"/>
        </xdr:cNvSpPr>
      </xdr:nvSpPr>
      <xdr:spPr bwMode="auto">
        <a:xfrm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19050</xdr:colOff>
      <xdr:row>29</xdr:row>
      <xdr:rowOff>0</xdr:rowOff>
    </xdr:from>
    <xdr:to>
      <xdr:col>9</xdr:col>
      <xdr:colOff>19050</xdr:colOff>
      <xdr:row>29</xdr:row>
      <xdr:rowOff>0</xdr:rowOff>
    </xdr:to>
    <xdr:sp macro="" textlink="">
      <xdr:nvSpPr>
        <xdr:cNvPr id="197" name="Line 861">
          <a:extLst>
            <a:ext uri="{FF2B5EF4-FFF2-40B4-BE49-F238E27FC236}">
              <a16:creationId xmlns:a16="http://schemas.microsoft.com/office/drawing/2014/main" id="{00000000-0008-0000-2000-0000C5000000}"/>
            </a:ext>
          </a:extLst>
        </xdr:cNvPr>
        <xdr:cNvSpPr>
          <a:spLocks noChangeShapeType="1"/>
        </xdr:cNvSpPr>
      </xdr:nvSpPr>
      <xdr:spPr bwMode="auto">
        <a:xfrm flipV="1">
          <a:off x="1609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57150</xdr:colOff>
      <xdr:row>29</xdr:row>
      <xdr:rowOff>0</xdr:rowOff>
    </xdr:from>
    <xdr:to>
      <xdr:col>17</xdr:col>
      <xdr:colOff>57150</xdr:colOff>
      <xdr:row>29</xdr:row>
      <xdr:rowOff>0</xdr:rowOff>
    </xdr:to>
    <xdr:sp macro="" textlink="">
      <xdr:nvSpPr>
        <xdr:cNvPr id="198" name="Line 862">
          <a:extLst>
            <a:ext uri="{FF2B5EF4-FFF2-40B4-BE49-F238E27FC236}">
              <a16:creationId xmlns:a16="http://schemas.microsoft.com/office/drawing/2014/main" id="{00000000-0008-0000-2000-0000C6000000}"/>
            </a:ext>
          </a:extLst>
        </xdr:cNvPr>
        <xdr:cNvSpPr>
          <a:spLocks noChangeShapeType="1"/>
        </xdr:cNvSpPr>
      </xdr:nvSpPr>
      <xdr:spPr bwMode="auto">
        <a:xfrm flipV="1">
          <a:off x="29432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85725</xdr:colOff>
      <xdr:row>29</xdr:row>
      <xdr:rowOff>0</xdr:rowOff>
    </xdr:from>
    <xdr:to>
      <xdr:col>15</xdr:col>
      <xdr:colOff>85725</xdr:colOff>
      <xdr:row>29</xdr:row>
      <xdr:rowOff>0</xdr:rowOff>
    </xdr:to>
    <xdr:sp macro="" textlink="">
      <xdr:nvSpPr>
        <xdr:cNvPr id="199" name="Line 864">
          <a:extLst>
            <a:ext uri="{FF2B5EF4-FFF2-40B4-BE49-F238E27FC236}">
              <a16:creationId xmlns:a16="http://schemas.microsoft.com/office/drawing/2014/main" id="{00000000-0008-0000-2000-0000C7000000}"/>
            </a:ext>
          </a:extLst>
        </xdr:cNvPr>
        <xdr:cNvSpPr>
          <a:spLocks noChangeShapeType="1"/>
        </xdr:cNvSpPr>
      </xdr:nvSpPr>
      <xdr:spPr bwMode="auto">
        <a:xfrm flipV="1">
          <a:off x="264795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0</xdr:colOff>
      <xdr:row>29</xdr:row>
      <xdr:rowOff>0</xdr:rowOff>
    </xdr:from>
    <xdr:to>
      <xdr:col>19</xdr:col>
      <xdr:colOff>0</xdr:colOff>
      <xdr:row>29</xdr:row>
      <xdr:rowOff>0</xdr:rowOff>
    </xdr:to>
    <xdr:sp macro="" textlink="">
      <xdr:nvSpPr>
        <xdr:cNvPr id="200" name="Line 873">
          <a:extLst>
            <a:ext uri="{FF2B5EF4-FFF2-40B4-BE49-F238E27FC236}">
              <a16:creationId xmlns:a16="http://schemas.microsoft.com/office/drawing/2014/main" id="{00000000-0008-0000-2000-0000C8000000}"/>
            </a:ext>
          </a:extLst>
        </xdr:cNvPr>
        <xdr:cNvSpPr>
          <a:spLocks noChangeShapeType="1"/>
        </xdr:cNvSpPr>
      </xdr:nvSpPr>
      <xdr:spPr bwMode="auto">
        <a:xfrm flipV="1">
          <a:off x="32099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01" name="Line 878">
          <a:extLst>
            <a:ext uri="{FF2B5EF4-FFF2-40B4-BE49-F238E27FC236}">
              <a16:creationId xmlns:a16="http://schemas.microsoft.com/office/drawing/2014/main" id="{00000000-0008-0000-2000-0000C9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29</xdr:row>
      <xdr:rowOff>0</xdr:rowOff>
    </xdr:to>
    <xdr:sp macro="" textlink="">
      <xdr:nvSpPr>
        <xdr:cNvPr id="202" name="Line 883">
          <a:extLst>
            <a:ext uri="{FF2B5EF4-FFF2-40B4-BE49-F238E27FC236}">
              <a16:creationId xmlns:a16="http://schemas.microsoft.com/office/drawing/2014/main" id="{00000000-0008-0000-2000-0000CA000000}"/>
            </a:ext>
          </a:extLst>
        </xdr:cNvPr>
        <xdr:cNvSpPr>
          <a:spLocks noChangeShapeType="1"/>
        </xdr:cNvSpPr>
      </xdr:nvSpPr>
      <xdr:spPr bwMode="auto">
        <a:xfrm>
          <a:off x="5638800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03" name="Line 891">
          <a:extLst>
            <a:ext uri="{FF2B5EF4-FFF2-40B4-BE49-F238E27FC236}">
              <a16:creationId xmlns:a16="http://schemas.microsoft.com/office/drawing/2014/main" id="{00000000-0008-0000-2000-0000CB000000}"/>
            </a:ext>
          </a:extLst>
        </xdr:cNvPr>
        <xdr:cNvSpPr>
          <a:spLocks noChangeShapeType="1"/>
        </xdr:cNvSpPr>
      </xdr:nvSpPr>
      <xdr:spPr bwMode="auto">
        <a:xfrm flipV="1"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35</xdr:col>
      <xdr:colOff>0</xdr:colOff>
      <xdr:row>29</xdr:row>
      <xdr:rowOff>0</xdr:rowOff>
    </xdr:from>
    <xdr:to>
      <xdr:col>35</xdr:col>
      <xdr:colOff>0</xdr:colOff>
      <xdr:row>29</xdr:row>
      <xdr:rowOff>0</xdr:rowOff>
    </xdr:to>
    <xdr:sp macro="" textlink="">
      <xdr:nvSpPr>
        <xdr:cNvPr id="204" name="Line 892">
          <a:extLst>
            <a:ext uri="{FF2B5EF4-FFF2-40B4-BE49-F238E27FC236}">
              <a16:creationId xmlns:a16="http://schemas.microsoft.com/office/drawing/2014/main" id="{00000000-0008-0000-2000-0000CC000000}"/>
            </a:ext>
          </a:extLst>
        </xdr:cNvPr>
        <xdr:cNvSpPr>
          <a:spLocks noChangeShapeType="1"/>
        </xdr:cNvSpPr>
      </xdr:nvSpPr>
      <xdr:spPr bwMode="auto">
        <a:xfrm>
          <a:off x="5800725" y="10248900"/>
          <a:ext cx="0" cy="0"/>
        </a:xfrm>
        <a:prstGeom prst="line">
          <a:avLst/>
        </a:prstGeom>
        <a:noFill/>
        <a:ln w="3175">
          <a:solidFill>
            <a:srgbClr val="000000"/>
          </a:solidFill>
          <a:round/>
          <a:headEnd type="none" w="sm" len="sm"/>
          <a:tailEnd type="none" w="sm" len="sm"/>
        </a:ln>
      </xdr:spPr>
    </xdr:sp>
    <xdr:clientData/>
  </xdr:twoCellAnchor>
  <xdr:twoCellAnchor>
    <xdr:from>
      <xdr:col>8</xdr:col>
      <xdr:colOff>152400</xdr:colOff>
      <xdr:row>5</xdr:row>
      <xdr:rowOff>85725</xdr:rowOff>
    </xdr:from>
    <xdr:to>
      <xdr:col>17</xdr:col>
      <xdr:colOff>0</xdr:colOff>
      <xdr:row>5</xdr:row>
      <xdr:rowOff>85725</xdr:rowOff>
    </xdr:to>
    <xdr:sp macro="" textlink="">
      <xdr:nvSpPr>
        <xdr:cNvPr id="205" name="Line 336">
          <a:extLst>
            <a:ext uri="{FF2B5EF4-FFF2-40B4-BE49-F238E27FC236}">
              <a16:creationId xmlns:a16="http://schemas.microsoft.com/office/drawing/2014/main" id="{00000000-0008-0000-2000-0000CD000000}"/>
            </a:ext>
          </a:extLst>
        </xdr:cNvPr>
        <xdr:cNvSpPr>
          <a:spLocks noChangeShapeType="1"/>
        </xdr:cNvSpPr>
      </xdr:nvSpPr>
      <xdr:spPr bwMode="auto">
        <a:xfrm>
          <a:off x="1562100" y="1628775"/>
          <a:ext cx="1323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8</xdr:row>
      <xdr:rowOff>257175</xdr:rowOff>
    </xdr:from>
    <xdr:to>
      <xdr:col>17</xdr:col>
      <xdr:colOff>9525</xdr:colOff>
      <xdr:row>8</xdr:row>
      <xdr:rowOff>266700</xdr:rowOff>
    </xdr:to>
    <xdr:sp macro="" textlink="">
      <xdr:nvSpPr>
        <xdr:cNvPr id="206" name="Line 336">
          <a:extLst>
            <a:ext uri="{FF2B5EF4-FFF2-40B4-BE49-F238E27FC236}">
              <a16:creationId xmlns:a16="http://schemas.microsoft.com/office/drawing/2014/main" id="{00000000-0008-0000-2000-0000CE000000}"/>
            </a:ext>
          </a:extLst>
        </xdr:cNvPr>
        <xdr:cNvSpPr>
          <a:spLocks noChangeShapeType="1"/>
        </xdr:cNvSpPr>
      </xdr:nvSpPr>
      <xdr:spPr bwMode="auto">
        <a:xfrm>
          <a:off x="1590675" y="2819400"/>
          <a:ext cx="1304925" cy="95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5</xdr:row>
      <xdr:rowOff>85725</xdr:rowOff>
    </xdr:from>
    <xdr:to>
      <xdr:col>9</xdr:col>
      <xdr:colOff>9525</xdr:colOff>
      <xdr:row>8</xdr:row>
      <xdr:rowOff>257175</xdr:rowOff>
    </xdr:to>
    <xdr:sp macro="" textlink="">
      <xdr:nvSpPr>
        <xdr:cNvPr id="207" name="Line 334">
          <a:extLst>
            <a:ext uri="{FF2B5EF4-FFF2-40B4-BE49-F238E27FC236}">
              <a16:creationId xmlns:a16="http://schemas.microsoft.com/office/drawing/2014/main" id="{00000000-0008-0000-2000-0000CF000000}"/>
            </a:ext>
          </a:extLst>
        </xdr:cNvPr>
        <xdr:cNvSpPr>
          <a:spLocks noChangeShapeType="1"/>
        </xdr:cNvSpPr>
      </xdr:nvSpPr>
      <xdr:spPr bwMode="auto">
        <a:xfrm>
          <a:off x="1590675" y="1628775"/>
          <a:ext cx="9525" cy="119062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85725</xdr:rowOff>
    </xdr:from>
    <xdr:to>
      <xdr:col>17</xdr:col>
      <xdr:colOff>9525</xdr:colOff>
      <xdr:row>8</xdr:row>
      <xdr:rowOff>276225</xdr:rowOff>
    </xdr:to>
    <xdr:sp macro="" textlink="">
      <xdr:nvSpPr>
        <xdr:cNvPr id="208" name="Line 334">
          <a:extLst>
            <a:ext uri="{FF2B5EF4-FFF2-40B4-BE49-F238E27FC236}">
              <a16:creationId xmlns:a16="http://schemas.microsoft.com/office/drawing/2014/main" id="{00000000-0008-0000-2000-0000D0000000}"/>
            </a:ext>
          </a:extLst>
        </xdr:cNvPr>
        <xdr:cNvSpPr>
          <a:spLocks noChangeShapeType="1"/>
        </xdr:cNvSpPr>
      </xdr:nvSpPr>
      <xdr:spPr bwMode="auto">
        <a:xfrm>
          <a:off x="2895600" y="1628775"/>
          <a:ext cx="0" cy="12096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607065</xdr:colOff>
      <xdr:row>27</xdr:row>
      <xdr:rowOff>160196</xdr:rowOff>
    </xdr:from>
    <xdr:to>
      <xdr:col>8</xdr:col>
      <xdr:colOff>302559</xdr:colOff>
      <xdr:row>39</xdr:row>
      <xdr:rowOff>421617</xdr:rowOff>
    </xdr:to>
    <xdr:pic>
      <xdr:nvPicPr>
        <xdr:cNvPr id="2" name="Picture 2" descr="박스이음몰탈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868" b="5381"/>
        <a:stretch/>
      </xdr:blipFill>
      <xdr:spPr bwMode="auto">
        <a:xfrm>
          <a:off x="1279418" y="7387990"/>
          <a:ext cx="5376876" cy="55057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438151</xdr:colOff>
      <xdr:row>11</xdr:row>
      <xdr:rowOff>133351</xdr:rowOff>
    </xdr:from>
    <xdr:ext cx="5714999" cy="1953228"/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4294" t="16640" r="4179" b="27734"/>
        <a:stretch>
          <a:fillRect/>
        </a:stretch>
      </xdr:blipFill>
      <xdr:spPr bwMode="auto">
        <a:xfrm>
          <a:off x="438151" y="2019301"/>
          <a:ext cx="5714999" cy="1953228"/>
        </a:xfrm>
        <a:prstGeom prst="rect">
          <a:avLst/>
        </a:prstGeom>
        <a:noFill/>
      </xdr:spPr>
    </xdr:pic>
    <xdr:clientData/>
  </xdr:oneCellAnchor>
  <xdr:oneCellAnchor>
    <xdr:from>
      <xdr:col>5</xdr:col>
      <xdr:colOff>346363</xdr:colOff>
      <xdr:row>11</xdr:row>
      <xdr:rowOff>103913</xdr:rowOff>
    </xdr:from>
    <xdr:ext cx="5859607" cy="1996295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8584" t="16141" r="8832" b="27842"/>
        <a:stretch>
          <a:fillRect/>
        </a:stretch>
      </xdr:blipFill>
      <xdr:spPr bwMode="auto">
        <a:xfrm>
          <a:off x="4156363" y="1989863"/>
          <a:ext cx="5859607" cy="1996295"/>
        </a:xfrm>
        <a:prstGeom prst="rect">
          <a:avLst/>
        </a:prstGeom>
        <a:noFill/>
      </xdr:spPr>
    </xdr:pic>
    <xdr:clientData/>
  </xdr:oneCellAnchor>
  <xdr:oneCellAnchor>
    <xdr:from>
      <xdr:col>0</xdr:col>
      <xdr:colOff>1133475</xdr:colOff>
      <xdr:row>1</xdr:row>
      <xdr:rowOff>19049</xdr:rowOff>
    </xdr:from>
    <xdr:ext cx="4617460" cy="3857625"/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31518" t="10749" r="30058" b="25912"/>
        <a:stretch>
          <a:fillRect/>
        </a:stretch>
      </xdr:blipFill>
      <xdr:spPr bwMode="auto">
        <a:xfrm>
          <a:off x="762000" y="190499"/>
          <a:ext cx="4617460" cy="3857625"/>
        </a:xfrm>
        <a:prstGeom prst="rect">
          <a:avLst/>
        </a:prstGeom>
        <a:noFill/>
      </xdr:spPr>
    </xdr:pic>
    <xdr:clientData/>
  </xdr:oneCellAnchor>
  <xdr:oneCellAnchor>
    <xdr:from>
      <xdr:col>5</xdr:col>
      <xdr:colOff>1143000</xdr:colOff>
      <xdr:row>1</xdr:row>
      <xdr:rowOff>19049</xdr:rowOff>
    </xdr:from>
    <xdr:ext cx="4617460" cy="3857625"/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31518" t="10749" r="30058" b="25912"/>
        <a:stretch>
          <a:fillRect/>
        </a:stretch>
      </xdr:blipFill>
      <xdr:spPr bwMode="auto">
        <a:xfrm>
          <a:off x="4572000" y="190499"/>
          <a:ext cx="4617460" cy="3857625"/>
        </a:xfrm>
        <a:prstGeom prst="rect">
          <a:avLst/>
        </a:prstGeom>
        <a:noFill/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515471</xdr:colOff>
      <xdr:row>1</xdr:row>
      <xdr:rowOff>22411</xdr:rowOff>
    </xdr:from>
    <xdr:to>
      <xdr:col>33</xdr:col>
      <xdr:colOff>257735</xdr:colOff>
      <xdr:row>11</xdr:row>
      <xdr:rowOff>213459</xdr:rowOff>
    </xdr:to>
    <xdr:pic>
      <xdr:nvPicPr>
        <xdr:cNvPr id="2" name="그림 2" descr="C-D-59 우수각형맨홀 (특3호)-MODEL.jpg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22" t="15250" r="4964" b="16566"/>
        <a:stretch>
          <a:fillRect/>
        </a:stretch>
      </xdr:blipFill>
      <xdr:spPr bwMode="auto">
        <a:xfrm>
          <a:off x="862853" y="605117"/>
          <a:ext cx="12079941" cy="5435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571500</xdr:colOff>
      <xdr:row>12</xdr:row>
      <xdr:rowOff>295276</xdr:rowOff>
    </xdr:from>
    <xdr:to>
      <xdr:col>2</xdr:col>
      <xdr:colOff>2735718</xdr:colOff>
      <xdr:row>20</xdr:row>
      <xdr:rowOff>123825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58130" t="31079" r="27480" b="44000"/>
        <a:stretch>
          <a:fillRect/>
        </a:stretch>
      </xdr:blipFill>
      <xdr:spPr bwMode="auto">
        <a:xfrm>
          <a:off x="1990725" y="4133851"/>
          <a:ext cx="2164218" cy="2343149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47625</xdr:colOff>
      <xdr:row>1</xdr:row>
      <xdr:rowOff>57150</xdr:rowOff>
    </xdr:from>
    <xdr:to>
      <xdr:col>4</xdr:col>
      <xdr:colOff>602523</xdr:colOff>
      <xdr:row>12</xdr:row>
      <xdr:rowOff>104775</xdr:rowOff>
    </xdr:to>
    <xdr:pic>
      <xdr:nvPicPr>
        <xdr:cNvPr id="3" name="Picture 8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6992" t="20676" r="51382" b="42913"/>
        <a:stretch>
          <a:fillRect/>
        </a:stretch>
      </xdr:blipFill>
      <xdr:spPr bwMode="auto">
        <a:xfrm>
          <a:off x="714375" y="438150"/>
          <a:ext cx="4869723" cy="35052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C5"/>
  <sheetViews>
    <sheetView workbookViewId="0">
      <selection activeCell="P30" sqref="P30"/>
    </sheetView>
  </sheetViews>
  <sheetFormatPr defaultColWidth="20.77734375" defaultRowHeight="50.1" customHeight="1"/>
  <cols>
    <col min="1" max="3" width="20.77734375" style="1207" customWidth="1"/>
    <col min="4" max="256" width="20.77734375" style="1208"/>
    <col min="257" max="259" width="20.77734375" style="1208" customWidth="1"/>
    <col min="260" max="512" width="20.77734375" style="1208"/>
    <col min="513" max="515" width="20.77734375" style="1208" customWidth="1"/>
    <col min="516" max="768" width="20.77734375" style="1208"/>
    <col min="769" max="771" width="20.77734375" style="1208" customWidth="1"/>
    <col min="772" max="1024" width="20.77734375" style="1208"/>
    <col min="1025" max="1027" width="20.77734375" style="1208" customWidth="1"/>
    <col min="1028" max="1280" width="20.77734375" style="1208"/>
    <col min="1281" max="1283" width="20.77734375" style="1208" customWidth="1"/>
    <col min="1284" max="1536" width="20.77734375" style="1208"/>
    <col min="1537" max="1539" width="20.77734375" style="1208" customWidth="1"/>
    <col min="1540" max="1792" width="20.77734375" style="1208"/>
    <col min="1793" max="1795" width="20.77734375" style="1208" customWidth="1"/>
    <col min="1796" max="2048" width="20.77734375" style="1208"/>
    <col min="2049" max="2051" width="20.77734375" style="1208" customWidth="1"/>
    <col min="2052" max="2304" width="20.77734375" style="1208"/>
    <col min="2305" max="2307" width="20.77734375" style="1208" customWidth="1"/>
    <col min="2308" max="2560" width="20.77734375" style="1208"/>
    <col min="2561" max="2563" width="20.77734375" style="1208" customWidth="1"/>
    <col min="2564" max="2816" width="20.77734375" style="1208"/>
    <col min="2817" max="2819" width="20.77734375" style="1208" customWidth="1"/>
    <col min="2820" max="3072" width="20.77734375" style="1208"/>
    <col min="3073" max="3075" width="20.77734375" style="1208" customWidth="1"/>
    <col min="3076" max="3328" width="20.77734375" style="1208"/>
    <col min="3329" max="3331" width="20.77734375" style="1208" customWidth="1"/>
    <col min="3332" max="3584" width="20.77734375" style="1208"/>
    <col min="3585" max="3587" width="20.77734375" style="1208" customWidth="1"/>
    <col min="3588" max="3840" width="20.77734375" style="1208"/>
    <col min="3841" max="3843" width="20.77734375" style="1208" customWidth="1"/>
    <col min="3844" max="4096" width="20.77734375" style="1208"/>
    <col min="4097" max="4099" width="20.77734375" style="1208" customWidth="1"/>
    <col min="4100" max="4352" width="20.77734375" style="1208"/>
    <col min="4353" max="4355" width="20.77734375" style="1208" customWidth="1"/>
    <col min="4356" max="4608" width="20.77734375" style="1208"/>
    <col min="4609" max="4611" width="20.77734375" style="1208" customWidth="1"/>
    <col min="4612" max="4864" width="20.77734375" style="1208"/>
    <col min="4865" max="4867" width="20.77734375" style="1208" customWidth="1"/>
    <col min="4868" max="5120" width="20.77734375" style="1208"/>
    <col min="5121" max="5123" width="20.77734375" style="1208" customWidth="1"/>
    <col min="5124" max="5376" width="20.77734375" style="1208"/>
    <col min="5377" max="5379" width="20.77734375" style="1208" customWidth="1"/>
    <col min="5380" max="5632" width="20.77734375" style="1208"/>
    <col min="5633" max="5635" width="20.77734375" style="1208" customWidth="1"/>
    <col min="5636" max="5888" width="20.77734375" style="1208"/>
    <col min="5889" max="5891" width="20.77734375" style="1208" customWidth="1"/>
    <col min="5892" max="6144" width="20.77734375" style="1208"/>
    <col min="6145" max="6147" width="20.77734375" style="1208" customWidth="1"/>
    <col min="6148" max="6400" width="20.77734375" style="1208"/>
    <col min="6401" max="6403" width="20.77734375" style="1208" customWidth="1"/>
    <col min="6404" max="6656" width="20.77734375" style="1208"/>
    <col min="6657" max="6659" width="20.77734375" style="1208" customWidth="1"/>
    <col min="6660" max="6912" width="20.77734375" style="1208"/>
    <col min="6913" max="6915" width="20.77734375" style="1208" customWidth="1"/>
    <col min="6916" max="7168" width="20.77734375" style="1208"/>
    <col min="7169" max="7171" width="20.77734375" style="1208" customWidth="1"/>
    <col min="7172" max="7424" width="20.77734375" style="1208"/>
    <col min="7425" max="7427" width="20.77734375" style="1208" customWidth="1"/>
    <col min="7428" max="7680" width="20.77734375" style="1208"/>
    <col min="7681" max="7683" width="20.77734375" style="1208" customWidth="1"/>
    <col min="7684" max="7936" width="20.77734375" style="1208"/>
    <col min="7937" max="7939" width="20.77734375" style="1208" customWidth="1"/>
    <col min="7940" max="8192" width="20.77734375" style="1208"/>
    <col min="8193" max="8195" width="20.77734375" style="1208" customWidth="1"/>
    <col min="8196" max="8448" width="20.77734375" style="1208"/>
    <col min="8449" max="8451" width="20.77734375" style="1208" customWidth="1"/>
    <col min="8452" max="8704" width="20.77734375" style="1208"/>
    <col min="8705" max="8707" width="20.77734375" style="1208" customWidth="1"/>
    <col min="8708" max="8960" width="20.77734375" style="1208"/>
    <col min="8961" max="8963" width="20.77734375" style="1208" customWidth="1"/>
    <col min="8964" max="9216" width="20.77734375" style="1208"/>
    <col min="9217" max="9219" width="20.77734375" style="1208" customWidth="1"/>
    <col min="9220" max="9472" width="20.77734375" style="1208"/>
    <col min="9473" max="9475" width="20.77734375" style="1208" customWidth="1"/>
    <col min="9476" max="9728" width="20.77734375" style="1208"/>
    <col min="9729" max="9731" width="20.77734375" style="1208" customWidth="1"/>
    <col min="9732" max="9984" width="20.77734375" style="1208"/>
    <col min="9985" max="9987" width="20.77734375" style="1208" customWidth="1"/>
    <col min="9988" max="10240" width="20.77734375" style="1208"/>
    <col min="10241" max="10243" width="20.77734375" style="1208" customWidth="1"/>
    <col min="10244" max="10496" width="20.77734375" style="1208"/>
    <col min="10497" max="10499" width="20.77734375" style="1208" customWidth="1"/>
    <col min="10500" max="10752" width="20.77734375" style="1208"/>
    <col min="10753" max="10755" width="20.77734375" style="1208" customWidth="1"/>
    <col min="10756" max="11008" width="20.77734375" style="1208"/>
    <col min="11009" max="11011" width="20.77734375" style="1208" customWidth="1"/>
    <col min="11012" max="11264" width="20.77734375" style="1208"/>
    <col min="11265" max="11267" width="20.77734375" style="1208" customWidth="1"/>
    <col min="11268" max="11520" width="20.77734375" style="1208"/>
    <col min="11521" max="11523" width="20.77734375" style="1208" customWidth="1"/>
    <col min="11524" max="11776" width="20.77734375" style="1208"/>
    <col min="11777" max="11779" width="20.77734375" style="1208" customWidth="1"/>
    <col min="11780" max="12032" width="20.77734375" style="1208"/>
    <col min="12033" max="12035" width="20.77734375" style="1208" customWidth="1"/>
    <col min="12036" max="12288" width="20.77734375" style="1208"/>
    <col min="12289" max="12291" width="20.77734375" style="1208" customWidth="1"/>
    <col min="12292" max="12544" width="20.77734375" style="1208"/>
    <col min="12545" max="12547" width="20.77734375" style="1208" customWidth="1"/>
    <col min="12548" max="12800" width="20.77734375" style="1208"/>
    <col min="12801" max="12803" width="20.77734375" style="1208" customWidth="1"/>
    <col min="12804" max="13056" width="20.77734375" style="1208"/>
    <col min="13057" max="13059" width="20.77734375" style="1208" customWidth="1"/>
    <col min="13060" max="13312" width="20.77734375" style="1208"/>
    <col min="13313" max="13315" width="20.77734375" style="1208" customWidth="1"/>
    <col min="13316" max="13568" width="20.77734375" style="1208"/>
    <col min="13569" max="13571" width="20.77734375" style="1208" customWidth="1"/>
    <col min="13572" max="13824" width="20.77734375" style="1208"/>
    <col min="13825" max="13827" width="20.77734375" style="1208" customWidth="1"/>
    <col min="13828" max="14080" width="20.77734375" style="1208"/>
    <col min="14081" max="14083" width="20.77734375" style="1208" customWidth="1"/>
    <col min="14084" max="14336" width="20.77734375" style="1208"/>
    <col min="14337" max="14339" width="20.77734375" style="1208" customWidth="1"/>
    <col min="14340" max="14592" width="20.77734375" style="1208"/>
    <col min="14593" max="14595" width="20.77734375" style="1208" customWidth="1"/>
    <col min="14596" max="14848" width="20.77734375" style="1208"/>
    <col min="14849" max="14851" width="20.77734375" style="1208" customWidth="1"/>
    <col min="14852" max="15104" width="20.77734375" style="1208"/>
    <col min="15105" max="15107" width="20.77734375" style="1208" customWidth="1"/>
    <col min="15108" max="15360" width="20.77734375" style="1208"/>
    <col min="15361" max="15363" width="20.77734375" style="1208" customWidth="1"/>
    <col min="15364" max="15616" width="20.77734375" style="1208"/>
    <col min="15617" max="15619" width="20.77734375" style="1208" customWidth="1"/>
    <col min="15620" max="15872" width="20.77734375" style="1208"/>
    <col min="15873" max="15875" width="20.77734375" style="1208" customWidth="1"/>
    <col min="15876" max="16128" width="20.77734375" style="1208"/>
    <col min="16129" max="16131" width="20.77734375" style="1208" customWidth="1"/>
    <col min="16132" max="16384" width="20.77734375" style="1208"/>
  </cols>
  <sheetData>
    <row r="1" spans="1:3" ht="50.1" customHeight="1">
      <c r="A1" s="1207" t="s">
        <v>933</v>
      </c>
    </row>
    <row r="5" spans="1:3" ht="50.1" customHeight="1">
      <c r="A5" s="1284" t="s">
        <v>1380</v>
      </c>
      <c r="B5" s="1284"/>
      <c r="C5" s="1284"/>
    </row>
  </sheetData>
  <mergeCells count="1">
    <mergeCell ref="A5:C5"/>
  </mergeCells>
  <phoneticPr fontId="13" type="noConversion"/>
  <printOptions horizontalCentered="1"/>
  <pageMargins left="0.74803149599999996" right="0.74803149599999996" top="0.98425196800000003" bottom="0.98425196800000003" header="0.51181102300000003" footer="0.5118110230000000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</sheetPr>
  <dimension ref="A1:AZ23"/>
  <sheetViews>
    <sheetView view="pageBreakPreview" topLeftCell="V1" zoomScaleNormal="85" zoomScaleSheetLayoutView="100" workbookViewId="0">
      <selection activeCell="P30" sqref="P30"/>
    </sheetView>
  </sheetViews>
  <sheetFormatPr defaultColWidth="7.77734375" defaultRowHeight="24.95" customHeight="1"/>
  <cols>
    <col min="1" max="1" width="7.77734375" style="1169"/>
    <col min="2" max="2" width="4.109375" style="1169" bestFit="1" customWidth="1"/>
    <col min="3" max="41" width="7.77734375" style="797"/>
    <col min="42" max="43" width="7.77734375" style="797" customWidth="1"/>
    <col min="44" max="44" width="7.77734375" style="797"/>
    <col min="45" max="45" width="7.77734375" style="1167" customWidth="1"/>
    <col min="46" max="46" width="11.5546875" style="1167" customWidth="1"/>
    <col min="47" max="47" width="11.5546875" style="797" customWidth="1"/>
    <col min="48" max="16384" width="7.77734375" style="797"/>
  </cols>
  <sheetData>
    <row r="1" spans="1:52" ht="24.95" customHeight="1">
      <c r="A1" s="1286" t="s">
        <v>8</v>
      </c>
      <c r="B1" s="1286"/>
      <c r="C1" s="1289" t="s">
        <v>276</v>
      </c>
      <c r="D1" s="1288" t="s">
        <v>277</v>
      </c>
      <c r="E1" s="1288"/>
      <c r="F1" s="1288" t="s">
        <v>814</v>
      </c>
      <c r="G1" s="1288"/>
      <c r="H1" s="1309" t="s">
        <v>905</v>
      </c>
      <c r="I1" s="1305"/>
      <c r="J1" s="1305"/>
      <c r="K1" s="1305"/>
      <c r="L1" s="1305"/>
      <c r="M1" s="1305"/>
      <c r="N1" s="1306"/>
      <c r="O1" s="1302" t="s">
        <v>438</v>
      </c>
      <c r="P1" s="1291" t="s">
        <v>372</v>
      </c>
      <c r="Q1" s="1292"/>
      <c r="R1" s="1292"/>
      <c r="S1" s="1292"/>
      <c r="T1" s="1292"/>
      <c r="U1" s="1292"/>
      <c r="V1" s="1292"/>
      <c r="W1" s="1292"/>
      <c r="X1" s="1292"/>
      <c r="Y1" s="1292"/>
      <c r="Z1" s="1308"/>
      <c r="AA1" s="1302" t="s">
        <v>438</v>
      </c>
      <c r="AB1" s="1291" t="s">
        <v>372</v>
      </c>
      <c r="AC1" s="1292"/>
      <c r="AD1" s="1292"/>
      <c r="AE1" s="1292"/>
      <c r="AF1" s="1292"/>
      <c r="AG1" s="1292"/>
      <c r="AH1" s="1292"/>
      <c r="AI1" s="1292"/>
      <c r="AJ1" s="1292"/>
      <c r="AK1" s="1292"/>
      <c r="AL1" s="1308"/>
      <c r="AM1" s="1302" t="s">
        <v>438</v>
      </c>
      <c r="AN1" s="1291" t="s">
        <v>372</v>
      </c>
      <c r="AO1" s="1292"/>
      <c r="AP1" s="1292"/>
      <c r="AQ1" s="1292"/>
      <c r="AR1" s="1292"/>
      <c r="AS1" s="1292"/>
      <c r="AT1" s="1305" t="s">
        <v>7</v>
      </c>
      <c r="AU1" s="1305"/>
      <c r="AV1" s="1305"/>
      <c r="AW1" s="1305"/>
      <c r="AX1" s="1305"/>
      <c r="AY1" s="1306"/>
      <c r="AZ1" s="1302" t="s">
        <v>438</v>
      </c>
    </row>
    <row r="2" spans="1:52" ht="32.1" customHeight="1">
      <c r="A2" s="1286"/>
      <c r="B2" s="1286"/>
      <c r="C2" s="1288"/>
      <c r="D2" s="1290" t="s">
        <v>289</v>
      </c>
      <c r="E2" s="1290"/>
      <c r="F2" s="1290" t="s">
        <v>14</v>
      </c>
      <c r="G2" s="1290"/>
      <c r="H2" s="1288" t="s">
        <v>403</v>
      </c>
      <c r="I2" s="1288"/>
      <c r="J2" s="1288"/>
      <c r="K2" s="1288" t="s">
        <v>404</v>
      </c>
      <c r="L2" s="1288"/>
      <c r="M2" s="1291" t="s">
        <v>405</v>
      </c>
      <c r="N2" s="1308"/>
      <c r="O2" s="1290"/>
      <c r="P2" s="1291" t="s">
        <v>405</v>
      </c>
      <c r="Q2" s="1292"/>
      <c r="R2" s="1292"/>
      <c r="S2" s="1292"/>
      <c r="T2" s="1292"/>
      <c r="U2" s="1292"/>
      <c r="V2" s="1292"/>
      <c r="W2" s="1308"/>
      <c r="X2" s="1310" t="s">
        <v>632</v>
      </c>
      <c r="Y2" s="1310"/>
      <c r="Z2" s="1311"/>
      <c r="AA2" s="1290"/>
      <c r="AB2" s="1288" t="s">
        <v>407</v>
      </c>
      <c r="AC2" s="1288"/>
      <c r="AD2" s="1288"/>
      <c r="AE2" s="1288"/>
      <c r="AF2" s="1288" t="s">
        <v>408</v>
      </c>
      <c r="AG2" s="1288"/>
      <c r="AH2" s="1288"/>
      <c r="AI2" s="1288"/>
      <c r="AJ2" s="1288"/>
      <c r="AK2" s="914" t="s">
        <v>414</v>
      </c>
      <c r="AL2" s="914" t="s">
        <v>415</v>
      </c>
      <c r="AM2" s="1290"/>
      <c r="AN2" s="914" t="s">
        <v>415</v>
      </c>
      <c r="AO2" s="914" t="s">
        <v>4</v>
      </c>
      <c r="AP2" s="1291" t="s">
        <v>1019</v>
      </c>
      <c r="AQ2" s="1308"/>
      <c r="AR2" s="1289" t="s">
        <v>627</v>
      </c>
      <c r="AS2" s="914" t="s">
        <v>960</v>
      </c>
      <c r="AT2" s="1151" t="s">
        <v>968</v>
      </c>
      <c r="AU2" s="1151" t="s">
        <v>1076</v>
      </c>
      <c r="AV2" s="1289" t="s">
        <v>636</v>
      </c>
      <c r="AW2" s="1289"/>
      <c r="AX2" s="1289" t="s">
        <v>635</v>
      </c>
      <c r="AY2" s="1289"/>
      <c r="AZ2" s="1290"/>
    </row>
    <row r="3" spans="1:52" ht="24.95" customHeight="1">
      <c r="A3" s="1286"/>
      <c r="B3" s="1286"/>
      <c r="C3" s="1288"/>
      <c r="D3" s="1290"/>
      <c r="E3" s="1290"/>
      <c r="F3" s="1290" t="s">
        <v>410</v>
      </c>
      <c r="G3" s="1290"/>
      <c r="H3" s="1135" t="s">
        <v>887</v>
      </c>
      <c r="I3" s="1135" t="s">
        <v>1366</v>
      </c>
      <c r="J3" s="1135" t="s">
        <v>888</v>
      </c>
      <c r="K3" s="1135" t="s">
        <v>1367</v>
      </c>
      <c r="L3" s="1135" t="s">
        <v>1368</v>
      </c>
      <c r="M3" s="1136" t="s">
        <v>1369</v>
      </c>
      <c r="N3" s="1136" t="s">
        <v>1370</v>
      </c>
      <c r="O3" s="1290"/>
      <c r="P3" s="1136" t="s">
        <v>896</v>
      </c>
      <c r="Q3" s="1136" t="s">
        <v>897</v>
      </c>
      <c r="R3" s="1136" t="s">
        <v>898</v>
      </c>
      <c r="S3" s="1136" t="s">
        <v>899</v>
      </c>
      <c r="T3" s="1136" t="s">
        <v>900</v>
      </c>
      <c r="U3" s="1136" t="s">
        <v>901</v>
      </c>
      <c r="V3" s="1136" t="s">
        <v>902</v>
      </c>
      <c r="W3" s="1136" t="s">
        <v>1371</v>
      </c>
      <c r="X3" s="1135" t="s">
        <v>887</v>
      </c>
      <c r="Y3" s="1135" t="s">
        <v>1366</v>
      </c>
      <c r="Z3" s="1135" t="s">
        <v>888</v>
      </c>
      <c r="AA3" s="1290"/>
      <c r="AB3" s="914" t="s">
        <v>1372</v>
      </c>
      <c r="AC3" s="914" t="s">
        <v>1373</v>
      </c>
      <c r="AD3" s="914" t="s">
        <v>1374</v>
      </c>
      <c r="AE3" s="914" t="s">
        <v>1368</v>
      </c>
      <c r="AF3" s="914" t="s">
        <v>896</v>
      </c>
      <c r="AG3" s="914" t="s">
        <v>897</v>
      </c>
      <c r="AH3" s="914" t="s">
        <v>898</v>
      </c>
      <c r="AI3" s="914" t="s">
        <v>1375</v>
      </c>
      <c r="AJ3" s="914" t="s">
        <v>1376</v>
      </c>
      <c r="AK3" s="882" t="s">
        <v>625</v>
      </c>
      <c r="AL3" s="882" t="s">
        <v>623</v>
      </c>
      <c r="AM3" s="1290"/>
      <c r="AN3" s="882" t="s">
        <v>624</v>
      </c>
      <c r="AO3" s="882" t="s">
        <v>823</v>
      </c>
      <c r="AP3" s="882" t="s">
        <v>1024</v>
      </c>
      <c r="AQ3" s="882" t="s">
        <v>1023</v>
      </c>
      <c r="AR3" s="1289"/>
      <c r="AS3" s="882" t="s">
        <v>961</v>
      </c>
      <c r="AT3" s="883" t="s">
        <v>969</v>
      </c>
      <c r="AU3" s="883" t="s">
        <v>1072</v>
      </c>
      <c r="AV3" s="1288" t="s">
        <v>634</v>
      </c>
      <c r="AW3" s="1288"/>
      <c r="AX3" s="1288" t="s">
        <v>10</v>
      </c>
      <c r="AY3" s="1288"/>
      <c r="AZ3" s="1290"/>
    </row>
    <row r="4" spans="1:52" ht="24.95" customHeight="1">
      <c r="A4" s="1286"/>
      <c r="B4" s="1286"/>
      <c r="C4" s="1288"/>
      <c r="D4" s="1288" t="s">
        <v>1</v>
      </c>
      <c r="E4" s="1288"/>
      <c r="F4" s="1288" t="s">
        <v>411</v>
      </c>
      <c r="G4" s="1288"/>
      <c r="H4" s="914" t="s">
        <v>401</v>
      </c>
      <c r="I4" s="914" t="s">
        <v>363</v>
      </c>
      <c r="J4" s="914" t="s">
        <v>401</v>
      </c>
      <c r="K4" s="914" t="s">
        <v>401</v>
      </c>
      <c r="L4" s="914" t="s">
        <v>401</v>
      </c>
      <c r="M4" s="914" t="s">
        <v>401</v>
      </c>
      <c r="N4" s="914" t="s">
        <v>363</v>
      </c>
      <c r="O4" s="882"/>
      <c r="P4" s="914" t="s">
        <v>363</v>
      </c>
      <c r="Q4" s="914" t="s">
        <v>363</v>
      </c>
      <c r="R4" s="914" t="s">
        <v>401</v>
      </c>
      <c r="S4" s="914" t="s">
        <v>363</v>
      </c>
      <c r="T4" s="914" t="s">
        <v>363</v>
      </c>
      <c r="U4" s="914" t="s">
        <v>401</v>
      </c>
      <c r="V4" s="914" t="s">
        <v>401</v>
      </c>
      <c r="W4" s="914" t="s">
        <v>401</v>
      </c>
      <c r="X4" s="914" t="s">
        <v>401</v>
      </c>
      <c r="Y4" s="914" t="s">
        <v>363</v>
      </c>
      <c r="Z4" s="914" t="s">
        <v>401</v>
      </c>
      <c r="AA4" s="882"/>
      <c r="AB4" s="914" t="s">
        <v>401</v>
      </c>
      <c r="AC4" s="914" t="s">
        <v>363</v>
      </c>
      <c r="AD4" s="914" t="s">
        <v>363</v>
      </c>
      <c r="AE4" s="914" t="s">
        <v>401</v>
      </c>
      <c r="AF4" s="914" t="s">
        <v>401</v>
      </c>
      <c r="AG4" s="914" t="s">
        <v>401</v>
      </c>
      <c r="AH4" s="914" t="s">
        <v>401</v>
      </c>
      <c r="AI4" s="914" t="s">
        <v>401</v>
      </c>
      <c r="AJ4" s="914" t="s">
        <v>54</v>
      </c>
      <c r="AK4" s="914" t="s">
        <v>401</v>
      </c>
      <c r="AL4" s="914" t="s">
        <v>401</v>
      </c>
      <c r="AM4" s="882"/>
      <c r="AN4" s="914" t="s">
        <v>401</v>
      </c>
      <c r="AO4" s="914" t="s">
        <v>5</v>
      </c>
      <c r="AP4" s="914" t="s">
        <v>1020</v>
      </c>
      <c r="AQ4" s="914" t="s">
        <v>1020</v>
      </c>
      <c r="AR4" s="914" t="s">
        <v>449</v>
      </c>
      <c r="AS4" s="914" t="s">
        <v>962</v>
      </c>
      <c r="AT4" s="914" t="s">
        <v>244</v>
      </c>
      <c r="AU4" s="914" t="s">
        <v>1068</v>
      </c>
      <c r="AV4" s="1288" t="s">
        <v>5</v>
      </c>
      <c r="AW4" s="1288"/>
      <c r="AX4" s="1288" t="s">
        <v>5</v>
      </c>
      <c r="AY4" s="1288"/>
      <c r="AZ4" s="882"/>
    </row>
    <row r="5" spans="1:52" ht="24.95" customHeight="1">
      <c r="A5" s="1293" t="s">
        <v>229</v>
      </c>
      <c r="B5" s="1285" t="s">
        <v>13</v>
      </c>
      <c r="C5" s="1287">
        <f>'오수맨홀수량 및 평균높이'!E4</f>
        <v>35</v>
      </c>
      <c r="D5" s="1152">
        <f>'1호맨홀단위수량'!N33</f>
        <v>7.3512526678134932E-2</v>
      </c>
      <c r="E5" s="1153"/>
      <c r="F5" s="1152">
        <f>'1호맨홀단위수량'!N38</f>
        <v>0.5</v>
      </c>
      <c r="G5" s="1153"/>
      <c r="H5" s="1287">
        <f>'오수원형맨홀1호(차도)'!F61</f>
        <v>3</v>
      </c>
      <c r="I5" s="1287">
        <f>'오수원형맨홀1호(차도)'!G61</f>
        <v>16</v>
      </c>
      <c r="J5" s="1287">
        <f>'오수원형맨홀1호(차도)'!H61</f>
        <v>16</v>
      </c>
      <c r="K5" s="1287">
        <f>'오수원형맨홀1호(차도)'!I61</f>
        <v>3</v>
      </c>
      <c r="L5" s="1287">
        <f>'오수원형맨홀1호(차도)'!J61</f>
        <v>25</v>
      </c>
      <c r="M5" s="1287">
        <f>'오수원형맨홀1호(차도)'!K61</f>
        <v>1</v>
      </c>
      <c r="N5" s="1287">
        <f>'오수원형맨홀1호(차도)'!L61</f>
        <v>4</v>
      </c>
      <c r="O5" s="1290"/>
      <c r="P5" s="1287">
        <f>'오수원형맨홀1호(차도)'!M61</f>
        <v>7</v>
      </c>
      <c r="Q5" s="1287">
        <f>'오수원형맨홀1호(차도)'!N61</f>
        <v>1</v>
      </c>
      <c r="R5" s="1287">
        <f>'오수원형맨홀1호(차도)'!O61</f>
        <v>0</v>
      </c>
      <c r="S5" s="1287">
        <f>'오수원형맨홀1호(차도)'!P61</f>
        <v>5</v>
      </c>
      <c r="T5" s="1287">
        <f>'오수원형맨홀1호(차도)'!Q61</f>
        <v>2</v>
      </c>
      <c r="U5" s="1287">
        <f>'오수원형맨홀1호(차도)'!R61</f>
        <v>5</v>
      </c>
      <c r="V5" s="1287">
        <f>'오수원형맨홀1호(차도)'!S61</f>
        <v>6</v>
      </c>
      <c r="W5" s="1287">
        <f>'오수원형맨홀1호(차도)'!T61</f>
        <v>4</v>
      </c>
      <c r="X5" s="1287"/>
      <c r="Y5" s="1287"/>
      <c r="Z5" s="1287"/>
      <c r="AA5" s="1290"/>
      <c r="AB5" s="1287"/>
      <c r="AC5" s="1287"/>
      <c r="AD5" s="1287"/>
      <c r="AE5" s="1287"/>
      <c r="AF5" s="1287"/>
      <c r="AG5" s="1287"/>
      <c r="AH5" s="1287"/>
      <c r="AI5" s="1287"/>
      <c r="AJ5" s="1287"/>
      <c r="AK5" s="1287">
        <f>'오수원형맨홀1호(차도)'!V61</f>
        <v>252</v>
      </c>
      <c r="AL5" s="1287">
        <f>'오수원형맨홀1호(차도)'!W61</f>
        <v>126</v>
      </c>
      <c r="AM5" s="1290"/>
      <c r="AN5" s="1287"/>
      <c r="AO5" s="1296">
        <f>'오수원형맨홀1호(차도)'!X61</f>
        <v>217</v>
      </c>
      <c r="AP5" s="1296">
        <f>'오수원형맨홀1호(차도)'!Y61</f>
        <v>4</v>
      </c>
      <c r="AQ5" s="1296"/>
      <c r="AR5" s="1287">
        <f>SUM(H5:L6)*0.5</f>
        <v>31.5</v>
      </c>
      <c r="AS5" s="1154">
        <f>'1호맨홀단위수량'!N37</f>
        <v>0.27</v>
      </c>
      <c r="AT5" s="1154">
        <f>'1호맨홀단위수량'!N35</f>
        <v>3</v>
      </c>
      <c r="AU5" s="1154">
        <f>'1호맨홀단위수량'!N36</f>
        <v>2.161</v>
      </c>
      <c r="AV5" s="1155"/>
      <c r="AW5" s="1156"/>
      <c r="AX5" s="1157">
        <f>'1호맨홀단위수량'!N34</f>
        <v>1</v>
      </c>
      <c r="AY5" s="1156"/>
      <c r="AZ5" s="1290"/>
    </row>
    <row r="6" spans="1:52" ht="24.95" customHeight="1">
      <c r="A6" s="1294"/>
      <c r="B6" s="1286"/>
      <c r="C6" s="1287"/>
      <c r="D6" s="1153"/>
      <c r="E6" s="1154">
        <f>D5*$C5</f>
        <v>2.5729384337347225</v>
      </c>
      <c r="F6" s="1153"/>
      <c r="G6" s="1158">
        <f>F5*$C5</f>
        <v>17.5</v>
      </c>
      <c r="H6" s="1287"/>
      <c r="I6" s="1287"/>
      <c r="J6" s="1287"/>
      <c r="K6" s="1287"/>
      <c r="L6" s="1287"/>
      <c r="M6" s="1287"/>
      <c r="N6" s="1287"/>
      <c r="O6" s="1290"/>
      <c r="P6" s="1287"/>
      <c r="Q6" s="1287"/>
      <c r="R6" s="1287"/>
      <c r="S6" s="1287"/>
      <c r="T6" s="1287"/>
      <c r="U6" s="1287"/>
      <c r="V6" s="1287"/>
      <c r="W6" s="1287"/>
      <c r="X6" s="1287"/>
      <c r="Y6" s="1287"/>
      <c r="Z6" s="1287"/>
      <c r="AA6" s="1290"/>
      <c r="AB6" s="1287"/>
      <c r="AC6" s="1287"/>
      <c r="AD6" s="1287"/>
      <c r="AE6" s="1287"/>
      <c r="AF6" s="1287"/>
      <c r="AG6" s="1287"/>
      <c r="AH6" s="1287"/>
      <c r="AI6" s="1287"/>
      <c r="AJ6" s="1287"/>
      <c r="AK6" s="1287"/>
      <c r="AL6" s="1287"/>
      <c r="AM6" s="1290"/>
      <c r="AN6" s="1287"/>
      <c r="AO6" s="1297"/>
      <c r="AP6" s="1297"/>
      <c r="AQ6" s="1297"/>
      <c r="AR6" s="1287"/>
      <c r="AS6" s="1154">
        <f>$C$5*AS5</f>
        <v>9.4500000000000011</v>
      </c>
      <c r="AT6" s="1159">
        <f>AY6*AT5</f>
        <v>105</v>
      </c>
      <c r="AU6" s="1159">
        <f>AY6*AU5</f>
        <v>75.635000000000005</v>
      </c>
      <c r="AV6" s="1156"/>
      <c r="AW6" s="1160"/>
      <c r="AX6" s="1156"/>
      <c r="AY6" s="1160">
        <f>AX5*C5</f>
        <v>35</v>
      </c>
      <c r="AZ6" s="1290"/>
    </row>
    <row r="7" spans="1:52" ht="24.95" customHeight="1">
      <c r="A7" s="1294"/>
      <c r="B7" s="1285" t="s">
        <v>12</v>
      </c>
      <c r="C7" s="1287">
        <f>'오수맨홀수량 및 평균높이'!D4</f>
        <v>73</v>
      </c>
      <c r="D7" s="1152">
        <f>'1호맨홀단위수량'!N67</f>
        <v>2.4535838624536274E-2</v>
      </c>
      <c r="E7" s="1153"/>
      <c r="F7" s="1152">
        <f>'1호맨홀단위수량'!N70</f>
        <v>0.44610615680975063</v>
      </c>
      <c r="G7" s="1153"/>
      <c r="H7" s="1287">
        <f>'오수원형맨홀1호(보도)'!F165</f>
        <v>0</v>
      </c>
      <c r="I7" s="1287">
        <f>'오수원형맨홀1호(보도)'!G165</f>
        <v>28</v>
      </c>
      <c r="J7" s="1287">
        <f>'오수원형맨홀1호(보도)'!H165</f>
        <v>14</v>
      </c>
      <c r="K7" s="1287">
        <f>'오수원형맨홀1호(보도)'!I165</f>
        <v>11</v>
      </c>
      <c r="L7" s="1287">
        <f>'오수원형맨홀1호(보도)'!J165</f>
        <v>70</v>
      </c>
      <c r="M7" s="1287">
        <f>'오수원형맨홀1호(보도)'!K165</f>
        <v>4</v>
      </c>
      <c r="N7" s="1287">
        <f>'오수원형맨홀1호(보도)'!L165</f>
        <v>1</v>
      </c>
      <c r="O7" s="1290"/>
      <c r="P7" s="1287">
        <f>'오수원형맨홀1호(보도)'!M165</f>
        <v>3</v>
      </c>
      <c r="Q7" s="1287">
        <f>'오수원형맨홀1호(보도)'!N165</f>
        <v>1</v>
      </c>
      <c r="R7" s="1287">
        <f>'오수원형맨홀1호(보도)'!O165</f>
        <v>0</v>
      </c>
      <c r="S7" s="1287">
        <f>'오수원형맨홀1호(보도)'!P165</f>
        <v>7</v>
      </c>
      <c r="T7" s="1287">
        <f>'오수원형맨홀1호(보도)'!Q165</f>
        <v>1</v>
      </c>
      <c r="U7" s="1287">
        <f>'오수원형맨홀1호(보도)'!R165</f>
        <v>8</v>
      </c>
      <c r="V7" s="1287">
        <f>'오수원형맨홀1호(보도)'!S165</f>
        <v>9</v>
      </c>
      <c r="W7" s="1287">
        <f>'오수원형맨홀1호(보도)'!T165</f>
        <v>8</v>
      </c>
      <c r="X7" s="1287"/>
      <c r="Y7" s="1287"/>
      <c r="Z7" s="1287"/>
      <c r="AA7" s="1290"/>
      <c r="AB7" s="1287"/>
      <c r="AC7" s="1287"/>
      <c r="AD7" s="1287"/>
      <c r="AE7" s="1287"/>
      <c r="AF7" s="1287"/>
      <c r="AG7" s="1287"/>
      <c r="AH7" s="1287"/>
      <c r="AI7" s="1287"/>
      <c r="AJ7" s="1287"/>
      <c r="AK7" s="1287">
        <f>'오수원형맨홀1호(보도)'!V165</f>
        <v>492</v>
      </c>
      <c r="AL7" s="1287">
        <f>'오수원형맨홀1호(보도)'!W165</f>
        <v>246</v>
      </c>
      <c r="AM7" s="1290"/>
      <c r="AN7" s="1287"/>
      <c r="AO7" s="1296">
        <f>'오수원형맨홀1호(보도)'!X165</f>
        <v>356</v>
      </c>
      <c r="AP7" s="1296">
        <f>'오수원형맨홀1호(보도)'!Y165</f>
        <v>19</v>
      </c>
      <c r="AQ7" s="1296"/>
      <c r="AR7" s="1287">
        <f>SUM(H7:L8)*0.5</f>
        <v>61.5</v>
      </c>
      <c r="AS7" s="1154">
        <f>'1호맨홀단위수량'!N69</f>
        <v>0.27</v>
      </c>
      <c r="AT7" s="1154"/>
      <c r="AU7" s="1154"/>
      <c r="AV7" s="1157">
        <f>'1호맨홀단위수량'!N68</f>
        <v>1</v>
      </c>
      <c r="AW7" s="1156"/>
      <c r="AX7" s="1157"/>
      <c r="AY7" s="1156"/>
      <c r="AZ7" s="1290"/>
    </row>
    <row r="8" spans="1:52" ht="24.95" customHeight="1">
      <c r="A8" s="1295"/>
      <c r="B8" s="1286"/>
      <c r="C8" s="1287"/>
      <c r="D8" s="1153"/>
      <c r="E8" s="1154">
        <f>D7*$C7</f>
        <v>1.7911162195911481</v>
      </c>
      <c r="F8" s="1153"/>
      <c r="G8" s="1154">
        <f>F7*$C7</f>
        <v>32.565749447111799</v>
      </c>
      <c r="H8" s="1287"/>
      <c r="I8" s="1287"/>
      <c r="J8" s="1287"/>
      <c r="K8" s="1287"/>
      <c r="L8" s="1287"/>
      <c r="M8" s="1287"/>
      <c r="N8" s="1287"/>
      <c r="O8" s="1290"/>
      <c r="P8" s="1287"/>
      <c r="Q8" s="1287"/>
      <c r="R8" s="1287"/>
      <c r="S8" s="1287"/>
      <c r="T8" s="1287"/>
      <c r="U8" s="1287"/>
      <c r="V8" s="1287"/>
      <c r="W8" s="1287"/>
      <c r="X8" s="1287"/>
      <c r="Y8" s="1287"/>
      <c r="Z8" s="1287"/>
      <c r="AA8" s="1290"/>
      <c r="AB8" s="1287"/>
      <c r="AC8" s="1287"/>
      <c r="AD8" s="1287"/>
      <c r="AE8" s="1287"/>
      <c r="AF8" s="1287"/>
      <c r="AG8" s="1287"/>
      <c r="AH8" s="1287"/>
      <c r="AI8" s="1287"/>
      <c r="AJ8" s="1287"/>
      <c r="AK8" s="1287"/>
      <c r="AL8" s="1287"/>
      <c r="AM8" s="1290"/>
      <c r="AN8" s="1287"/>
      <c r="AO8" s="1297"/>
      <c r="AP8" s="1297"/>
      <c r="AQ8" s="1297"/>
      <c r="AR8" s="1287"/>
      <c r="AS8" s="1154">
        <f>C7*AS7</f>
        <v>19.71</v>
      </c>
      <c r="AT8" s="1154"/>
      <c r="AU8" s="1154"/>
      <c r="AV8" s="1156"/>
      <c r="AW8" s="1160">
        <f>AV7*C7</f>
        <v>73</v>
      </c>
      <c r="AX8" s="1156"/>
      <c r="AY8" s="1160"/>
      <c r="AZ8" s="1290"/>
    </row>
    <row r="9" spans="1:52" ht="24.95" customHeight="1">
      <c r="A9" s="1293" t="s">
        <v>337</v>
      </c>
      <c r="B9" s="1285" t="s">
        <v>13</v>
      </c>
      <c r="C9" s="1287">
        <f>'오수맨홀수량 및 평균높이'!E5</f>
        <v>46</v>
      </c>
      <c r="D9" s="1152">
        <f>'2호맨홀단위수량'!M33</f>
        <v>9.5729869924321948E-2</v>
      </c>
      <c r="E9" s="1153"/>
      <c r="F9" s="1152">
        <f>'2호맨홀단위수량'!N38</f>
        <v>0.52800000000000002</v>
      </c>
      <c r="G9" s="1153"/>
      <c r="H9" s="1287"/>
      <c r="I9" s="1287"/>
      <c r="J9" s="1287"/>
      <c r="K9" s="1287"/>
      <c r="L9" s="1287"/>
      <c r="M9" s="1287"/>
      <c r="N9" s="1287"/>
      <c r="O9" s="1290"/>
      <c r="P9" s="1287"/>
      <c r="Q9" s="1287"/>
      <c r="R9" s="1287"/>
      <c r="S9" s="1287"/>
      <c r="T9" s="1287"/>
      <c r="U9" s="1287"/>
      <c r="V9" s="1287"/>
      <c r="W9" s="1287"/>
      <c r="X9" s="1287">
        <f>'오수원형맨홀2호(차도)'!F51</f>
        <v>0</v>
      </c>
      <c r="Y9" s="1287">
        <f>'오수원형맨홀2호(차도)'!G51</f>
        <v>0</v>
      </c>
      <c r="Z9" s="1287">
        <f>'오수원형맨홀2호(차도)'!H51</f>
        <v>0</v>
      </c>
      <c r="AA9" s="1290"/>
      <c r="AB9" s="1287">
        <f>'오수원형맨홀2호(차도)'!I51</f>
        <v>0</v>
      </c>
      <c r="AC9" s="1287">
        <f>'오수원형맨홀2호(차도)'!J51</f>
        <v>0</v>
      </c>
      <c r="AD9" s="1287">
        <f>'오수원형맨홀2호(차도)'!K51</f>
        <v>0</v>
      </c>
      <c r="AE9" s="1287">
        <f>'오수원형맨홀2호(차도)'!L51</f>
        <v>0</v>
      </c>
      <c r="AF9" s="1287">
        <f>'오수원형맨홀2호(차도)'!M51</f>
        <v>0</v>
      </c>
      <c r="AG9" s="1287">
        <f>'오수원형맨홀2호(차도)'!N51</f>
        <v>0</v>
      </c>
      <c r="AH9" s="1287">
        <f>'오수원형맨홀2호(차도)'!O51</f>
        <v>0</v>
      </c>
      <c r="AI9" s="1287">
        <f>'오수원형맨홀2호(차도)'!P51</f>
        <v>0</v>
      </c>
      <c r="AJ9" s="1287">
        <f>'오수원형맨홀2호(차도)'!Q51</f>
        <v>0</v>
      </c>
      <c r="AK9" s="1287">
        <f>'오수원형맨홀2호(차도)'!S51</f>
        <v>0</v>
      </c>
      <c r="AL9" s="1287">
        <f>'오수원형맨홀2호(차도)'!T51</f>
        <v>0</v>
      </c>
      <c r="AM9" s="1290"/>
      <c r="AN9" s="1287">
        <f>'오수원형맨홀2호(차도)'!T51</f>
        <v>0</v>
      </c>
      <c r="AO9" s="1296">
        <f>'오수원형맨홀2호(차도)'!U51</f>
        <v>349</v>
      </c>
      <c r="AP9" s="1296"/>
      <c r="AQ9" s="1296">
        <f>'오수원형맨홀2호(차도)'!V51</f>
        <v>12</v>
      </c>
      <c r="AR9" s="1287">
        <f>SUM(X9:AE10)*0.5</f>
        <v>0</v>
      </c>
      <c r="AS9" s="1154">
        <f>'2호맨홀단위수량'!N37</f>
        <v>0.4</v>
      </c>
      <c r="AT9" s="1154">
        <f>'2호맨홀단위수량'!N35</f>
        <v>3</v>
      </c>
      <c r="AU9" s="1154">
        <f>'2호맨홀단위수량'!N36</f>
        <v>2.161</v>
      </c>
      <c r="AV9" s="1157"/>
      <c r="AW9" s="1156"/>
      <c r="AX9" s="1157">
        <v>1</v>
      </c>
      <c r="AY9" s="1156"/>
      <c r="AZ9" s="1290"/>
    </row>
    <row r="10" spans="1:52" ht="24.95" customHeight="1">
      <c r="A10" s="1294"/>
      <c r="B10" s="1286"/>
      <c r="C10" s="1287"/>
      <c r="D10" s="1161"/>
      <c r="E10" s="1154">
        <f>D9*$C9</f>
        <v>4.4035740165188093</v>
      </c>
      <c r="F10" s="1153"/>
      <c r="G10" s="1154">
        <f>F9*$C9</f>
        <v>24.288</v>
      </c>
      <c r="H10" s="1287"/>
      <c r="I10" s="1287"/>
      <c r="J10" s="1287"/>
      <c r="K10" s="1287"/>
      <c r="L10" s="1287"/>
      <c r="M10" s="1287"/>
      <c r="N10" s="1287"/>
      <c r="O10" s="1290"/>
      <c r="P10" s="1287"/>
      <c r="Q10" s="1287"/>
      <c r="R10" s="1287"/>
      <c r="S10" s="1287"/>
      <c r="T10" s="1287"/>
      <c r="U10" s="1287"/>
      <c r="V10" s="1287"/>
      <c r="W10" s="1287"/>
      <c r="X10" s="1287"/>
      <c r="Y10" s="1287"/>
      <c r="Z10" s="1287"/>
      <c r="AA10" s="1290"/>
      <c r="AB10" s="1287"/>
      <c r="AC10" s="1287"/>
      <c r="AD10" s="1287"/>
      <c r="AE10" s="1287"/>
      <c r="AF10" s="1287"/>
      <c r="AG10" s="1287"/>
      <c r="AH10" s="1287"/>
      <c r="AI10" s="1287"/>
      <c r="AJ10" s="1287"/>
      <c r="AK10" s="1287"/>
      <c r="AL10" s="1287"/>
      <c r="AM10" s="1290"/>
      <c r="AN10" s="1287"/>
      <c r="AO10" s="1297"/>
      <c r="AP10" s="1297"/>
      <c r="AQ10" s="1297"/>
      <c r="AR10" s="1287"/>
      <c r="AS10" s="1154">
        <f>C9*AS9</f>
        <v>18.400000000000002</v>
      </c>
      <c r="AT10" s="1159">
        <f>AY10*AT9</f>
        <v>138</v>
      </c>
      <c r="AU10" s="1159">
        <f>AY10*AU9</f>
        <v>99.406000000000006</v>
      </c>
      <c r="AV10" s="1156"/>
      <c r="AW10" s="1160"/>
      <c r="AX10" s="1156"/>
      <c r="AY10" s="1160">
        <f>AX9*C9</f>
        <v>46</v>
      </c>
      <c r="AZ10" s="1290"/>
    </row>
    <row r="11" spans="1:52" ht="24.95" customHeight="1">
      <c r="A11" s="1294"/>
      <c r="B11" s="1285" t="s">
        <v>12</v>
      </c>
      <c r="C11" s="1287">
        <f>'오수맨홀수량 및 평균높이'!D5</f>
        <v>38</v>
      </c>
      <c r="D11" s="1152">
        <f>'2호맨홀단위수량'!M71</f>
        <v>2.4535838624536274E-2</v>
      </c>
      <c r="E11" s="1153"/>
      <c r="F11" s="1152">
        <f>'2호맨홀단위수량'!N74</f>
        <v>0.44610615680975063</v>
      </c>
      <c r="G11" s="1153"/>
      <c r="H11" s="1287"/>
      <c r="I11" s="1287"/>
      <c r="J11" s="1287"/>
      <c r="K11" s="1287"/>
      <c r="L11" s="1287"/>
      <c r="M11" s="1287"/>
      <c r="N11" s="1287"/>
      <c r="O11" s="1290"/>
      <c r="P11" s="1287"/>
      <c r="Q11" s="1287"/>
      <c r="R11" s="1287"/>
      <c r="S11" s="1287"/>
      <c r="T11" s="1287"/>
      <c r="U11" s="1287"/>
      <c r="V11" s="1287"/>
      <c r="W11" s="1287"/>
      <c r="X11" s="1287">
        <f>'오수원형맨홀2호(보도)'!F74</f>
        <v>2</v>
      </c>
      <c r="Y11" s="1287">
        <f>'오수원형맨홀2호(보도)'!G74</f>
        <v>3</v>
      </c>
      <c r="Z11" s="1287">
        <f>'오수원형맨홀2호(보도)'!H74</f>
        <v>33</v>
      </c>
      <c r="AA11" s="1290"/>
      <c r="AB11" s="1287">
        <f>'오수원형맨홀2호(보도)'!I74</f>
        <v>7</v>
      </c>
      <c r="AC11" s="1287">
        <f>'오수원형맨홀2호(보도)'!J74</f>
        <v>11</v>
      </c>
      <c r="AD11" s="1287">
        <f>'오수원형맨홀2호(보도)'!K74</f>
        <v>5</v>
      </c>
      <c r="AE11" s="1287">
        <f>'오수원형맨홀2호(보도)'!L74</f>
        <v>67</v>
      </c>
      <c r="AF11" s="1287">
        <f>'오수원형맨홀2호(보도)'!M74</f>
        <v>4</v>
      </c>
      <c r="AG11" s="1287">
        <f>'오수원형맨홀2호(보도)'!N74</f>
        <v>5</v>
      </c>
      <c r="AH11" s="1287">
        <f>'오수원형맨홀2호(보도)'!O74</f>
        <v>6</v>
      </c>
      <c r="AI11" s="1287">
        <f>'오수원형맨홀2호(보도)'!P74</f>
        <v>14</v>
      </c>
      <c r="AJ11" s="1287">
        <f>'오수원형맨홀2호(보도)'!Q74</f>
        <v>9</v>
      </c>
      <c r="AK11" s="1287">
        <f>'오수원형맨홀2호(보도)'!S74</f>
        <v>512</v>
      </c>
      <c r="AL11" s="1287">
        <f>'오수원형맨홀2호(보도)'!T74</f>
        <v>256</v>
      </c>
      <c r="AM11" s="1290"/>
      <c r="AN11" s="1287">
        <f>'오수원형맨홀2호(보도)'!T74</f>
        <v>256</v>
      </c>
      <c r="AO11" s="1296">
        <f>'오수원형맨홀2호(보도)'!U74</f>
        <v>401</v>
      </c>
      <c r="AP11" s="1296"/>
      <c r="AQ11" s="1296">
        <f>'오수원형맨홀2호(보도)'!V74</f>
        <v>17</v>
      </c>
      <c r="AR11" s="1287">
        <f>SUM(X11:AE12)*0.5</f>
        <v>64</v>
      </c>
      <c r="AS11" s="1154">
        <f>'2호맨홀단위수량'!N73</f>
        <v>0.4</v>
      </c>
      <c r="AT11" s="1154"/>
      <c r="AU11" s="1154"/>
      <c r="AV11" s="1157">
        <f>'1호맨홀단위수량'!N68</f>
        <v>1</v>
      </c>
      <c r="AW11" s="1156"/>
      <c r="AX11" s="1157"/>
      <c r="AY11" s="1156"/>
      <c r="AZ11" s="1290"/>
    </row>
    <row r="12" spans="1:52" ht="24.95" customHeight="1">
      <c r="A12" s="1295"/>
      <c r="B12" s="1286"/>
      <c r="C12" s="1287"/>
      <c r="D12" s="1161"/>
      <c r="E12" s="1154">
        <f>D11*C11</f>
        <v>0.93236186773237839</v>
      </c>
      <c r="F12" s="1153"/>
      <c r="G12" s="1154">
        <f>F11*$C11</f>
        <v>16.952033958770524</v>
      </c>
      <c r="H12" s="1287"/>
      <c r="I12" s="1287"/>
      <c r="J12" s="1287"/>
      <c r="K12" s="1287"/>
      <c r="L12" s="1287"/>
      <c r="M12" s="1287"/>
      <c r="N12" s="1287"/>
      <c r="O12" s="1290"/>
      <c r="P12" s="1287"/>
      <c r="Q12" s="1287"/>
      <c r="R12" s="1287"/>
      <c r="S12" s="1287"/>
      <c r="T12" s="1287"/>
      <c r="U12" s="1287"/>
      <c r="V12" s="1287"/>
      <c r="W12" s="1287"/>
      <c r="X12" s="1287"/>
      <c r="Y12" s="1287"/>
      <c r="Z12" s="1287"/>
      <c r="AA12" s="1290"/>
      <c r="AB12" s="1287"/>
      <c r="AC12" s="1287"/>
      <c r="AD12" s="1287"/>
      <c r="AE12" s="1287"/>
      <c r="AF12" s="1287"/>
      <c r="AG12" s="1287"/>
      <c r="AH12" s="1287"/>
      <c r="AI12" s="1287"/>
      <c r="AJ12" s="1287"/>
      <c r="AK12" s="1287"/>
      <c r="AL12" s="1287"/>
      <c r="AM12" s="1290"/>
      <c r="AN12" s="1287"/>
      <c r="AO12" s="1297"/>
      <c r="AP12" s="1297"/>
      <c r="AQ12" s="1297"/>
      <c r="AR12" s="1287"/>
      <c r="AS12" s="1154">
        <f>C11*AS11</f>
        <v>15.200000000000001</v>
      </c>
      <c r="AT12" s="1154"/>
      <c r="AU12" s="1154"/>
      <c r="AV12" s="1156"/>
      <c r="AW12" s="1160">
        <f>AV11*C11</f>
        <v>38</v>
      </c>
      <c r="AX12" s="1156"/>
      <c r="AY12" s="1160"/>
      <c r="AZ12" s="1290"/>
    </row>
    <row r="13" spans="1:52" s="851" customFormat="1" ht="24.95" customHeight="1">
      <c r="A13" s="1301" t="s">
        <v>0</v>
      </c>
      <c r="B13" s="1301"/>
      <c r="C13" s="1162">
        <f>SUM(C5:C12)</f>
        <v>192</v>
      </c>
      <c r="D13" s="1300">
        <f>SUM(E8,E6,E12,E10)</f>
        <v>9.6999905375770581</v>
      </c>
      <c r="E13" s="1300"/>
      <c r="F13" s="1300">
        <f>SUM(G8,G6,G12,G10)</f>
        <v>91.305783405882323</v>
      </c>
      <c r="G13" s="1300"/>
      <c r="H13" s="1162">
        <f>SUM(H5:H12)</f>
        <v>3</v>
      </c>
      <c r="I13" s="1162">
        <f t="shared" ref="I13:N13" si="0">SUM(I5:I12)</f>
        <v>44</v>
      </c>
      <c r="J13" s="1162">
        <f t="shared" si="0"/>
        <v>30</v>
      </c>
      <c r="K13" s="1162">
        <f t="shared" si="0"/>
        <v>14</v>
      </c>
      <c r="L13" s="1162">
        <f t="shared" si="0"/>
        <v>95</v>
      </c>
      <c r="M13" s="1162">
        <f t="shared" si="0"/>
        <v>5</v>
      </c>
      <c r="N13" s="1162">
        <f t="shared" si="0"/>
        <v>5</v>
      </c>
      <c r="O13" s="920"/>
      <c r="P13" s="1162">
        <f>SUM(P5:P12)</f>
        <v>10</v>
      </c>
      <c r="Q13" s="1162">
        <f t="shared" ref="Q13:Z13" si="1">SUM(Q5:Q12)</f>
        <v>2</v>
      </c>
      <c r="R13" s="1162">
        <f t="shared" si="1"/>
        <v>0</v>
      </c>
      <c r="S13" s="1162">
        <f t="shared" si="1"/>
        <v>12</v>
      </c>
      <c r="T13" s="1162">
        <f t="shared" si="1"/>
        <v>3</v>
      </c>
      <c r="U13" s="1162">
        <f t="shared" si="1"/>
        <v>13</v>
      </c>
      <c r="V13" s="1162">
        <f t="shared" si="1"/>
        <v>15</v>
      </c>
      <c r="W13" s="1162">
        <f t="shared" si="1"/>
        <v>12</v>
      </c>
      <c r="X13" s="1162">
        <f t="shared" si="1"/>
        <v>2</v>
      </c>
      <c r="Y13" s="1162">
        <f t="shared" si="1"/>
        <v>3</v>
      </c>
      <c r="Z13" s="1162">
        <f t="shared" si="1"/>
        <v>33</v>
      </c>
      <c r="AA13" s="920"/>
      <c r="AB13" s="1162">
        <f>SUM(AB5:AB12)</f>
        <v>7</v>
      </c>
      <c r="AC13" s="1162">
        <f t="shared" ref="AC13:AJ13" si="2">SUM(AC5:AC12)</f>
        <v>11</v>
      </c>
      <c r="AD13" s="1162">
        <f t="shared" si="2"/>
        <v>5</v>
      </c>
      <c r="AE13" s="1162">
        <f t="shared" si="2"/>
        <v>67</v>
      </c>
      <c r="AF13" s="1162">
        <f t="shared" si="2"/>
        <v>4</v>
      </c>
      <c r="AG13" s="1162">
        <f t="shared" si="2"/>
        <v>5</v>
      </c>
      <c r="AH13" s="1162">
        <f t="shared" si="2"/>
        <v>6</v>
      </c>
      <c r="AI13" s="1162">
        <f t="shared" si="2"/>
        <v>14</v>
      </c>
      <c r="AJ13" s="1162">
        <f t="shared" si="2"/>
        <v>9</v>
      </c>
      <c r="AK13" s="1162">
        <f>SUM(AK5:AK12)</f>
        <v>1256</v>
      </c>
      <c r="AL13" s="1162">
        <f>SUM(AL5:AL12)</f>
        <v>628</v>
      </c>
      <c r="AM13" s="920"/>
      <c r="AN13" s="1162">
        <f>SUM(AN9:AN12)</f>
        <v>256</v>
      </c>
      <c r="AO13" s="1162">
        <f>SUM(AO5:AO12)</f>
        <v>1323</v>
      </c>
      <c r="AP13" s="1162">
        <f>SUM(AP5:AP12)</f>
        <v>23</v>
      </c>
      <c r="AQ13" s="1162">
        <f>SUM(AQ5:AQ12)</f>
        <v>29</v>
      </c>
      <c r="AR13" s="1162">
        <f>SUM(AR5:AR12)</f>
        <v>157</v>
      </c>
      <c r="AS13" s="1163">
        <f>SUM(AS8,AS6,AS12,AS10)</f>
        <v>62.760000000000005</v>
      </c>
      <c r="AT13" s="1162">
        <f>SUM(AT8,AT6,AT12,AT10)</f>
        <v>243</v>
      </c>
      <c r="AU13" s="1162">
        <f>SUM(AU8,AU6,AU12,AU10)</f>
        <v>175.041</v>
      </c>
      <c r="AV13" s="1303">
        <f>SUM(AW8,AW6,AW12,AW10)</f>
        <v>111</v>
      </c>
      <c r="AW13" s="1304"/>
      <c r="AX13" s="1303">
        <f>SUM(AY8,AY6,AY12,AY10)</f>
        <v>81</v>
      </c>
      <c r="AY13" s="1304"/>
      <c r="AZ13" s="920"/>
    </row>
    <row r="14" spans="1:52" ht="24.95" customHeight="1">
      <c r="A14" s="1299" t="s">
        <v>442</v>
      </c>
      <c r="B14" s="1299"/>
      <c r="C14" s="1299"/>
      <c r="H14" s="1164">
        <v>1900</v>
      </c>
      <c r="I14" s="1164">
        <v>2200</v>
      </c>
      <c r="J14" s="1164">
        <v>3000</v>
      </c>
      <c r="K14" s="1164">
        <v>800</v>
      </c>
      <c r="L14" s="1164">
        <v>1600</v>
      </c>
      <c r="M14" s="1164">
        <v>920</v>
      </c>
      <c r="N14" s="1164">
        <v>1000</v>
      </c>
      <c r="P14" s="1164">
        <v>1080</v>
      </c>
      <c r="Q14" s="1164">
        <v>1240</v>
      </c>
      <c r="R14" s="1164">
        <v>1400</v>
      </c>
      <c r="S14" s="1164">
        <v>1570</v>
      </c>
      <c r="T14" s="1164">
        <v>1720</v>
      </c>
      <c r="U14" s="1164">
        <v>1880</v>
      </c>
      <c r="V14" s="1164">
        <v>2040</v>
      </c>
      <c r="W14" s="1164">
        <v>2200</v>
      </c>
      <c r="X14" s="1165">
        <v>1920</v>
      </c>
      <c r="Y14" s="1164">
        <v>2740</v>
      </c>
      <c r="Z14" s="1164">
        <v>3300</v>
      </c>
      <c r="AB14" s="1164">
        <v>500</v>
      </c>
      <c r="AC14" s="1164">
        <v>1000</v>
      </c>
      <c r="AD14" s="1164">
        <v>1500</v>
      </c>
      <c r="AE14" s="1164">
        <v>2000</v>
      </c>
      <c r="AF14" s="1164">
        <v>1520</v>
      </c>
      <c r="AG14" s="1164">
        <v>1720</v>
      </c>
      <c r="AH14" s="1164">
        <v>1920</v>
      </c>
      <c r="AI14" s="1164">
        <v>2120</v>
      </c>
      <c r="AJ14" s="1164">
        <v>2320</v>
      </c>
      <c r="AK14" s="1166" t="s">
        <v>818</v>
      </c>
      <c r="AV14" s="1298">
        <f>+AV13+AX13</f>
        <v>192</v>
      </c>
      <c r="AW14" s="1299"/>
      <c r="AX14" s="1299"/>
      <c r="AY14" s="1299"/>
    </row>
    <row r="15" spans="1:52" ht="24.95" customHeight="1">
      <c r="A15" s="1307" t="s">
        <v>443</v>
      </c>
      <c r="B15" s="1307"/>
      <c r="C15" s="1307"/>
      <c r="H15" s="1168">
        <f t="shared" ref="H15:AJ15" si="3">H13*H14/1000</f>
        <v>5.7</v>
      </c>
      <c r="I15" s="1168">
        <f t="shared" si="3"/>
        <v>96.8</v>
      </c>
      <c r="J15" s="1168">
        <f t="shared" si="3"/>
        <v>90</v>
      </c>
      <c r="K15" s="1168">
        <f t="shared" si="3"/>
        <v>11.2</v>
      </c>
      <c r="L15" s="1168">
        <f t="shared" si="3"/>
        <v>152</v>
      </c>
      <c r="M15" s="1168">
        <f t="shared" si="3"/>
        <v>4.5999999999999996</v>
      </c>
      <c r="N15" s="1168">
        <f t="shared" si="3"/>
        <v>5</v>
      </c>
      <c r="P15" s="1168">
        <f t="shared" si="3"/>
        <v>10.8</v>
      </c>
      <c r="Q15" s="1168">
        <f t="shared" si="3"/>
        <v>2.48</v>
      </c>
      <c r="R15" s="1168">
        <f t="shared" si="3"/>
        <v>0</v>
      </c>
      <c r="S15" s="1168">
        <f t="shared" si="3"/>
        <v>18.84</v>
      </c>
      <c r="T15" s="1168">
        <f t="shared" si="3"/>
        <v>5.16</v>
      </c>
      <c r="U15" s="1168">
        <f t="shared" si="3"/>
        <v>24.44</v>
      </c>
      <c r="V15" s="1168">
        <f t="shared" si="3"/>
        <v>30.6</v>
      </c>
      <c r="W15" s="1168">
        <f t="shared" si="3"/>
        <v>26.4</v>
      </c>
      <c r="X15" s="1168">
        <f t="shared" si="3"/>
        <v>3.84</v>
      </c>
      <c r="Y15" s="1168">
        <f t="shared" si="3"/>
        <v>8.2200000000000006</v>
      </c>
      <c r="Z15" s="1168">
        <f t="shared" si="3"/>
        <v>108.9</v>
      </c>
      <c r="AB15" s="1168">
        <f t="shared" si="3"/>
        <v>3.5</v>
      </c>
      <c r="AC15" s="1168">
        <f t="shared" si="3"/>
        <v>11</v>
      </c>
      <c r="AD15" s="1168">
        <f t="shared" si="3"/>
        <v>7.5</v>
      </c>
      <c r="AE15" s="1168">
        <f t="shared" si="3"/>
        <v>134</v>
      </c>
      <c r="AF15" s="1168">
        <f t="shared" si="3"/>
        <v>6.08</v>
      </c>
      <c r="AG15" s="1168">
        <f t="shared" si="3"/>
        <v>8.6</v>
      </c>
      <c r="AH15" s="1168">
        <f t="shared" si="3"/>
        <v>11.52</v>
      </c>
      <c r="AI15" s="1168">
        <f t="shared" si="3"/>
        <v>29.68</v>
      </c>
      <c r="AJ15" s="1168">
        <f t="shared" si="3"/>
        <v>20.88</v>
      </c>
      <c r="AK15" s="1168">
        <f>SUM(H15:AJ15)</f>
        <v>837.74</v>
      </c>
    </row>
    <row r="16" spans="1:52" ht="24.95" customHeight="1">
      <c r="C16" s="1170">
        <f>SUM(C7:C12)</f>
        <v>157</v>
      </c>
      <c r="E16" s="797" t="s">
        <v>931</v>
      </c>
      <c r="F16" s="797" t="s">
        <v>927</v>
      </c>
      <c r="G16" s="797" t="s">
        <v>928</v>
      </c>
      <c r="H16" s="1170">
        <f>SUM(H7:J7)</f>
        <v>42</v>
      </c>
      <c r="I16" s="1170"/>
      <c r="J16" s="1170"/>
      <c r="K16" s="1170"/>
      <c r="L16" s="1170"/>
      <c r="M16" s="1170"/>
      <c r="N16" s="1170"/>
      <c r="P16" s="1170"/>
      <c r="Q16" s="1170"/>
      <c r="R16" s="1170"/>
      <c r="S16" s="1170"/>
      <c r="T16" s="1170"/>
      <c r="U16" s="1170"/>
      <c r="V16" s="1170"/>
      <c r="W16" s="1170"/>
      <c r="X16" s="1170"/>
      <c r="Y16" s="1170"/>
      <c r="Z16" s="1170"/>
      <c r="AB16" s="1170"/>
      <c r="AC16" s="1170"/>
      <c r="AD16" s="1170"/>
      <c r="AE16" s="1170"/>
      <c r="AF16" s="1170"/>
      <c r="AG16" s="1170"/>
      <c r="AH16" s="1170"/>
      <c r="AI16" s="1170"/>
      <c r="AJ16" s="1170"/>
    </row>
    <row r="17" spans="5:36" ht="24.95" customHeight="1">
      <c r="G17" s="797" t="s">
        <v>929</v>
      </c>
      <c r="H17" s="1170">
        <f>SUM(K7:L7)</f>
        <v>81</v>
      </c>
      <c r="I17" s="1170"/>
      <c r="J17" s="1170"/>
      <c r="L17" s="1170"/>
      <c r="W17" s="1170"/>
    </row>
    <row r="18" spans="5:36" ht="24.95" customHeight="1">
      <c r="F18" s="797" t="s">
        <v>930</v>
      </c>
      <c r="G18" s="797" t="s">
        <v>928</v>
      </c>
      <c r="H18" s="1170">
        <f>SUM(H5:J5)</f>
        <v>35</v>
      </c>
      <c r="AC18" s="1170"/>
      <c r="AD18" s="1170"/>
      <c r="AE18" s="1170"/>
      <c r="AJ18" s="1170"/>
    </row>
    <row r="19" spans="5:36" ht="24.95" customHeight="1">
      <c r="G19" s="797" t="s">
        <v>929</v>
      </c>
      <c r="H19" s="1170">
        <f>SUM(K5:L5)</f>
        <v>28</v>
      </c>
      <c r="AC19" s="1170"/>
      <c r="AD19" s="1170"/>
      <c r="AE19" s="1170"/>
      <c r="AJ19" s="1170"/>
    </row>
    <row r="20" spans="5:36" ht="24.95" customHeight="1">
      <c r="E20" s="797" t="s">
        <v>932</v>
      </c>
      <c r="F20" s="797" t="s">
        <v>927</v>
      </c>
      <c r="G20" s="797" t="s">
        <v>928</v>
      </c>
      <c r="H20" s="1170">
        <f>SUM(X11:Z11)</f>
        <v>38</v>
      </c>
    </row>
    <row r="21" spans="5:36" ht="24.95" customHeight="1">
      <c r="G21" s="797" t="s">
        <v>929</v>
      </c>
      <c r="H21" s="1170">
        <f>SUM(AB11:AE11)</f>
        <v>90</v>
      </c>
    </row>
    <row r="22" spans="5:36" ht="24.95" customHeight="1">
      <c r="F22" s="797" t="s">
        <v>930</v>
      </c>
      <c r="G22" s="797" t="s">
        <v>928</v>
      </c>
      <c r="H22" s="1170">
        <f>SUM(X9:Z9)</f>
        <v>0</v>
      </c>
    </row>
    <row r="23" spans="5:36" ht="24.95" customHeight="1">
      <c r="G23" s="797" t="s">
        <v>929</v>
      </c>
      <c r="H23" s="1170">
        <f>SUM(AB9:AE9)</f>
        <v>0</v>
      </c>
    </row>
  </sheetData>
  <mergeCells count="203">
    <mergeCell ref="AP11:AP12"/>
    <mergeCell ref="AP2:AQ2"/>
    <mergeCell ref="AQ5:AQ6"/>
    <mergeCell ref="AQ7:AQ8"/>
    <mergeCell ref="AQ9:AQ10"/>
    <mergeCell ref="AQ11:AQ12"/>
    <mergeCell ref="X2:Z2"/>
    <mergeCell ref="P1:Z1"/>
    <mergeCell ref="W9:W10"/>
    <mergeCell ref="U5:U6"/>
    <mergeCell ref="W11:W12"/>
    <mergeCell ref="P11:P12"/>
    <mergeCell ref="Q11:Q12"/>
    <mergeCell ref="AD7:AD8"/>
    <mergeCell ref="AC9:AC10"/>
    <mergeCell ref="AB9:AB10"/>
    <mergeCell ref="AC5:AC6"/>
    <mergeCell ref="AA1:AA3"/>
    <mergeCell ref="AM1:AM3"/>
    <mergeCell ref="AB1:AL1"/>
    <mergeCell ref="AB2:AE2"/>
    <mergeCell ref="AF2:AJ2"/>
    <mergeCell ref="AO11:AO12"/>
    <mergeCell ref="AC11:AC12"/>
    <mergeCell ref="F3:G3"/>
    <mergeCell ref="C1:C4"/>
    <mergeCell ref="D1:E1"/>
    <mergeCell ref="D4:E4"/>
    <mergeCell ref="K5:K6"/>
    <mergeCell ref="I7:I8"/>
    <mergeCell ref="I5:I6"/>
    <mergeCell ref="I9:I10"/>
    <mergeCell ref="W7:W8"/>
    <mergeCell ref="W5:W6"/>
    <mergeCell ref="P2:W2"/>
    <mergeCell ref="S7:S8"/>
    <mergeCell ref="D2:E3"/>
    <mergeCell ref="F2:G2"/>
    <mergeCell ref="H2:J2"/>
    <mergeCell ref="K2:L2"/>
    <mergeCell ref="S9:S10"/>
    <mergeCell ref="T9:T10"/>
    <mergeCell ref="O9:O10"/>
    <mergeCell ref="O1:O3"/>
    <mergeCell ref="H1:N1"/>
    <mergeCell ref="M2:N2"/>
    <mergeCell ref="C9:C10"/>
    <mergeCell ref="C7:C8"/>
    <mergeCell ref="A14:C14"/>
    <mergeCell ref="A15:C15"/>
    <mergeCell ref="V7:V8"/>
    <mergeCell ref="V5:V6"/>
    <mergeCell ref="V9:V10"/>
    <mergeCell ref="M5:M6"/>
    <mergeCell ref="H11:H12"/>
    <mergeCell ref="J11:J12"/>
    <mergeCell ref="K11:K12"/>
    <mergeCell ref="L11:L12"/>
    <mergeCell ref="M11:M12"/>
    <mergeCell ref="M9:M10"/>
    <mergeCell ref="R9:R10"/>
    <mergeCell ref="U9:U10"/>
    <mergeCell ref="U11:U12"/>
    <mergeCell ref="R11:R12"/>
    <mergeCell ref="V11:V12"/>
    <mergeCell ref="H9:H10"/>
    <mergeCell ref="T7:T8"/>
    <mergeCell ref="S5:S6"/>
    <mergeCell ref="T5:T6"/>
    <mergeCell ref="S11:S12"/>
    <mergeCell ref="J9:J10"/>
    <mergeCell ref="K9:K10"/>
    <mergeCell ref="AZ1:AZ3"/>
    <mergeCell ref="AX13:AY13"/>
    <mergeCell ref="AV13:AW13"/>
    <mergeCell ref="AZ7:AZ8"/>
    <mergeCell ref="AZ5:AZ6"/>
    <mergeCell ref="AZ11:AZ12"/>
    <mergeCell ref="AZ9:AZ10"/>
    <mergeCell ref="AV3:AW3"/>
    <mergeCell ref="AX3:AY3"/>
    <mergeCell ref="AV4:AW4"/>
    <mergeCell ref="AX4:AY4"/>
    <mergeCell ref="AX2:AY2"/>
    <mergeCell ref="AV2:AW2"/>
    <mergeCell ref="AT1:AY1"/>
    <mergeCell ref="A13:B13"/>
    <mergeCell ref="N11:N12"/>
    <mergeCell ref="H5:H6"/>
    <mergeCell ref="I11:I12"/>
    <mergeCell ref="X5:X6"/>
    <mergeCell ref="Z5:Z6"/>
    <mergeCell ref="AB5:AB6"/>
    <mergeCell ref="L9:L10"/>
    <mergeCell ref="L5:L6"/>
    <mergeCell ref="X7:X8"/>
    <mergeCell ref="T11:T12"/>
    <mergeCell ref="B7:B8"/>
    <mergeCell ref="F13:G13"/>
    <mergeCell ref="B11:B12"/>
    <mergeCell ref="C11:C12"/>
    <mergeCell ref="B9:B10"/>
    <mergeCell ref="AA7:AA8"/>
    <mergeCell ref="N9:N10"/>
    <mergeCell ref="P9:P10"/>
    <mergeCell ref="Q9:Q10"/>
    <mergeCell ref="X11:X12"/>
    <mergeCell ref="Z11:Z12"/>
    <mergeCell ref="N5:N6"/>
    <mergeCell ref="P5:P6"/>
    <mergeCell ref="AV14:AY14"/>
    <mergeCell ref="D13:E13"/>
    <mergeCell ref="H7:H8"/>
    <mergeCell ref="R7:R8"/>
    <mergeCell ref="U7:U8"/>
    <mergeCell ref="AB7:AB8"/>
    <mergeCell ref="AE7:AE8"/>
    <mergeCell ref="X9:X10"/>
    <mergeCell ref="Z9:Z10"/>
    <mergeCell ref="AK7:AK8"/>
    <mergeCell ref="AB11:AB12"/>
    <mergeCell ref="N7:N8"/>
    <mergeCell ref="P7:P8"/>
    <mergeCell ref="Q7:Q8"/>
    <mergeCell ref="AF7:AF8"/>
    <mergeCell ref="AG7:AG8"/>
    <mergeCell ref="Z7:Z8"/>
    <mergeCell ref="AJ11:AJ12"/>
    <mergeCell ref="AL9:AL10"/>
    <mergeCell ref="AN7:AN8"/>
    <mergeCell ref="AL7:AL8"/>
    <mergeCell ref="AM11:AM12"/>
    <mergeCell ref="AA11:AA12"/>
    <mergeCell ref="AA9:AA10"/>
    <mergeCell ref="AR9:AR10"/>
    <mergeCell ref="AK5:AK6"/>
    <mergeCell ref="AN5:AN6"/>
    <mergeCell ref="AK9:AK10"/>
    <mergeCell ref="AN9:AN10"/>
    <mergeCell ref="AJ7:AJ8"/>
    <mergeCell ref="AJ5:AJ6"/>
    <mergeCell ref="AA5:AA6"/>
    <mergeCell ref="AE5:AE6"/>
    <mergeCell ref="AF5:AF6"/>
    <mergeCell ref="AM7:AM8"/>
    <mergeCell ref="AM5:AM6"/>
    <mergeCell ref="AM9:AM10"/>
    <mergeCell ref="AO7:AO8"/>
    <mergeCell ref="AG5:AG6"/>
    <mergeCell ref="AH5:AH6"/>
    <mergeCell ref="AE9:AE10"/>
    <mergeCell ref="AP5:AP6"/>
    <mergeCell ref="AP7:AP8"/>
    <mergeCell ref="AO5:AO6"/>
    <mergeCell ref="AO9:AO10"/>
    <mergeCell ref="AC7:AC8"/>
    <mergeCell ref="AP9:AP10"/>
    <mergeCell ref="A1:B4"/>
    <mergeCell ref="F1:G1"/>
    <mergeCell ref="AR2:AR3"/>
    <mergeCell ref="AR7:AR8"/>
    <mergeCell ref="AR5:AR6"/>
    <mergeCell ref="AR11:AR12"/>
    <mergeCell ref="AI5:AI6"/>
    <mergeCell ref="AE11:AE12"/>
    <mergeCell ref="AF11:AF12"/>
    <mergeCell ref="AG11:AG12"/>
    <mergeCell ref="AH11:AH12"/>
    <mergeCell ref="J7:J8"/>
    <mergeCell ref="K7:K8"/>
    <mergeCell ref="L7:L8"/>
    <mergeCell ref="M7:M8"/>
    <mergeCell ref="R5:R6"/>
    <mergeCell ref="O7:O8"/>
    <mergeCell ref="O5:O6"/>
    <mergeCell ref="O11:O12"/>
    <mergeCell ref="J5:J6"/>
    <mergeCell ref="F4:G4"/>
    <mergeCell ref="AN1:AS1"/>
    <mergeCell ref="A5:A8"/>
    <mergeCell ref="A9:A12"/>
    <mergeCell ref="B5:B6"/>
    <mergeCell ref="C5:C6"/>
    <mergeCell ref="Y11:Y12"/>
    <mergeCell ref="AN11:AN12"/>
    <mergeCell ref="AK11:AK12"/>
    <mergeCell ref="AL11:AL12"/>
    <mergeCell ref="AH9:AH10"/>
    <mergeCell ref="AI9:AI10"/>
    <mergeCell ref="AD5:AD6"/>
    <mergeCell ref="AD11:AD12"/>
    <mergeCell ref="AD9:AD10"/>
    <mergeCell ref="AI11:AI12"/>
    <mergeCell ref="AL5:AL6"/>
    <mergeCell ref="AJ9:AJ10"/>
    <mergeCell ref="AH7:AH8"/>
    <mergeCell ref="AI7:AI8"/>
    <mergeCell ref="AF9:AF10"/>
    <mergeCell ref="AG9:AG10"/>
    <mergeCell ref="Q5:Q6"/>
    <mergeCell ref="Y7:Y8"/>
    <mergeCell ref="Y5:Y6"/>
    <mergeCell ref="Y9:Y10"/>
  </mergeCells>
  <phoneticPr fontId="13" type="noConversion"/>
  <printOptions horizontalCentered="1" gridLines="1"/>
  <pageMargins left="0.70866141732283472" right="0.70866141732283472" top="1.3779527559055118" bottom="0.78740157480314965" header="0.9055118110236221" footer="0"/>
  <pageSetup paperSize="9" scale="88" pageOrder="overThenDown" orientation="landscape" r:id="rId1"/>
  <headerFooter alignWithMargins="0">
    <oddHeader>&amp;C&amp;"돋체움,굵게"&amp;16맨  홀  수  량  집  계  표 (&amp;P/&amp;N)</oddHeader>
  </headerFooter>
  <colBreaks count="3" manualBreakCount="3">
    <brk id="15" max="12" man="1"/>
    <brk id="27" max="12" man="1"/>
    <brk id="39" max="1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BO11"/>
  <sheetViews>
    <sheetView topLeftCell="E1" workbookViewId="0">
      <selection activeCell="P30" sqref="P30"/>
    </sheetView>
  </sheetViews>
  <sheetFormatPr defaultColWidth="7.77734375" defaultRowHeight="20.100000000000001" customHeight="1"/>
  <cols>
    <col min="1" max="1" width="7.77734375" style="1169"/>
    <col min="2" max="2" width="7.77734375" style="1169" customWidth="1"/>
    <col min="3" max="4" width="7.77734375" style="797" customWidth="1"/>
    <col min="5" max="5" width="7.77734375" style="1167" customWidth="1"/>
    <col min="6" max="7" width="7.77734375" style="797" customWidth="1"/>
    <col min="8" max="9" width="8.77734375" style="1167" customWidth="1"/>
    <col min="10" max="14" width="7.33203125" style="797" customWidth="1"/>
    <col min="15" max="15" width="7.77734375" style="797"/>
    <col min="16" max="18" width="7.33203125" style="797" customWidth="1"/>
    <col min="19" max="38" width="7.77734375" style="797"/>
    <col min="39" max="41" width="7.77734375" style="797" customWidth="1"/>
    <col min="42" max="42" width="7.77734375" style="797"/>
    <col min="43" max="48" width="7.77734375" style="797" customWidth="1"/>
    <col min="49" max="49" width="8.44140625" style="797" customWidth="1"/>
    <col min="50" max="51" width="7.77734375" style="1167" customWidth="1"/>
    <col min="52" max="52" width="14.77734375" style="797" customWidth="1"/>
    <col min="53" max="54" width="7.77734375" style="797" customWidth="1"/>
    <col min="55" max="55" width="7.77734375" style="797"/>
    <col min="56" max="65" width="7.77734375" style="797" customWidth="1"/>
    <col min="66" max="66" width="6.77734375" style="797" customWidth="1"/>
    <col min="67" max="16384" width="7.77734375" style="797"/>
  </cols>
  <sheetData>
    <row r="1" spans="1:67" s="1175" customFormat="1" ht="50.1" customHeight="1">
      <c r="A1" s="1171" t="s">
        <v>740</v>
      </c>
      <c r="B1" s="1171"/>
      <c r="C1" s="1171"/>
      <c r="D1" s="1172"/>
      <c r="E1" s="1173"/>
      <c r="F1" s="1174"/>
      <c r="G1" s="1174"/>
      <c r="H1" s="1173"/>
      <c r="I1" s="1173"/>
      <c r="J1" s="1174"/>
      <c r="K1" s="1174"/>
      <c r="L1" s="1174"/>
      <c r="M1" s="1174"/>
      <c r="N1" s="1174"/>
      <c r="P1" s="1174"/>
      <c r="Q1" s="1174"/>
      <c r="R1" s="1174"/>
      <c r="S1" s="1174"/>
      <c r="T1" s="1174"/>
      <c r="U1" s="1174"/>
      <c r="V1" s="1174"/>
      <c r="W1" s="1174"/>
      <c r="X1" s="1174"/>
      <c r="Y1" s="1174"/>
      <c r="AX1" s="1176"/>
      <c r="AY1" s="1176"/>
    </row>
    <row r="2" spans="1:67" s="1031" customFormat="1" ht="35.1" customHeight="1">
      <c r="A2" s="1329" t="s">
        <v>6</v>
      </c>
      <c r="B2" s="1177" t="s">
        <v>277</v>
      </c>
      <c r="C2" s="1177" t="s">
        <v>439</v>
      </c>
      <c r="D2" s="1177" t="s">
        <v>409</v>
      </c>
      <c r="E2" s="1178" t="s">
        <v>970</v>
      </c>
      <c r="F2" s="1335" t="s">
        <v>7</v>
      </c>
      <c r="G2" s="1336"/>
      <c r="H2" s="1336"/>
      <c r="I2" s="1337"/>
      <c r="J2" s="1323" t="s">
        <v>372</v>
      </c>
      <c r="K2" s="1313"/>
      <c r="L2" s="1313"/>
      <c r="M2" s="1313"/>
      <c r="N2" s="1314"/>
      <c r="O2" s="1324" t="s">
        <v>448</v>
      </c>
      <c r="P2" s="1312" t="s">
        <v>372</v>
      </c>
      <c r="Q2" s="1313"/>
      <c r="R2" s="1313"/>
      <c r="S2" s="1313"/>
      <c r="T2" s="1313"/>
      <c r="U2" s="1313"/>
      <c r="V2" s="1313"/>
      <c r="W2" s="1313"/>
      <c r="X2" s="1313"/>
      <c r="Y2" s="1313"/>
      <c r="Z2" s="1313"/>
      <c r="AA2" s="1313"/>
      <c r="AB2" s="1314"/>
      <c r="AC2" s="1324" t="s">
        <v>448</v>
      </c>
      <c r="AD2" s="1312" t="s">
        <v>973</v>
      </c>
      <c r="AE2" s="1313"/>
      <c r="AF2" s="1313"/>
      <c r="AG2" s="1313"/>
      <c r="AH2" s="1313"/>
      <c r="AI2" s="1313"/>
      <c r="AJ2" s="1313"/>
      <c r="AK2" s="1313"/>
      <c r="AL2" s="1313"/>
      <c r="AM2" s="1313"/>
      <c r="AN2" s="1313"/>
      <c r="AO2" s="1314"/>
      <c r="AP2" s="1324" t="s">
        <v>448</v>
      </c>
      <c r="AQ2" s="1312" t="s">
        <v>974</v>
      </c>
      <c r="AR2" s="1313"/>
      <c r="AS2" s="1313"/>
      <c r="AT2" s="1313"/>
      <c r="AU2" s="1313"/>
      <c r="AV2" s="1313"/>
      <c r="AW2" s="1313"/>
      <c r="AX2" s="1313"/>
      <c r="AY2" s="1313"/>
      <c r="AZ2" s="1314"/>
      <c r="BA2" s="1323" t="s">
        <v>903</v>
      </c>
      <c r="BB2" s="1314"/>
      <c r="BC2" s="1324" t="s">
        <v>448</v>
      </c>
      <c r="BD2" s="1312" t="s">
        <v>1056</v>
      </c>
      <c r="BE2" s="1313"/>
      <c r="BF2" s="1313"/>
      <c r="BG2" s="1313"/>
      <c r="BH2" s="1313"/>
      <c r="BI2" s="1313"/>
      <c r="BJ2" s="1313"/>
      <c r="BK2" s="1313"/>
      <c r="BL2" s="1313"/>
      <c r="BM2" s="1313"/>
      <c r="BN2" s="1314"/>
      <c r="BO2" s="1324" t="s">
        <v>448</v>
      </c>
    </row>
    <row r="3" spans="1:67" ht="35.1" customHeight="1">
      <c r="A3" s="1330"/>
      <c r="B3" s="1331" t="s">
        <v>290</v>
      </c>
      <c r="C3" s="1332" t="s">
        <v>440</v>
      </c>
      <c r="D3" s="1179" t="s">
        <v>416</v>
      </c>
      <c r="E3" s="1333" t="s">
        <v>971</v>
      </c>
      <c r="F3" s="1180" t="s">
        <v>636</v>
      </c>
      <c r="G3" s="1180" t="s">
        <v>635</v>
      </c>
      <c r="H3" s="1180" t="s">
        <v>1073</v>
      </c>
      <c r="I3" s="1180" t="s">
        <v>1074</v>
      </c>
      <c r="J3" s="1321" t="s">
        <v>403</v>
      </c>
      <c r="K3" s="1321"/>
      <c r="L3" s="1321"/>
      <c r="M3" s="1321" t="s">
        <v>404</v>
      </c>
      <c r="N3" s="1321"/>
      <c r="O3" s="1325"/>
      <c r="P3" s="1315" t="s">
        <v>631</v>
      </c>
      <c r="Q3" s="1316"/>
      <c r="R3" s="1316"/>
      <c r="S3" s="1316"/>
      <c r="T3" s="1316"/>
      <c r="U3" s="1316"/>
      <c r="V3" s="1316"/>
      <c r="W3" s="1316"/>
      <c r="X3" s="1316"/>
      <c r="Y3" s="1317"/>
      <c r="Z3" s="1322" t="s">
        <v>406</v>
      </c>
      <c r="AA3" s="1316"/>
      <c r="AB3" s="1317"/>
      <c r="AC3" s="1325"/>
      <c r="AD3" s="1318" t="s">
        <v>407</v>
      </c>
      <c r="AE3" s="1319"/>
      <c r="AF3" s="1319"/>
      <c r="AG3" s="1320"/>
      <c r="AH3" s="1326" t="s">
        <v>408</v>
      </c>
      <c r="AI3" s="1319"/>
      <c r="AJ3" s="1319"/>
      <c r="AK3" s="1319"/>
      <c r="AL3" s="1320"/>
      <c r="AM3" s="1179" t="s">
        <v>414</v>
      </c>
      <c r="AN3" s="1301" t="s">
        <v>415</v>
      </c>
      <c r="AO3" s="1301"/>
      <c r="AP3" s="1325"/>
      <c r="AQ3" s="1315" t="s">
        <v>1065</v>
      </c>
      <c r="AR3" s="1316"/>
      <c r="AS3" s="1316"/>
      <c r="AT3" s="1316"/>
      <c r="AU3" s="1316"/>
      <c r="AV3" s="1317"/>
      <c r="AW3" s="1179" t="s">
        <v>4</v>
      </c>
      <c r="AX3" s="1322" t="s">
        <v>1017</v>
      </c>
      <c r="AY3" s="1317"/>
      <c r="AZ3" s="1179" t="s">
        <v>450</v>
      </c>
      <c r="BA3" s="1301" t="s">
        <v>850</v>
      </c>
      <c r="BB3" s="1301"/>
      <c r="BC3" s="1325"/>
      <c r="BD3" s="1327" t="s">
        <v>1022</v>
      </c>
      <c r="BE3" s="1301"/>
      <c r="BF3" s="1328" t="s">
        <v>468</v>
      </c>
      <c r="BG3" s="1328"/>
      <c r="BH3" s="1328" t="s">
        <v>467</v>
      </c>
      <c r="BI3" s="1328"/>
      <c r="BJ3" s="1328" t="s">
        <v>466</v>
      </c>
      <c r="BK3" s="1328"/>
      <c r="BL3" s="1328" t="s">
        <v>921</v>
      </c>
      <c r="BM3" s="1328"/>
      <c r="BN3" s="1180" t="s">
        <v>846</v>
      </c>
      <c r="BO3" s="1325"/>
    </row>
    <row r="4" spans="1:67" ht="35.1" customHeight="1">
      <c r="A4" s="1330"/>
      <c r="B4" s="1331"/>
      <c r="C4" s="1301"/>
      <c r="D4" s="1179" t="s">
        <v>796</v>
      </c>
      <c r="E4" s="1334"/>
      <c r="F4" s="1180" t="s">
        <v>634</v>
      </c>
      <c r="G4" s="1179" t="s">
        <v>10</v>
      </c>
      <c r="H4" s="1180" t="s">
        <v>967</v>
      </c>
      <c r="I4" s="1180" t="s">
        <v>1077</v>
      </c>
      <c r="J4" s="1179" t="s">
        <v>906</v>
      </c>
      <c r="K4" s="1179" t="s">
        <v>1362</v>
      </c>
      <c r="L4" s="1179" t="s">
        <v>907</v>
      </c>
      <c r="M4" s="1179" t="s">
        <v>1363</v>
      </c>
      <c r="N4" s="1179" t="s">
        <v>1364</v>
      </c>
      <c r="O4" s="1325"/>
      <c r="P4" s="1179" t="s">
        <v>819</v>
      </c>
      <c r="Q4" s="1179" t="s">
        <v>1360</v>
      </c>
      <c r="R4" s="1179" t="s">
        <v>820</v>
      </c>
      <c r="S4" s="1179" t="s">
        <v>908</v>
      </c>
      <c r="T4" s="1179" t="s">
        <v>909</v>
      </c>
      <c r="U4" s="1179" t="s">
        <v>910</v>
      </c>
      <c r="V4" s="1179" t="s">
        <v>911</v>
      </c>
      <c r="W4" s="1179" t="s">
        <v>828</v>
      </c>
      <c r="X4" s="1179" t="s">
        <v>912</v>
      </c>
      <c r="Y4" s="1179" t="s">
        <v>1365</v>
      </c>
      <c r="Z4" s="1179" t="s">
        <v>913</v>
      </c>
      <c r="AA4" s="1179" t="s">
        <v>1377</v>
      </c>
      <c r="AB4" s="1179" t="s">
        <v>1345</v>
      </c>
      <c r="AC4" s="1325"/>
      <c r="AD4" s="1181" t="s">
        <v>1346</v>
      </c>
      <c r="AE4" s="1179" t="s">
        <v>889</v>
      </c>
      <c r="AF4" s="1179" t="s">
        <v>1349</v>
      </c>
      <c r="AG4" s="1179" t="s">
        <v>1351</v>
      </c>
      <c r="AH4" s="1179" t="s">
        <v>896</v>
      </c>
      <c r="AI4" s="1179" t="s">
        <v>897</v>
      </c>
      <c r="AJ4" s="1179" t="s">
        <v>898</v>
      </c>
      <c r="AK4" s="1179" t="s">
        <v>899</v>
      </c>
      <c r="AL4" s="1179" t="s">
        <v>900</v>
      </c>
      <c r="AM4" s="1179" t="s">
        <v>625</v>
      </c>
      <c r="AN4" s="920" t="s">
        <v>623</v>
      </c>
      <c r="AO4" s="920" t="s">
        <v>624</v>
      </c>
      <c r="AP4" s="1325"/>
      <c r="AQ4" s="1182" t="s">
        <v>1027</v>
      </c>
      <c r="AR4" s="920" t="s">
        <v>1028</v>
      </c>
      <c r="AS4" s="920" t="s">
        <v>1029</v>
      </c>
      <c r="AT4" s="920" t="s">
        <v>1030</v>
      </c>
      <c r="AU4" s="920" t="s">
        <v>1031</v>
      </c>
      <c r="AV4" s="920" t="s">
        <v>1032</v>
      </c>
      <c r="AW4" s="920" t="s">
        <v>823</v>
      </c>
      <c r="AX4" s="920" t="s">
        <v>1025</v>
      </c>
      <c r="AY4" s="920" t="s">
        <v>1026</v>
      </c>
      <c r="AZ4" s="1179" t="s">
        <v>451</v>
      </c>
      <c r="BA4" s="1179" t="s">
        <v>37</v>
      </c>
      <c r="BB4" s="1179" t="s">
        <v>915</v>
      </c>
      <c r="BC4" s="1325"/>
      <c r="BD4" s="1183" t="s">
        <v>475</v>
      </c>
      <c r="BE4" s="1184" t="s">
        <v>916</v>
      </c>
      <c r="BF4" s="1184" t="s">
        <v>37</v>
      </c>
      <c r="BG4" s="1184" t="s">
        <v>917</v>
      </c>
      <c r="BH4" s="1184" t="s">
        <v>37</v>
      </c>
      <c r="BI4" s="1184" t="s">
        <v>918</v>
      </c>
      <c r="BJ4" s="1184" t="s">
        <v>37</v>
      </c>
      <c r="BK4" s="1184" t="s">
        <v>919</v>
      </c>
      <c r="BL4" s="1184" t="s">
        <v>840</v>
      </c>
      <c r="BM4" s="1184" t="s">
        <v>839</v>
      </c>
      <c r="BN4" s="1184" t="s">
        <v>920</v>
      </c>
      <c r="BO4" s="1325"/>
    </row>
    <row r="5" spans="1:67" ht="35.1" customHeight="1">
      <c r="A5" s="1330"/>
      <c r="B5" s="1179" t="s">
        <v>1</v>
      </c>
      <c r="C5" s="1179" t="s">
        <v>441</v>
      </c>
      <c r="D5" s="1179" t="s">
        <v>19</v>
      </c>
      <c r="E5" s="1179" t="s">
        <v>972</v>
      </c>
      <c r="F5" s="1179" t="s">
        <v>5</v>
      </c>
      <c r="G5" s="1179" t="s">
        <v>5</v>
      </c>
      <c r="H5" s="1179" t="s">
        <v>5</v>
      </c>
      <c r="I5" s="1179" t="s">
        <v>1078</v>
      </c>
      <c r="J5" s="1179" t="s">
        <v>5</v>
      </c>
      <c r="K5" s="1179" t="s">
        <v>5</v>
      </c>
      <c r="L5" s="1179" t="s">
        <v>5</v>
      </c>
      <c r="M5" s="1179" t="s">
        <v>5</v>
      </c>
      <c r="N5" s="1179" t="s">
        <v>5</v>
      </c>
      <c r="O5" s="1325"/>
      <c r="P5" s="1181" t="s">
        <v>5</v>
      </c>
      <c r="Q5" s="1179" t="s">
        <v>5</v>
      </c>
      <c r="R5" s="1179" t="s">
        <v>5</v>
      </c>
      <c r="S5" s="1179" t="s">
        <v>5</v>
      </c>
      <c r="T5" s="1179" t="s">
        <v>5</v>
      </c>
      <c r="U5" s="1179" t="s">
        <v>5</v>
      </c>
      <c r="V5" s="1179" t="s">
        <v>5</v>
      </c>
      <c r="W5" s="1179" t="s">
        <v>5</v>
      </c>
      <c r="X5" s="1179" t="s">
        <v>5</v>
      </c>
      <c r="Y5" s="1179" t="s">
        <v>5</v>
      </c>
      <c r="Z5" s="1179" t="s">
        <v>5</v>
      </c>
      <c r="AA5" s="1179" t="s">
        <v>5</v>
      </c>
      <c r="AB5" s="1179" t="s">
        <v>5</v>
      </c>
      <c r="AC5" s="1325"/>
      <c r="AD5" s="1181" t="s">
        <v>5</v>
      </c>
      <c r="AE5" s="1179" t="s">
        <v>5</v>
      </c>
      <c r="AF5" s="1179" t="s">
        <v>5</v>
      </c>
      <c r="AG5" s="1179" t="s">
        <v>5</v>
      </c>
      <c r="AH5" s="1179" t="s">
        <v>5</v>
      </c>
      <c r="AI5" s="1179" t="s">
        <v>5</v>
      </c>
      <c r="AJ5" s="1179" t="s">
        <v>5</v>
      </c>
      <c r="AK5" s="1179" t="s">
        <v>5</v>
      </c>
      <c r="AL5" s="1179" t="s">
        <v>5</v>
      </c>
      <c r="AM5" s="1179" t="s">
        <v>5</v>
      </c>
      <c r="AN5" s="1179" t="s">
        <v>5</v>
      </c>
      <c r="AO5" s="1179" t="s">
        <v>5</v>
      </c>
      <c r="AP5" s="1325"/>
      <c r="AQ5" s="1181" t="s">
        <v>5</v>
      </c>
      <c r="AR5" s="1179" t="s">
        <v>5</v>
      </c>
      <c r="AS5" s="1179" t="s">
        <v>5</v>
      </c>
      <c r="AT5" s="1179" t="s">
        <v>5</v>
      </c>
      <c r="AU5" s="1179" t="s">
        <v>5</v>
      </c>
      <c r="AV5" s="1179" t="s">
        <v>5</v>
      </c>
      <c r="AW5" s="920" t="s">
        <v>914</v>
      </c>
      <c r="AX5" s="920" t="s">
        <v>1018</v>
      </c>
      <c r="AY5" s="920" t="s">
        <v>1018</v>
      </c>
      <c r="AZ5" s="1179" t="s">
        <v>449</v>
      </c>
      <c r="BA5" s="1179" t="s">
        <v>464</v>
      </c>
      <c r="BB5" s="1179" t="s">
        <v>464</v>
      </c>
      <c r="BC5" s="1325"/>
      <c r="BD5" s="1181" t="s">
        <v>465</v>
      </c>
      <c r="BE5" s="1179" t="s">
        <v>465</v>
      </c>
      <c r="BF5" s="1185" t="s">
        <v>5</v>
      </c>
      <c r="BG5" s="1185" t="s">
        <v>5</v>
      </c>
      <c r="BH5" s="1185" t="s">
        <v>5</v>
      </c>
      <c r="BI5" s="1185" t="s">
        <v>5</v>
      </c>
      <c r="BJ5" s="1185" t="s">
        <v>5</v>
      </c>
      <c r="BK5" s="1185" t="s">
        <v>5</v>
      </c>
      <c r="BL5" s="1185" t="s">
        <v>5</v>
      </c>
      <c r="BM5" s="1185" t="s">
        <v>5</v>
      </c>
      <c r="BN5" s="1179" t="s">
        <v>465</v>
      </c>
      <c r="BO5" s="1325"/>
    </row>
    <row r="6" spans="1:67" ht="35.1" customHeight="1">
      <c r="A6" s="1186" t="s">
        <v>444</v>
      </c>
      <c r="B6" s="1187">
        <f>맨홀수량집계표!D13</f>
        <v>9.6999905375770581</v>
      </c>
      <c r="C6" s="1188"/>
      <c r="D6" s="1187">
        <f>맨홀수량집계표!F13</f>
        <v>91.305783405882323</v>
      </c>
      <c r="E6" s="1187">
        <f>맨홀수량집계표!AS13</f>
        <v>62.760000000000005</v>
      </c>
      <c r="F6" s="1189">
        <f>맨홀수량집계표!AV13</f>
        <v>111</v>
      </c>
      <c r="G6" s="1189">
        <f>맨홀수량집계표!AX13</f>
        <v>81</v>
      </c>
      <c r="H6" s="1189">
        <f>맨홀수량집계표!AT13</f>
        <v>243</v>
      </c>
      <c r="I6" s="1189">
        <f>맨홀수량집계표!AU13</f>
        <v>175.041</v>
      </c>
      <c r="J6" s="1189">
        <f>맨홀수량집계표!H13</f>
        <v>3</v>
      </c>
      <c r="K6" s="1189">
        <f>맨홀수량집계표!I13</f>
        <v>44</v>
      </c>
      <c r="L6" s="1189">
        <f>맨홀수량집계표!J13</f>
        <v>30</v>
      </c>
      <c r="M6" s="1189">
        <f>맨홀수량집계표!K13</f>
        <v>14</v>
      </c>
      <c r="N6" s="1189">
        <f>맨홀수량집계표!L13</f>
        <v>95</v>
      </c>
      <c r="O6" s="1190"/>
      <c r="P6" s="1191">
        <f>맨홀수량집계표!M13</f>
        <v>5</v>
      </c>
      <c r="Q6" s="1189">
        <f>맨홀수량집계표!N13</f>
        <v>5</v>
      </c>
      <c r="R6" s="1189">
        <f>맨홀수량집계표!P13</f>
        <v>10</v>
      </c>
      <c r="S6" s="1189">
        <f>맨홀수량집계표!Q13</f>
        <v>2</v>
      </c>
      <c r="T6" s="1189">
        <f>맨홀수량집계표!R13</f>
        <v>0</v>
      </c>
      <c r="U6" s="1189">
        <f>맨홀수량집계표!S13</f>
        <v>12</v>
      </c>
      <c r="V6" s="1189">
        <f>맨홀수량집계표!T13</f>
        <v>3</v>
      </c>
      <c r="W6" s="1189">
        <f>맨홀수량집계표!U13</f>
        <v>13</v>
      </c>
      <c r="X6" s="1189">
        <f>맨홀수량집계표!V13</f>
        <v>15</v>
      </c>
      <c r="Y6" s="1189">
        <f>맨홀수량집계표!W13</f>
        <v>12</v>
      </c>
      <c r="Z6" s="1189">
        <f>맨홀수량집계표!X13</f>
        <v>2</v>
      </c>
      <c r="AA6" s="1189">
        <f>맨홀수량집계표!Y13</f>
        <v>3</v>
      </c>
      <c r="AB6" s="1189">
        <f>맨홀수량집계표!Z13</f>
        <v>33</v>
      </c>
      <c r="AC6" s="1190"/>
      <c r="AD6" s="1191">
        <f>맨홀수량집계표!AB13</f>
        <v>7</v>
      </c>
      <c r="AE6" s="1189">
        <f>맨홀수량집계표!AC13</f>
        <v>11</v>
      </c>
      <c r="AF6" s="1189">
        <f>맨홀수량집계표!AD13</f>
        <v>5</v>
      </c>
      <c r="AG6" s="1189">
        <f>맨홀수량집계표!AE13</f>
        <v>67</v>
      </c>
      <c r="AH6" s="1189">
        <f>맨홀수량집계표!AF13</f>
        <v>4</v>
      </c>
      <c r="AI6" s="1189">
        <f>맨홀수량집계표!AG13</f>
        <v>5</v>
      </c>
      <c r="AJ6" s="1189">
        <f>맨홀수량집계표!AH13</f>
        <v>6</v>
      </c>
      <c r="AK6" s="1189">
        <f>맨홀수량집계표!AI13</f>
        <v>14</v>
      </c>
      <c r="AL6" s="1189">
        <f>맨홀수량집계표!AJ13</f>
        <v>9</v>
      </c>
      <c r="AM6" s="1192">
        <f>맨홀수량집계표!AK13</f>
        <v>1256</v>
      </c>
      <c r="AN6" s="1189">
        <f>맨홀수량집계표!AL13</f>
        <v>628</v>
      </c>
      <c r="AO6" s="1189">
        <f>맨홀수량집계표!AN13</f>
        <v>256</v>
      </c>
      <c r="AP6" s="1190"/>
      <c r="AQ6" s="1191">
        <f>'관연결부 고무커넥터수량'!D11</f>
        <v>77</v>
      </c>
      <c r="AR6" s="1189">
        <f>'관연결부 고무커넥터수량'!G11</f>
        <v>103</v>
      </c>
      <c r="AS6" s="1189">
        <f>'관연결부 고무커넥터수량'!J11</f>
        <v>269</v>
      </c>
      <c r="AT6" s="1189">
        <f>'관연결부 고무커넥터수량'!M11</f>
        <v>3</v>
      </c>
      <c r="AU6" s="1189">
        <f>'관연결부 고무커넥터수량'!P11</f>
        <v>0</v>
      </c>
      <c r="AV6" s="1189">
        <f>'관연결부 고무커넥터수량'!S11</f>
        <v>0</v>
      </c>
      <c r="AW6" s="1189">
        <f>맨홀수량집계표!AO13</f>
        <v>1323</v>
      </c>
      <c r="AX6" s="1189">
        <f>맨홀수량집계표!AP13</f>
        <v>23</v>
      </c>
      <c r="AY6" s="1189">
        <f>맨홀수량집계표!AQ13</f>
        <v>29</v>
      </c>
      <c r="AZ6" s="1189">
        <f>맨홀수량집계표!AR13</f>
        <v>157</v>
      </c>
      <c r="BA6" s="1192"/>
      <c r="BB6" s="1189"/>
      <c r="BC6" s="1190"/>
      <c r="BD6" s="1191"/>
      <c r="BE6" s="1189"/>
      <c r="BF6" s="1189"/>
      <c r="BG6" s="1189"/>
      <c r="BH6" s="1189"/>
      <c r="BI6" s="1189"/>
      <c r="BJ6" s="1189"/>
      <c r="BK6" s="1189"/>
      <c r="BL6" s="1189"/>
      <c r="BM6" s="1189"/>
      <c r="BN6" s="1189"/>
      <c r="BO6" s="1190"/>
    </row>
    <row r="7" spans="1:67" ht="35.1" customHeight="1">
      <c r="A7" s="1186" t="s">
        <v>904</v>
      </c>
      <c r="B7" s="1187"/>
      <c r="C7" s="1188">
        <f>'오수관 맨홀이음부 몰탈 수량집계'!P24</f>
        <v>3.1201300000000001</v>
      </c>
      <c r="D7" s="1187"/>
      <c r="E7" s="1189"/>
      <c r="F7" s="1189"/>
      <c r="G7" s="1189"/>
      <c r="H7" s="1189"/>
      <c r="I7" s="1189"/>
      <c r="J7" s="1189"/>
      <c r="K7" s="1189"/>
      <c r="L7" s="1189"/>
      <c r="M7" s="1189"/>
      <c r="N7" s="1189"/>
      <c r="O7" s="1190"/>
      <c r="P7" s="1193"/>
      <c r="Q7" s="1189"/>
      <c r="R7" s="1189"/>
      <c r="S7" s="1189"/>
      <c r="T7" s="1189"/>
      <c r="U7" s="1194"/>
      <c r="V7" s="1189"/>
      <c r="W7" s="1189"/>
      <c r="X7" s="1189"/>
      <c r="Y7" s="1189"/>
      <c r="Z7" s="1189"/>
      <c r="AA7" s="1189"/>
      <c r="AB7" s="1189"/>
      <c r="AC7" s="1190"/>
      <c r="AD7" s="1191"/>
      <c r="AE7" s="1189"/>
      <c r="AF7" s="1189"/>
      <c r="AG7" s="1189"/>
      <c r="AH7" s="1189"/>
      <c r="AI7" s="1189"/>
      <c r="AJ7" s="1189"/>
      <c r="AK7" s="1189"/>
      <c r="AL7" s="1189"/>
      <c r="AM7" s="1194"/>
      <c r="AN7" s="1189"/>
      <c r="AO7" s="1189"/>
      <c r="AP7" s="1190"/>
      <c r="AQ7" s="1191"/>
      <c r="AR7" s="1189"/>
      <c r="AS7" s="1189"/>
      <c r="AT7" s="1189"/>
      <c r="AU7" s="1189"/>
      <c r="AV7" s="1189"/>
      <c r="AW7" s="1189"/>
      <c r="AX7" s="1189"/>
      <c r="AY7" s="1189"/>
      <c r="AZ7" s="1189"/>
      <c r="BA7" s="1194"/>
      <c r="BB7" s="1187"/>
      <c r="BC7" s="1190"/>
      <c r="BD7" s="1191"/>
      <c r="BE7" s="1189"/>
      <c r="BF7" s="1189"/>
      <c r="BG7" s="1189"/>
      <c r="BH7" s="1189"/>
      <c r="BI7" s="1189"/>
      <c r="BJ7" s="1189"/>
      <c r="BK7" s="1189"/>
      <c r="BL7" s="1189"/>
      <c r="BM7" s="1189"/>
      <c r="BN7" s="1189"/>
      <c r="BO7" s="1190"/>
    </row>
    <row r="8" spans="1:67" ht="33" customHeight="1">
      <c r="A8" s="1186" t="s">
        <v>903</v>
      </c>
      <c r="B8" s="1187"/>
      <c r="C8" s="1188"/>
      <c r="D8" s="1187"/>
      <c r="E8" s="1189"/>
      <c r="F8" s="1189"/>
      <c r="G8" s="1189"/>
      <c r="H8" s="1189"/>
      <c r="I8" s="1189"/>
      <c r="J8" s="1189"/>
      <c r="K8" s="1189"/>
      <c r="L8" s="1189"/>
      <c r="M8" s="1189"/>
      <c r="N8" s="1189"/>
      <c r="O8" s="890"/>
      <c r="P8" s="1193"/>
      <c r="Q8" s="1187"/>
      <c r="R8" s="1187"/>
      <c r="S8" s="1187"/>
      <c r="T8" s="1188"/>
      <c r="U8" s="1194"/>
      <c r="V8" s="1187"/>
      <c r="W8" s="1187"/>
      <c r="X8" s="1187"/>
      <c r="Y8" s="1188"/>
      <c r="Z8" s="1189"/>
      <c r="AA8" s="1189"/>
      <c r="AB8" s="1189"/>
      <c r="AC8" s="890"/>
      <c r="AD8" s="1191"/>
      <c r="AE8" s="1195"/>
      <c r="AF8" s="1189"/>
      <c r="AG8" s="1195"/>
      <c r="AH8" s="1189"/>
      <c r="AI8" s="1189"/>
      <c r="AJ8" s="1189"/>
      <c r="AK8" s="1189"/>
      <c r="AL8" s="1189"/>
      <c r="AM8" s="1194"/>
      <c r="AN8" s="1189"/>
      <c r="AO8" s="1189"/>
      <c r="AP8" s="890"/>
      <c r="AQ8" s="1191"/>
      <c r="AR8" s="1189"/>
      <c r="AS8" s="1189"/>
      <c r="AT8" s="1189"/>
      <c r="AU8" s="1189"/>
      <c r="AV8" s="1189"/>
      <c r="AW8" s="1189"/>
      <c r="AX8" s="1189"/>
      <c r="AY8" s="1189"/>
      <c r="AZ8" s="1189"/>
      <c r="BA8" s="1196">
        <f>부관맨홀재료집계!D13</f>
        <v>34.840000000000003</v>
      </c>
      <c r="BB8" s="1196">
        <f>부관맨홀재료집계!E13</f>
        <v>0</v>
      </c>
      <c r="BC8" s="890"/>
      <c r="BD8" s="1193">
        <f>부관맨홀재료집계!F13</f>
        <v>5</v>
      </c>
      <c r="BE8" s="1197">
        <f>부관맨홀재료집계!G13</f>
        <v>21</v>
      </c>
      <c r="BF8" s="1194">
        <f>부관맨홀재료집계!H13</f>
        <v>26</v>
      </c>
      <c r="BG8" s="1196">
        <f>부관맨홀재료집계!I13</f>
        <v>0</v>
      </c>
      <c r="BH8" s="1194">
        <f>부관맨홀재료집계!J13</f>
        <v>26</v>
      </c>
      <c r="BI8" s="1196">
        <f>부관맨홀재료집계!K13</f>
        <v>0</v>
      </c>
      <c r="BJ8" s="1194">
        <f>부관맨홀재료집계!L13</f>
        <v>52</v>
      </c>
      <c r="BK8" s="1196">
        <f>부관맨홀재료집계!M13</f>
        <v>0</v>
      </c>
      <c r="BL8" s="1194">
        <f>부관맨홀재료집계!N13</f>
        <v>52</v>
      </c>
      <c r="BM8" s="1196">
        <f>부관맨홀재료집계!O13</f>
        <v>0</v>
      </c>
      <c r="BN8" s="1194">
        <f>부관맨홀재료집계!P13</f>
        <v>104</v>
      </c>
      <c r="BO8" s="890"/>
    </row>
    <row r="9" spans="1:67" ht="35.1" customHeight="1">
      <c r="A9" s="1198" t="s">
        <v>0</v>
      </c>
      <c r="B9" s="1199">
        <f t="shared" ref="B9:R9" si="0">SUM(B6:B8)</f>
        <v>9.6999905375770581</v>
      </c>
      <c r="C9" s="1200">
        <f t="shared" si="0"/>
        <v>3.1201300000000001</v>
      </c>
      <c r="D9" s="1199">
        <f t="shared" si="0"/>
        <v>91.305783405882323</v>
      </c>
      <c r="E9" s="1199">
        <f>SUM(E6:E8)</f>
        <v>62.760000000000005</v>
      </c>
      <c r="F9" s="1201">
        <f t="shared" si="0"/>
        <v>111</v>
      </c>
      <c r="G9" s="1201">
        <f t="shared" si="0"/>
        <v>81</v>
      </c>
      <c r="H9" s="1201">
        <f t="shared" si="0"/>
        <v>243</v>
      </c>
      <c r="I9" s="1201">
        <f t="shared" si="0"/>
        <v>175.041</v>
      </c>
      <c r="J9" s="1201">
        <f t="shared" si="0"/>
        <v>3</v>
      </c>
      <c r="K9" s="1201">
        <f t="shared" si="0"/>
        <v>44</v>
      </c>
      <c r="L9" s="1201">
        <f t="shared" si="0"/>
        <v>30</v>
      </c>
      <c r="M9" s="1201">
        <f t="shared" si="0"/>
        <v>14</v>
      </c>
      <c r="N9" s="1201">
        <f t="shared" si="0"/>
        <v>95</v>
      </c>
      <c r="O9" s="1202"/>
      <c r="P9" s="1203">
        <f t="shared" si="0"/>
        <v>5</v>
      </c>
      <c r="Q9" s="1201">
        <f t="shared" si="0"/>
        <v>5</v>
      </c>
      <c r="R9" s="1201">
        <f t="shared" si="0"/>
        <v>10</v>
      </c>
      <c r="S9" s="1201">
        <f t="shared" ref="S9:AF9" si="1">SUM(S6:S8)</f>
        <v>2</v>
      </c>
      <c r="T9" s="1201">
        <f t="shared" si="1"/>
        <v>0</v>
      </c>
      <c r="U9" s="1201">
        <f t="shared" si="1"/>
        <v>12</v>
      </c>
      <c r="V9" s="1201">
        <f t="shared" si="1"/>
        <v>3</v>
      </c>
      <c r="W9" s="1201">
        <f t="shared" si="1"/>
        <v>13</v>
      </c>
      <c r="X9" s="1201">
        <f t="shared" si="1"/>
        <v>15</v>
      </c>
      <c r="Y9" s="1201">
        <f t="shared" si="1"/>
        <v>12</v>
      </c>
      <c r="Z9" s="1201">
        <f t="shared" si="1"/>
        <v>2</v>
      </c>
      <c r="AA9" s="1201">
        <f t="shared" si="1"/>
        <v>3</v>
      </c>
      <c r="AB9" s="1201">
        <f t="shared" si="1"/>
        <v>33</v>
      </c>
      <c r="AC9" s="1202"/>
      <c r="AD9" s="1203">
        <f t="shared" si="1"/>
        <v>7</v>
      </c>
      <c r="AE9" s="1201">
        <f t="shared" si="1"/>
        <v>11</v>
      </c>
      <c r="AF9" s="1201">
        <f t="shared" si="1"/>
        <v>5</v>
      </c>
      <c r="AG9" s="1201">
        <f t="shared" ref="AG9:AZ9" si="2">SUM(AG6:AG8)</f>
        <v>67</v>
      </c>
      <c r="AH9" s="1201">
        <f t="shared" si="2"/>
        <v>4</v>
      </c>
      <c r="AI9" s="1201">
        <f t="shared" si="2"/>
        <v>5</v>
      </c>
      <c r="AJ9" s="1201">
        <f t="shared" si="2"/>
        <v>6</v>
      </c>
      <c r="AK9" s="1201">
        <f t="shared" si="2"/>
        <v>14</v>
      </c>
      <c r="AL9" s="1201">
        <f t="shared" si="2"/>
        <v>9</v>
      </c>
      <c r="AM9" s="1201">
        <f t="shared" si="2"/>
        <v>1256</v>
      </c>
      <c r="AN9" s="1201">
        <f t="shared" si="2"/>
        <v>628</v>
      </c>
      <c r="AO9" s="1201">
        <f t="shared" si="2"/>
        <v>256</v>
      </c>
      <c r="AP9" s="1202"/>
      <c r="AQ9" s="1203">
        <f t="shared" si="2"/>
        <v>77</v>
      </c>
      <c r="AR9" s="1201">
        <f t="shared" si="2"/>
        <v>103</v>
      </c>
      <c r="AS9" s="1201">
        <f t="shared" si="2"/>
        <v>269</v>
      </c>
      <c r="AT9" s="1201">
        <f t="shared" si="2"/>
        <v>3</v>
      </c>
      <c r="AU9" s="1201">
        <f t="shared" si="2"/>
        <v>0</v>
      </c>
      <c r="AV9" s="1201">
        <f t="shared" si="2"/>
        <v>0</v>
      </c>
      <c r="AW9" s="1201">
        <f t="shared" si="2"/>
        <v>1323</v>
      </c>
      <c r="AX9" s="1201">
        <f t="shared" si="2"/>
        <v>23</v>
      </c>
      <c r="AY9" s="1201">
        <f t="shared" si="2"/>
        <v>29</v>
      </c>
      <c r="AZ9" s="1201">
        <f t="shared" si="2"/>
        <v>157</v>
      </c>
      <c r="BA9" s="1204">
        <f t="shared" ref="BA9:BN9" si="3">SUM(BA6:BA8)</f>
        <v>34.840000000000003</v>
      </c>
      <c r="BB9" s="1204">
        <f t="shared" si="3"/>
        <v>0</v>
      </c>
      <c r="BC9" s="1202"/>
      <c r="BD9" s="1205">
        <f t="shared" si="3"/>
        <v>5</v>
      </c>
      <c r="BE9" s="1206">
        <f t="shared" si="3"/>
        <v>21</v>
      </c>
      <c r="BF9" s="1206">
        <f t="shared" si="3"/>
        <v>26</v>
      </c>
      <c r="BG9" s="1206">
        <f t="shared" si="3"/>
        <v>0</v>
      </c>
      <c r="BH9" s="1206">
        <f t="shared" si="3"/>
        <v>26</v>
      </c>
      <c r="BI9" s="1206">
        <f t="shared" si="3"/>
        <v>0</v>
      </c>
      <c r="BJ9" s="1206">
        <f t="shared" si="3"/>
        <v>52</v>
      </c>
      <c r="BK9" s="1206">
        <f t="shared" si="3"/>
        <v>0</v>
      </c>
      <c r="BL9" s="1206">
        <f t="shared" si="3"/>
        <v>52</v>
      </c>
      <c r="BM9" s="1206">
        <f t="shared" si="3"/>
        <v>0</v>
      </c>
      <c r="BN9" s="1206">
        <f t="shared" si="3"/>
        <v>104</v>
      </c>
      <c r="BO9" s="1202"/>
    </row>
    <row r="11" spans="1:67" ht="20.100000000000001" customHeight="1">
      <c r="G11" s="1170">
        <f>F9+G9</f>
        <v>192</v>
      </c>
      <c r="J11" s="1170">
        <f>SUM(J9:AL9)</f>
        <v>429</v>
      </c>
      <c r="AV11" s="1170">
        <f>SUM(AQ9:AV9)</f>
        <v>452</v>
      </c>
    </row>
  </sheetData>
  <mergeCells count="31">
    <mergeCell ref="A2:A5"/>
    <mergeCell ref="B3:B4"/>
    <mergeCell ref="C3:C4"/>
    <mergeCell ref="J3:L3"/>
    <mergeCell ref="E3:E4"/>
    <mergeCell ref="F2:I2"/>
    <mergeCell ref="BO2:BO5"/>
    <mergeCell ref="BA3:BB3"/>
    <mergeCell ref="BD3:BE3"/>
    <mergeCell ref="BF3:BG3"/>
    <mergeCell ref="BH3:BI3"/>
    <mergeCell ref="BJ3:BK3"/>
    <mergeCell ref="BL3:BM3"/>
    <mergeCell ref="BC2:BC5"/>
    <mergeCell ref="BA2:BB2"/>
    <mergeCell ref="BD2:BN2"/>
    <mergeCell ref="AQ2:AZ2"/>
    <mergeCell ref="P3:Y3"/>
    <mergeCell ref="AD3:AG3"/>
    <mergeCell ref="M3:N3"/>
    <mergeCell ref="Z3:AB3"/>
    <mergeCell ref="J2:N2"/>
    <mergeCell ref="P2:AB2"/>
    <mergeCell ref="AX3:AY3"/>
    <mergeCell ref="AQ3:AV3"/>
    <mergeCell ref="O2:O5"/>
    <mergeCell ref="AC2:AC5"/>
    <mergeCell ref="AN3:AO3"/>
    <mergeCell ref="AH3:AL3"/>
    <mergeCell ref="AP2:AP5"/>
    <mergeCell ref="AD2:AO2"/>
  </mergeCells>
  <phoneticPr fontId="13" type="noConversion"/>
  <printOptions horizontalCentered="1"/>
  <pageMargins left="0.59055118110236227" right="0.59055118110236227" top="1.3779527559055118" bottom="0.70866141732283472" header="0.86614173228346458" footer="0.51181102362204722"/>
  <pageSetup paperSize="9" orientation="landscape" r:id="rId1"/>
  <headerFooter alignWithMargins="0">
    <oddHeader>&amp;C&amp;"돋움체,굵게"&amp;16맨홀 일반수량집계표 (&amp;P/&amp;N)</oddHeader>
  </headerFooter>
  <colBreaks count="2" manualBreakCount="2">
    <brk id="42" min="1" max="8" man="1"/>
    <brk id="55" min="1" max="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F22"/>
  <sheetViews>
    <sheetView workbookViewId="0">
      <selection sqref="A1:F1"/>
    </sheetView>
  </sheetViews>
  <sheetFormatPr defaultColWidth="9" defaultRowHeight="11.25"/>
  <cols>
    <col min="1" max="4" width="11.77734375" style="107" customWidth="1"/>
    <col min="5" max="5" width="14.77734375" style="107" customWidth="1"/>
    <col min="6" max="6" width="11.77734375" style="107" customWidth="1"/>
    <col min="7" max="247" width="9" style="107"/>
    <col min="248" max="250" width="7.77734375" style="107" customWidth="1"/>
    <col min="251" max="251" width="6.77734375" style="107" customWidth="1"/>
    <col min="252" max="255" width="7.77734375" style="107" customWidth="1"/>
    <col min="256" max="256" width="8.33203125" style="107" customWidth="1"/>
    <col min="257" max="257" width="9" style="107" customWidth="1"/>
    <col min="258" max="259" width="8.33203125" style="107" customWidth="1"/>
    <col min="260" max="260" width="5.77734375" style="107" customWidth="1"/>
    <col min="261" max="261" width="6.77734375" style="107" customWidth="1"/>
    <col min="262" max="262" width="4.77734375" style="107" customWidth="1"/>
    <col min="263" max="503" width="9" style="107"/>
    <col min="504" max="506" width="7.77734375" style="107" customWidth="1"/>
    <col min="507" max="507" width="6.77734375" style="107" customWidth="1"/>
    <col min="508" max="511" width="7.77734375" style="107" customWidth="1"/>
    <col min="512" max="512" width="8.33203125" style="107" customWidth="1"/>
    <col min="513" max="513" width="9" style="107" customWidth="1"/>
    <col min="514" max="515" width="8.33203125" style="107" customWidth="1"/>
    <col min="516" max="516" width="5.77734375" style="107" customWidth="1"/>
    <col min="517" max="517" width="6.77734375" style="107" customWidth="1"/>
    <col min="518" max="518" width="4.77734375" style="107" customWidth="1"/>
    <col min="519" max="759" width="9" style="107"/>
    <col min="760" max="762" width="7.77734375" style="107" customWidth="1"/>
    <col min="763" max="763" width="6.77734375" style="107" customWidth="1"/>
    <col min="764" max="767" width="7.77734375" style="107" customWidth="1"/>
    <col min="768" max="768" width="8.33203125" style="107" customWidth="1"/>
    <col min="769" max="769" width="9" style="107" customWidth="1"/>
    <col min="770" max="771" width="8.33203125" style="107" customWidth="1"/>
    <col min="772" max="772" width="5.77734375" style="107" customWidth="1"/>
    <col min="773" max="773" width="6.77734375" style="107" customWidth="1"/>
    <col min="774" max="774" width="4.77734375" style="107" customWidth="1"/>
    <col min="775" max="1015" width="9" style="107"/>
    <col min="1016" max="1018" width="7.77734375" style="107" customWidth="1"/>
    <col min="1019" max="1019" width="6.77734375" style="107" customWidth="1"/>
    <col min="1020" max="1023" width="7.77734375" style="107" customWidth="1"/>
    <col min="1024" max="1024" width="8.33203125" style="107" customWidth="1"/>
    <col min="1025" max="1025" width="9" style="107" customWidth="1"/>
    <col min="1026" max="1027" width="8.33203125" style="107" customWidth="1"/>
    <col min="1028" max="1028" width="5.77734375" style="107" customWidth="1"/>
    <col min="1029" max="1029" width="6.77734375" style="107" customWidth="1"/>
    <col min="1030" max="1030" width="4.77734375" style="107" customWidth="1"/>
    <col min="1031" max="1271" width="9" style="107"/>
    <col min="1272" max="1274" width="7.77734375" style="107" customWidth="1"/>
    <col min="1275" max="1275" width="6.77734375" style="107" customWidth="1"/>
    <col min="1276" max="1279" width="7.77734375" style="107" customWidth="1"/>
    <col min="1280" max="1280" width="8.33203125" style="107" customWidth="1"/>
    <col min="1281" max="1281" width="9" style="107" customWidth="1"/>
    <col min="1282" max="1283" width="8.33203125" style="107" customWidth="1"/>
    <col min="1284" max="1284" width="5.77734375" style="107" customWidth="1"/>
    <col min="1285" max="1285" width="6.77734375" style="107" customWidth="1"/>
    <col min="1286" max="1286" width="4.77734375" style="107" customWidth="1"/>
    <col min="1287" max="1527" width="9" style="107"/>
    <col min="1528" max="1530" width="7.77734375" style="107" customWidth="1"/>
    <col min="1531" max="1531" width="6.77734375" style="107" customWidth="1"/>
    <col min="1532" max="1535" width="7.77734375" style="107" customWidth="1"/>
    <col min="1536" max="1536" width="8.33203125" style="107" customWidth="1"/>
    <col min="1537" max="1537" width="9" style="107" customWidth="1"/>
    <col min="1538" max="1539" width="8.33203125" style="107" customWidth="1"/>
    <col min="1540" max="1540" width="5.77734375" style="107" customWidth="1"/>
    <col min="1541" max="1541" width="6.77734375" style="107" customWidth="1"/>
    <col min="1542" max="1542" width="4.77734375" style="107" customWidth="1"/>
    <col min="1543" max="1783" width="9" style="107"/>
    <col min="1784" max="1786" width="7.77734375" style="107" customWidth="1"/>
    <col min="1787" max="1787" width="6.77734375" style="107" customWidth="1"/>
    <col min="1788" max="1791" width="7.77734375" style="107" customWidth="1"/>
    <col min="1792" max="1792" width="8.33203125" style="107" customWidth="1"/>
    <col min="1793" max="1793" width="9" style="107" customWidth="1"/>
    <col min="1794" max="1795" width="8.33203125" style="107" customWidth="1"/>
    <col min="1796" max="1796" width="5.77734375" style="107" customWidth="1"/>
    <col min="1797" max="1797" width="6.77734375" style="107" customWidth="1"/>
    <col min="1798" max="1798" width="4.77734375" style="107" customWidth="1"/>
    <col min="1799" max="2039" width="9" style="107"/>
    <col min="2040" max="2042" width="7.77734375" style="107" customWidth="1"/>
    <col min="2043" max="2043" width="6.77734375" style="107" customWidth="1"/>
    <col min="2044" max="2047" width="7.77734375" style="107" customWidth="1"/>
    <col min="2048" max="2048" width="8.33203125" style="107" customWidth="1"/>
    <col min="2049" max="2049" width="9" style="107" customWidth="1"/>
    <col min="2050" max="2051" width="8.33203125" style="107" customWidth="1"/>
    <col min="2052" max="2052" width="5.77734375" style="107" customWidth="1"/>
    <col min="2053" max="2053" width="6.77734375" style="107" customWidth="1"/>
    <col min="2054" max="2054" width="4.77734375" style="107" customWidth="1"/>
    <col min="2055" max="2295" width="9" style="107"/>
    <col min="2296" max="2298" width="7.77734375" style="107" customWidth="1"/>
    <col min="2299" max="2299" width="6.77734375" style="107" customWidth="1"/>
    <col min="2300" max="2303" width="7.77734375" style="107" customWidth="1"/>
    <col min="2304" max="2304" width="8.33203125" style="107" customWidth="1"/>
    <col min="2305" max="2305" width="9" style="107" customWidth="1"/>
    <col min="2306" max="2307" width="8.33203125" style="107" customWidth="1"/>
    <col min="2308" max="2308" width="5.77734375" style="107" customWidth="1"/>
    <col min="2309" max="2309" width="6.77734375" style="107" customWidth="1"/>
    <col min="2310" max="2310" width="4.77734375" style="107" customWidth="1"/>
    <col min="2311" max="2551" width="9" style="107"/>
    <col min="2552" max="2554" width="7.77734375" style="107" customWidth="1"/>
    <col min="2555" max="2555" width="6.77734375" style="107" customWidth="1"/>
    <col min="2556" max="2559" width="7.77734375" style="107" customWidth="1"/>
    <col min="2560" max="2560" width="8.33203125" style="107" customWidth="1"/>
    <col min="2561" max="2561" width="9" style="107" customWidth="1"/>
    <col min="2562" max="2563" width="8.33203125" style="107" customWidth="1"/>
    <col min="2564" max="2564" width="5.77734375" style="107" customWidth="1"/>
    <col min="2565" max="2565" width="6.77734375" style="107" customWidth="1"/>
    <col min="2566" max="2566" width="4.77734375" style="107" customWidth="1"/>
    <col min="2567" max="2807" width="9" style="107"/>
    <col min="2808" max="2810" width="7.77734375" style="107" customWidth="1"/>
    <col min="2811" max="2811" width="6.77734375" style="107" customWidth="1"/>
    <col min="2812" max="2815" width="7.77734375" style="107" customWidth="1"/>
    <col min="2816" max="2816" width="8.33203125" style="107" customWidth="1"/>
    <col min="2817" max="2817" width="9" style="107" customWidth="1"/>
    <col min="2818" max="2819" width="8.33203125" style="107" customWidth="1"/>
    <col min="2820" max="2820" width="5.77734375" style="107" customWidth="1"/>
    <col min="2821" max="2821" width="6.77734375" style="107" customWidth="1"/>
    <col min="2822" max="2822" width="4.77734375" style="107" customWidth="1"/>
    <col min="2823" max="3063" width="9" style="107"/>
    <col min="3064" max="3066" width="7.77734375" style="107" customWidth="1"/>
    <col min="3067" max="3067" width="6.77734375" style="107" customWidth="1"/>
    <col min="3068" max="3071" width="7.77734375" style="107" customWidth="1"/>
    <col min="3072" max="3072" width="8.33203125" style="107" customWidth="1"/>
    <col min="3073" max="3073" width="9" style="107" customWidth="1"/>
    <col min="3074" max="3075" width="8.33203125" style="107" customWidth="1"/>
    <col min="3076" max="3076" width="5.77734375" style="107" customWidth="1"/>
    <col min="3077" max="3077" width="6.77734375" style="107" customWidth="1"/>
    <col min="3078" max="3078" width="4.77734375" style="107" customWidth="1"/>
    <col min="3079" max="3319" width="9" style="107"/>
    <col min="3320" max="3322" width="7.77734375" style="107" customWidth="1"/>
    <col min="3323" max="3323" width="6.77734375" style="107" customWidth="1"/>
    <col min="3324" max="3327" width="7.77734375" style="107" customWidth="1"/>
    <col min="3328" max="3328" width="8.33203125" style="107" customWidth="1"/>
    <col min="3329" max="3329" width="9" style="107" customWidth="1"/>
    <col min="3330" max="3331" width="8.33203125" style="107" customWidth="1"/>
    <col min="3332" max="3332" width="5.77734375" style="107" customWidth="1"/>
    <col min="3333" max="3333" width="6.77734375" style="107" customWidth="1"/>
    <col min="3334" max="3334" width="4.77734375" style="107" customWidth="1"/>
    <col min="3335" max="3575" width="9" style="107"/>
    <col min="3576" max="3578" width="7.77734375" style="107" customWidth="1"/>
    <col min="3579" max="3579" width="6.77734375" style="107" customWidth="1"/>
    <col min="3580" max="3583" width="7.77734375" style="107" customWidth="1"/>
    <col min="3584" max="3584" width="8.33203125" style="107" customWidth="1"/>
    <col min="3585" max="3585" width="9" style="107" customWidth="1"/>
    <col min="3586" max="3587" width="8.33203125" style="107" customWidth="1"/>
    <col min="3588" max="3588" width="5.77734375" style="107" customWidth="1"/>
    <col min="3589" max="3589" width="6.77734375" style="107" customWidth="1"/>
    <col min="3590" max="3590" width="4.77734375" style="107" customWidth="1"/>
    <col min="3591" max="3831" width="9" style="107"/>
    <col min="3832" max="3834" width="7.77734375" style="107" customWidth="1"/>
    <col min="3835" max="3835" width="6.77734375" style="107" customWidth="1"/>
    <col min="3836" max="3839" width="7.77734375" style="107" customWidth="1"/>
    <col min="3840" max="3840" width="8.33203125" style="107" customWidth="1"/>
    <col min="3841" max="3841" width="9" style="107" customWidth="1"/>
    <col min="3842" max="3843" width="8.33203125" style="107" customWidth="1"/>
    <col min="3844" max="3844" width="5.77734375" style="107" customWidth="1"/>
    <col min="3845" max="3845" width="6.77734375" style="107" customWidth="1"/>
    <col min="3846" max="3846" width="4.77734375" style="107" customWidth="1"/>
    <col min="3847" max="4087" width="9" style="107"/>
    <col min="4088" max="4090" width="7.77734375" style="107" customWidth="1"/>
    <col min="4091" max="4091" width="6.77734375" style="107" customWidth="1"/>
    <col min="4092" max="4095" width="7.77734375" style="107" customWidth="1"/>
    <col min="4096" max="4096" width="8.33203125" style="107" customWidth="1"/>
    <col min="4097" max="4097" width="9" style="107" customWidth="1"/>
    <col min="4098" max="4099" width="8.33203125" style="107" customWidth="1"/>
    <col min="4100" max="4100" width="5.77734375" style="107" customWidth="1"/>
    <col min="4101" max="4101" width="6.77734375" style="107" customWidth="1"/>
    <col min="4102" max="4102" width="4.77734375" style="107" customWidth="1"/>
    <col min="4103" max="4343" width="9" style="107"/>
    <col min="4344" max="4346" width="7.77734375" style="107" customWidth="1"/>
    <col min="4347" max="4347" width="6.77734375" style="107" customWidth="1"/>
    <col min="4348" max="4351" width="7.77734375" style="107" customWidth="1"/>
    <col min="4352" max="4352" width="8.33203125" style="107" customWidth="1"/>
    <col min="4353" max="4353" width="9" style="107" customWidth="1"/>
    <col min="4354" max="4355" width="8.33203125" style="107" customWidth="1"/>
    <col min="4356" max="4356" width="5.77734375" style="107" customWidth="1"/>
    <col min="4357" max="4357" width="6.77734375" style="107" customWidth="1"/>
    <col min="4358" max="4358" width="4.77734375" style="107" customWidth="1"/>
    <col min="4359" max="4599" width="9" style="107"/>
    <col min="4600" max="4602" width="7.77734375" style="107" customWidth="1"/>
    <col min="4603" max="4603" width="6.77734375" style="107" customWidth="1"/>
    <col min="4604" max="4607" width="7.77734375" style="107" customWidth="1"/>
    <col min="4608" max="4608" width="8.33203125" style="107" customWidth="1"/>
    <col min="4609" max="4609" width="9" style="107" customWidth="1"/>
    <col min="4610" max="4611" width="8.33203125" style="107" customWidth="1"/>
    <col min="4612" max="4612" width="5.77734375" style="107" customWidth="1"/>
    <col min="4613" max="4613" width="6.77734375" style="107" customWidth="1"/>
    <col min="4614" max="4614" width="4.77734375" style="107" customWidth="1"/>
    <col min="4615" max="4855" width="9" style="107"/>
    <col min="4856" max="4858" width="7.77734375" style="107" customWidth="1"/>
    <col min="4859" max="4859" width="6.77734375" style="107" customWidth="1"/>
    <col min="4860" max="4863" width="7.77734375" style="107" customWidth="1"/>
    <col min="4864" max="4864" width="8.33203125" style="107" customWidth="1"/>
    <col min="4865" max="4865" width="9" style="107" customWidth="1"/>
    <col min="4866" max="4867" width="8.33203125" style="107" customWidth="1"/>
    <col min="4868" max="4868" width="5.77734375" style="107" customWidth="1"/>
    <col min="4869" max="4869" width="6.77734375" style="107" customWidth="1"/>
    <col min="4870" max="4870" width="4.77734375" style="107" customWidth="1"/>
    <col min="4871" max="5111" width="9" style="107"/>
    <col min="5112" max="5114" width="7.77734375" style="107" customWidth="1"/>
    <col min="5115" max="5115" width="6.77734375" style="107" customWidth="1"/>
    <col min="5116" max="5119" width="7.77734375" style="107" customWidth="1"/>
    <col min="5120" max="5120" width="8.33203125" style="107" customWidth="1"/>
    <col min="5121" max="5121" width="9" style="107" customWidth="1"/>
    <col min="5122" max="5123" width="8.33203125" style="107" customWidth="1"/>
    <col min="5124" max="5124" width="5.77734375" style="107" customWidth="1"/>
    <col min="5125" max="5125" width="6.77734375" style="107" customWidth="1"/>
    <col min="5126" max="5126" width="4.77734375" style="107" customWidth="1"/>
    <col min="5127" max="5367" width="9" style="107"/>
    <col min="5368" max="5370" width="7.77734375" style="107" customWidth="1"/>
    <col min="5371" max="5371" width="6.77734375" style="107" customWidth="1"/>
    <col min="5372" max="5375" width="7.77734375" style="107" customWidth="1"/>
    <col min="5376" max="5376" width="8.33203125" style="107" customWidth="1"/>
    <col min="5377" max="5377" width="9" style="107" customWidth="1"/>
    <col min="5378" max="5379" width="8.33203125" style="107" customWidth="1"/>
    <col min="5380" max="5380" width="5.77734375" style="107" customWidth="1"/>
    <col min="5381" max="5381" width="6.77734375" style="107" customWidth="1"/>
    <col min="5382" max="5382" width="4.77734375" style="107" customWidth="1"/>
    <col min="5383" max="5623" width="9" style="107"/>
    <col min="5624" max="5626" width="7.77734375" style="107" customWidth="1"/>
    <col min="5627" max="5627" width="6.77734375" style="107" customWidth="1"/>
    <col min="5628" max="5631" width="7.77734375" style="107" customWidth="1"/>
    <col min="5632" max="5632" width="8.33203125" style="107" customWidth="1"/>
    <col min="5633" max="5633" width="9" style="107" customWidth="1"/>
    <col min="5634" max="5635" width="8.33203125" style="107" customWidth="1"/>
    <col min="5636" max="5636" width="5.77734375" style="107" customWidth="1"/>
    <col min="5637" max="5637" width="6.77734375" style="107" customWidth="1"/>
    <col min="5638" max="5638" width="4.77734375" style="107" customWidth="1"/>
    <col min="5639" max="5879" width="9" style="107"/>
    <col min="5880" max="5882" width="7.77734375" style="107" customWidth="1"/>
    <col min="5883" max="5883" width="6.77734375" style="107" customWidth="1"/>
    <col min="5884" max="5887" width="7.77734375" style="107" customWidth="1"/>
    <col min="5888" max="5888" width="8.33203125" style="107" customWidth="1"/>
    <col min="5889" max="5889" width="9" style="107" customWidth="1"/>
    <col min="5890" max="5891" width="8.33203125" style="107" customWidth="1"/>
    <col min="5892" max="5892" width="5.77734375" style="107" customWidth="1"/>
    <col min="5893" max="5893" width="6.77734375" style="107" customWidth="1"/>
    <col min="5894" max="5894" width="4.77734375" style="107" customWidth="1"/>
    <col min="5895" max="6135" width="9" style="107"/>
    <col min="6136" max="6138" width="7.77734375" style="107" customWidth="1"/>
    <col min="6139" max="6139" width="6.77734375" style="107" customWidth="1"/>
    <col min="6140" max="6143" width="7.77734375" style="107" customWidth="1"/>
    <col min="6144" max="6144" width="8.33203125" style="107" customWidth="1"/>
    <col min="6145" max="6145" width="9" style="107" customWidth="1"/>
    <col min="6146" max="6147" width="8.33203125" style="107" customWidth="1"/>
    <col min="6148" max="6148" width="5.77734375" style="107" customWidth="1"/>
    <col min="6149" max="6149" width="6.77734375" style="107" customWidth="1"/>
    <col min="6150" max="6150" width="4.77734375" style="107" customWidth="1"/>
    <col min="6151" max="6391" width="9" style="107"/>
    <col min="6392" max="6394" width="7.77734375" style="107" customWidth="1"/>
    <col min="6395" max="6395" width="6.77734375" style="107" customWidth="1"/>
    <col min="6396" max="6399" width="7.77734375" style="107" customWidth="1"/>
    <col min="6400" max="6400" width="8.33203125" style="107" customWidth="1"/>
    <col min="6401" max="6401" width="9" style="107" customWidth="1"/>
    <col min="6402" max="6403" width="8.33203125" style="107" customWidth="1"/>
    <col min="6404" max="6404" width="5.77734375" style="107" customWidth="1"/>
    <col min="6405" max="6405" width="6.77734375" style="107" customWidth="1"/>
    <col min="6406" max="6406" width="4.77734375" style="107" customWidth="1"/>
    <col min="6407" max="6647" width="9" style="107"/>
    <col min="6648" max="6650" width="7.77734375" style="107" customWidth="1"/>
    <col min="6651" max="6651" width="6.77734375" style="107" customWidth="1"/>
    <col min="6652" max="6655" width="7.77734375" style="107" customWidth="1"/>
    <col min="6656" max="6656" width="8.33203125" style="107" customWidth="1"/>
    <col min="6657" max="6657" width="9" style="107" customWidth="1"/>
    <col min="6658" max="6659" width="8.33203125" style="107" customWidth="1"/>
    <col min="6660" max="6660" width="5.77734375" style="107" customWidth="1"/>
    <col min="6661" max="6661" width="6.77734375" style="107" customWidth="1"/>
    <col min="6662" max="6662" width="4.77734375" style="107" customWidth="1"/>
    <col min="6663" max="6903" width="9" style="107"/>
    <col min="6904" max="6906" width="7.77734375" style="107" customWidth="1"/>
    <col min="6907" max="6907" width="6.77734375" style="107" customWidth="1"/>
    <col min="6908" max="6911" width="7.77734375" style="107" customWidth="1"/>
    <col min="6912" max="6912" width="8.33203125" style="107" customWidth="1"/>
    <col min="6913" max="6913" width="9" style="107" customWidth="1"/>
    <col min="6914" max="6915" width="8.33203125" style="107" customWidth="1"/>
    <col min="6916" max="6916" width="5.77734375" style="107" customWidth="1"/>
    <col min="6917" max="6917" width="6.77734375" style="107" customWidth="1"/>
    <col min="6918" max="6918" width="4.77734375" style="107" customWidth="1"/>
    <col min="6919" max="7159" width="9" style="107"/>
    <col min="7160" max="7162" width="7.77734375" style="107" customWidth="1"/>
    <col min="7163" max="7163" width="6.77734375" style="107" customWidth="1"/>
    <col min="7164" max="7167" width="7.77734375" style="107" customWidth="1"/>
    <col min="7168" max="7168" width="8.33203125" style="107" customWidth="1"/>
    <col min="7169" max="7169" width="9" style="107" customWidth="1"/>
    <col min="7170" max="7171" width="8.33203125" style="107" customWidth="1"/>
    <col min="7172" max="7172" width="5.77734375" style="107" customWidth="1"/>
    <col min="7173" max="7173" width="6.77734375" style="107" customWidth="1"/>
    <col min="7174" max="7174" width="4.77734375" style="107" customWidth="1"/>
    <col min="7175" max="7415" width="9" style="107"/>
    <col min="7416" max="7418" width="7.77734375" style="107" customWidth="1"/>
    <col min="7419" max="7419" width="6.77734375" style="107" customWidth="1"/>
    <col min="7420" max="7423" width="7.77734375" style="107" customWidth="1"/>
    <col min="7424" max="7424" width="8.33203125" style="107" customWidth="1"/>
    <col min="7425" max="7425" width="9" style="107" customWidth="1"/>
    <col min="7426" max="7427" width="8.33203125" style="107" customWidth="1"/>
    <col min="7428" max="7428" width="5.77734375" style="107" customWidth="1"/>
    <col min="7429" max="7429" width="6.77734375" style="107" customWidth="1"/>
    <col min="7430" max="7430" width="4.77734375" style="107" customWidth="1"/>
    <col min="7431" max="7671" width="9" style="107"/>
    <col min="7672" max="7674" width="7.77734375" style="107" customWidth="1"/>
    <col min="7675" max="7675" width="6.77734375" style="107" customWidth="1"/>
    <col min="7676" max="7679" width="7.77734375" style="107" customWidth="1"/>
    <col min="7680" max="7680" width="8.33203125" style="107" customWidth="1"/>
    <col min="7681" max="7681" width="9" style="107" customWidth="1"/>
    <col min="7682" max="7683" width="8.33203125" style="107" customWidth="1"/>
    <col min="7684" max="7684" width="5.77734375" style="107" customWidth="1"/>
    <col min="7685" max="7685" width="6.77734375" style="107" customWidth="1"/>
    <col min="7686" max="7686" width="4.77734375" style="107" customWidth="1"/>
    <col min="7687" max="7927" width="9" style="107"/>
    <col min="7928" max="7930" width="7.77734375" style="107" customWidth="1"/>
    <col min="7931" max="7931" width="6.77734375" style="107" customWidth="1"/>
    <col min="7932" max="7935" width="7.77734375" style="107" customWidth="1"/>
    <col min="7936" max="7936" width="8.33203125" style="107" customWidth="1"/>
    <col min="7937" max="7937" width="9" style="107" customWidth="1"/>
    <col min="7938" max="7939" width="8.33203125" style="107" customWidth="1"/>
    <col min="7940" max="7940" width="5.77734375" style="107" customWidth="1"/>
    <col min="7941" max="7941" width="6.77734375" style="107" customWidth="1"/>
    <col min="7942" max="7942" width="4.77734375" style="107" customWidth="1"/>
    <col min="7943" max="8183" width="9" style="107"/>
    <col min="8184" max="8186" width="7.77734375" style="107" customWidth="1"/>
    <col min="8187" max="8187" width="6.77734375" style="107" customWidth="1"/>
    <col min="8188" max="8191" width="7.77734375" style="107" customWidth="1"/>
    <col min="8192" max="8192" width="8.33203125" style="107" customWidth="1"/>
    <col min="8193" max="8193" width="9" style="107" customWidth="1"/>
    <col min="8194" max="8195" width="8.33203125" style="107" customWidth="1"/>
    <col min="8196" max="8196" width="5.77734375" style="107" customWidth="1"/>
    <col min="8197" max="8197" width="6.77734375" style="107" customWidth="1"/>
    <col min="8198" max="8198" width="4.77734375" style="107" customWidth="1"/>
    <col min="8199" max="8439" width="9" style="107"/>
    <col min="8440" max="8442" width="7.77734375" style="107" customWidth="1"/>
    <col min="8443" max="8443" width="6.77734375" style="107" customWidth="1"/>
    <col min="8444" max="8447" width="7.77734375" style="107" customWidth="1"/>
    <col min="8448" max="8448" width="8.33203125" style="107" customWidth="1"/>
    <col min="8449" max="8449" width="9" style="107" customWidth="1"/>
    <col min="8450" max="8451" width="8.33203125" style="107" customWidth="1"/>
    <col min="8452" max="8452" width="5.77734375" style="107" customWidth="1"/>
    <col min="8453" max="8453" width="6.77734375" style="107" customWidth="1"/>
    <col min="8454" max="8454" width="4.77734375" style="107" customWidth="1"/>
    <col min="8455" max="8695" width="9" style="107"/>
    <col min="8696" max="8698" width="7.77734375" style="107" customWidth="1"/>
    <col min="8699" max="8699" width="6.77734375" style="107" customWidth="1"/>
    <col min="8700" max="8703" width="7.77734375" style="107" customWidth="1"/>
    <col min="8704" max="8704" width="8.33203125" style="107" customWidth="1"/>
    <col min="8705" max="8705" width="9" style="107" customWidth="1"/>
    <col min="8706" max="8707" width="8.33203125" style="107" customWidth="1"/>
    <col min="8708" max="8708" width="5.77734375" style="107" customWidth="1"/>
    <col min="8709" max="8709" width="6.77734375" style="107" customWidth="1"/>
    <col min="8710" max="8710" width="4.77734375" style="107" customWidth="1"/>
    <col min="8711" max="8951" width="9" style="107"/>
    <col min="8952" max="8954" width="7.77734375" style="107" customWidth="1"/>
    <col min="8955" max="8955" width="6.77734375" style="107" customWidth="1"/>
    <col min="8956" max="8959" width="7.77734375" style="107" customWidth="1"/>
    <col min="8960" max="8960" width="8.33203125" style="107" customWidth="1"/>
    <col min="8961" max="8961" width="9" style="107" customWidth="1"/>
    <col min="8962" max="8963" width="8.33203125" style="107" customWidth="1"/>
    <col min="8964" max="8964" width="5.77734375" style="107" customWidth="1"/>
    <col min="8965" max="8965" width="6.77734375" style="107" customWidth="1"/>
    <col min="8966" max="8966" width="4.77734375" style="107" customWidth="1"/>
    <col min="8967" max="9207" width="9" style="107"/>
    <col min="9208" max="9210" width="7.77734375" style="107" customWidth="1"/>
    <col min="9211" max="9211" width="6.77734375" style="107" customWidth="1"/>
    <col min="9212" max="9215" width="7.77734375" style="107" customWidth="1"/>
    <col min="9216" max="9216" width="8.33203125" style="107" customWidth="1"/>
    <col min="9217" max="9217" width="9" style="107" customWidth="1"/>
    <col min="9218" max="9219" width="8.33203125" style="107" customWidth="1"/>
    <col min="9220" max="9220" width="5.77734375" style="107" customWidth="1"/>
    <col min="9221" max="9221" width="6.77734375" style="107" customWidth="1"/>
    <col min="9222" max="9222" width="4.77734375" style="107" customWidth="1"/>
    <col min="9223" max="9463" width="9" style="107"/>
    <col min="9464" max="9466" width="7.77734375" style="107" customWidth="1"/>
    <col min="9467" max="9467" width="6.77734375" style="107" customWidth="1"/>
    <col min="9468" max="9471" width="7.77734375" style="107" customWidth="1"/>
    <col min="9472" max="9472" width="8.33203125" style="107" customWidth="1"/>
    <col min="9473" max="9473" width="9" style="107" customWidth="1"/>
    <col min="9474" max="9475" width="8.33203125" style="107" customWidth="1"/>
    <col min="9476" max="9476" width="5.77734375" style="107" customWidth="1"/>
    <col min="9477" max="9477" width="6.77734375" style="107" customWidth="1"/>
    <col min="9478" max="9478" width="4.77734375" style="107" customWidth="1"/>
    <col min="9479" max="9719" width="9" style="107"/>
    <col min="9720" max="9722" width="7.77734375" style="107" customWidth="1"/>
    <col min="9723" max="9723" width="6.77734375" style="107" customWidth="1"/>
    <col min="9724" max="9727" width="7.77734375" style="107" customWidth="1"/>
    <col min="9728" max="9728" width="8.33203125" style="107" customWidth="1"/>
    <col min="9729" max="9729" width="9" style="107" customWidth="1"/>
    <col min="9730" max="9731" width="8.33203125" style="107" customWidth="1"/>
    <col min="9732" max="9732" width="5.77734375" style="107" customWidth="1"/>
    <col min="9733" max="9733" width="6.77734375" style="107" customWidth="1"/>
    <col min="9734" max="9734" width="4.77734375" style="107" customWidth="1"/>
    <col min="9735" max="9975" width="9" style="107"/>
    <col min="9976" max="9978" width="7.77734375" style="107" customWidth="1"/>
    <col min="9979" max="9979" width="6.77734375" style="107" customWidth="1"/>
    <col min="9980" max="9983" width="7.77734375" style="107" customWidth="1"/>
    <col min="9984" max="9984" width="8.33203125" style="107" customWidth="1"/>
    <col min="9985" max="9985" width="9" style="107" customWidth="1"/>
    <col min="9986" max="9987" width="8.33203125" style="107" customWidth="1"/>
    <col min="9988" max="9988" width="5.77734375" style="107" customWidth="1"/>
    <col min="9989" max="9989" width="6.77734375" style="107" customWidth="1"/>
    <col min="9990" max="9990" width="4.77734375" style="107" customWidth="1"/>
    <col min="9991" max="10231" width="9" style="107"/>
    <col min="10232" max="10234" width="7.77734375" style="107" customWidth="1"/>
    <col min="10235" max="10235" width="6.77734375" style="107" customWidth="1"/>
    <col min="10236" max="10239" width="7.77734375" style="107" customWidth="1"/>
    <col min="10240" max="10240" width="8.33203125" style="107" customWidth="1"/>
    <col min="10241" max="10241" width="9" style="107" customWidth="1"/>
    <col min="10242" max="10243" width="8.33203125" style="107" customWidth="1"/>
    <col min="10244" max="10244" width="5.77734375" style="107" customWidth="1"/>
    <col min="10245" max="10245" width="6.77734375" style="107" customWidth="1"/>
    <col min="10246" max="10246" width="4.77734375" style="107" customWidth="1"/>
    <col min="10247" max="10487" width="9" style="107"/>
    <col min="10488" max="10490" width="7.77734375" style="107" customWidth="1"/>
    <col min="10491" max="10491" width="6.77734375" style="107" customWidth="1"/>
    <col min="10492" max="10495" width="7.77734375" style="107" customWidth="1"/>
    <col min="10496" max="10496" width="8.33203125" style="107" customWidth="1"/>
    <col min="10497" max="10497" width="9" style="107" customWidth="1"/>
    <col min="10498" max="10499" width="8.33203125" style="107" customWidth="1"/>
    <col min="10500" max="10500" width="5.77734375" style="107" customWidth="1"/>
    <col min="10501" max="10501" width="6.77734375" style="107" customWidth="1"/>
    <col min="10502" max="10502" width="4.77734375" style="107" customWidth="1"/>
    <col min="10503" max="10743" width="9" style="107"/>
    <col min="10744" max="10746" width="7.77734375" style="107" customWidth="1"/>
    <col min="10747" max="10747" width="6.77734375" style="107" customWidth="1"/>
    <col min="10748" max="10751" width="7.77734375" style="107" customWidth="1"/>
    <col min="10752" max="10752" width="8.33203125" style="107" customWidth="1"/>
    <col min="10753" max="10753" width="9" style="107" customWidth="1"/>
    <col min="10754" max="10755" width="8.33203125" style="107" customWidth="1"/>
    <col min="10756" max="10756" width="5.77734375" style="107" customWidth="1"/>
    <col min="10757" max="10757" width="6.77734375" style="107" customWidth="1"/>
    <col min="10758" max="10758" width="4.77734375" style="107" customWidth="1"/>
    <col min="10759" max="10999" width="9" style="107"/>
    <col min="11000" max="11002" width="7.77734375" style="107" customWidth="1"/>
    <col min="11003" max="11003" width="6.77734375" style="107" customWidth="1"/>
    <col min="11004" max="11007" width="7.77734375" style="107" customWidth="1"/>
    <col min="11008" max="11008" width="8.33203125" style="107" customWidth="1"/>
    <col min="11009" max="11009" width="9" style="107" customWidth="1"/>
    <col min="11010" max="11011" width="8.33203125" style="107" customWidth="1"/>
    <col min="11012" max="11012" width="5.77734375" style="107" customWidth="1"/>
    <col min="11013" max="11013" width="6.77734375" style="107" customWidth="1"/>
    <col min="11014" max="11014" width="4.77734375" style="107" customWidth="1"/>
    <col min="11015" max="11255" width="9" style="107"/>
    <col min="11256" max="11258" width="7.77734375" style="107" customWidth="1"/>
    <col min="11259" max="11259" width="6.77734375" style="107" customWidth="1"/>
    <col min="11260" max="11263" width="7.77734375" style="107" customWidth="1"/>
    <col min="11264" max="11264" width="8.33203125" style="107" customWidth="1"/>
    <col min="11265" max="11265" width="9" style="107" customWidth="1"/>
    <col min="11266" max="11267" width="8.33203125" style="107" customWidth="1"/>
    <col min="11268" max="11268" width="5.77734375" style="107" customWidth="1"/>
    <col min="11269" max="11269" width="6.77734375" style="107" customWidth="1"/>
    <col min="11270" max="11270" width="4.77734375" style="107" customWidth="1"/>
    <col min="11271" max="11511" width="9" style="107"/>
    <col min="11512" max="11514" width="7.77734375" style="107" customWidth="1"/>
    <col min="11515" max="11515" width="6.77734375" style="107" customWidth="1"/>
    <col min="11516" max="11519" width="7.77734375" style="107" customWidth="1"/>
    <col min="11520" max="11520" width="8.33203125" style="107" customWidth="1"/>
    <col min="11521" max="11521" width="9" style="107" customWidth="1"/>
    <col min="11522" max="11523" width="8.33203125" style="107" customWidth="1"/>
    <col min="11524" max="11524" width="5.77734375" style="107" customWidth="1"/>
    <col min="11525" max="11525" width="6.77734375" style="107" customWidth="1"/>
    <col min="11526" max="11526" width="4.77734375" style="107" customWidth="1"/>
    <col min="11527" max="11767" width="9" style="107"/>
    <col min="11768" max="11770" width="7.77734375" style="107" customWidth="1"/>
    <col min="11771" max="11771" width="6.77734375" style="107" customWidth="1"/>
    <col min="11772" max="11775" width="7.77734375" style="107" customWidth="1"/>
    <col min="11776" max="11776" width="8.33203125" style="107" customWidth="1"/>
    <col min="11777" max="11777" width="9" style="107" customWidth="1"/>
    <col min="11778" max="11779" width="8.33203125" style="107" customWidth="1"/>
    <col min="11780" max="11780" width="5.77734375" style="107" customWidth="1"/>
    <col min="11781" max="11781" width="6.77734375" style="107" customWidth="1"/>
    <col min="11782" max="11782" width="4.77734375" style="107" customWidth="1"/>
    <col min="11783" max="12023" width="9" style="107"/>
    <col min="12024" max="12026" width="7.77734375" style="107" customWidth="1"/>
    <col min="12027" max="12027" width="6.77734375" style="107" customWidth="1"/>
    <col min="12028" max="12031" width="7.77734375" style="107" customWidth="1"/>
    <col min="12032" max="12032" width="8.33203125" style="107" customWidth="1"/>
    <col min="12033" max="12033" width="9" style="107" customWidth="1"/>
    <col min="12034" max="12035" width="8.33203125" style="107" customWidth="1"/>
    <col min="12036" max="12036" width="5.77734375" style="107" customWidth="1"/>
    <col min="12037" max="12037" width="6.77734375" style="107" customWidth="1"/>
    <col min="12038" max="12038" width="4.77734375" style="107" customWidth="1"/>
    <col min="12039" max="12279" width="9" style="107"/>
    <col min="12280" max="12282" width="7.77734375" style="107" customWidth="1"/>
    <col min="12283" max="12283" width="6.77734375" style="107" customWidth="1"/>
    <col min="12284" max="12287" width="7.77734375" style="107" customWidth="1"/>
    <col min="12288" max="12288" width="8.33203125" style="107" customWidth="1"/>
    <col min="12289" max="12289" width="9" style="107" customWidth="1"/>
    <col min="12290" max="12291" width="8.33203125" style="107" customWidth="1"/>
    <col min="12292" max="12292" width="5.77734375" style="107" customWidth="1"/>
    <col min="12293" max="12293" width="6.77734375" style="107" customWidth="1"/>
    <col min="12294" max="12294" width="4.77734375" style="107" customWidth="1"/>
    <col min="12295" max="12535" width="9" style="107"/>
    <col min="12536" max="12538" width="7.77734375" style="107" customWidth="1"/>
    <col min="12539" max="12539" width="6.77734375" style="107" customWidth="1"/>
    <col min="12540" max="12543" width="7.77734375" style="107" customWidth="1"/>
    <col min="12544" max="12544" width="8.33203125" style="107" customWidth="1"/>
    <col min="12545" max="12545" width="9" style="107" customWidth="1"/>
    <col min="12546" max="12547" width="8.33203125" style="107" customWidth="1"/>
    <col min="12548" max="12548" width="5.77734375" style="107" customWidth="1"/>
    <col min="12549" max="12549" width="6.77734375" style="107" customWidth="1"/>
    <col min="12550" max="12550" width="4.77734375" style="107" customWidth="1"/>
    <col min="12551" max="12791" width="9" style="107"/>
    <col min="12792" max="12794" width="7.77734375" style="107" customWidth="1"/>
    <col min="12795" max="12795" width="6.77734375" style="107" customWidth="1"/>
    <col min="12796" max="12799" width="7.77734375" style="107" customWidth="1"/>
    <col min="12800" max="12800" width="8.33203125" style="107" customWidth="1"/>
    <col min="12801" max="12801" width="9" style="107" customWidth="1"/>
    <col min="12802" max="12803" width="8.33203125" style="107" customWidth="1"/>
    <col min="12804" max="12804" width="5.77734375" style="107" customWidth="1"/>
    <col min="12805" max="12805" width="6.77734375" style="107" customWidth="1"/>
    <col min="12806" max="12806" width="4.77734375" style="107" customWidth="1"/>
    <col min="12807" max="13047" width="9" style="107"/>
    <col min="13048" max="13050" width="7.77734375" style="107" customWidth="1"/>
    <col min="13051" max="13051" width="6.77734375" style="107" customWidth="1"/>
    <col min="13052" max="13055" width="7.77734375" style="107" customWidth="1"/>
    <col min="13056" max="13056" width="8.33203125" style="107" customWidth="1"/>
    <col min="13057" max="13057" width="9" style="107" customWidth="1"/>
    <col min="13058" max="13059" width="8.33203125" style="107" customWidth="1"/>
    <col min="13060" max="13060" width="5.77734375" style="107" customWidth="1"/>
    <col min="13061" max="13061" width="6.77734375" style="107" customWidth="1"/>
    <col min="13062" max="13062" width="4.77734375" style="107" customWidth="1"/>
    <col min="13063" max="13303" width="9" style="107"/>
    <col min="13304" max="13306" width="7.77734375" style="107" customWidth="1"/>
    <col min="13307" max="13307" width="6.77734375" style="107" customWidth="1"/>
    <col min="13308" max="13311" width="7.77734375" style="107" customWidth="1"/>
    <col min="13312" max="13312" width="8.33203125" style="107" customWidth="1"/>
    <col min="13313" max="13313" width="9" style="107" customWidth="1"/>
    <col min="13314" max="13315" width="8.33203125" style="107" customWidth="1"/>
    <col min="13316" max="13316" width="5.77734375" style="107" customWidth="1"/>
    <col min="13317" max="13317" width="6.77734375" style="107" customWidth="1"/>
    <col min="13318" max="13318" width="4.77734375" style="107" customWidth="1"/>
    <col min="13319" max="13559" width="9" style="107"/>
    <col min="13560" max="13562" width="7.77734375" style="107" customWidth="1"/>
    <col min="13563" max="13563" width="6.77734375" style="107" customWidth="1"/>
    <col min="13564" max="13567" width="7.77734375" style="107" customWidth="1"/>
    <col min="13568" max="13568" width="8.33203125" style="107" customWidth="1"/>
    <col min="13569" max="13569" width="9" style="107" customWidth="1"/>
    <col min="13570" max="13571" width="8.33203125" style="107" customWidth="1"/>
    <col min="13572" max="13572" width="5.77734375" style="107" customWidth="1"/>
    <col min="13573" max="13573" width="6.77734375" style="107" customWidth="1"/>
    <col min="13574" max="13574" width="4.77734375" style="107" customWidth="1"/>
    <col min="13575" max="13815" width="9" style="107"/>
    <col min="13816" max="13818" width="7.77734375" style="107" customWidth="1"/>
    <col min="13819" max="13819" width="6.77734375" style="107" customWidth="1"/>
    <col min="13820" max="13823" width="7.77734375" style="107" customWidth="1"/>
    <col min="13824" max="13824" width="8.33203125" style="107" customWidth="1"/>
    <col min="13825" max="13825" width="9" style="107" customWidth="1"/>
    <col min="13826" max="13827" width="8.33203125" style="107" customWidth="1"/>
    <col min="13828" max="13828" width="5.77734375" style="107" customWidth="1"/>
    <col min="13829" max="13829" width="6.77734375" style="107" customWidth="1"/>
    <col min="13830" max="13830" width="4.77734375" style="107" customWidth="1"/>
    <col min="13831" max="14071" width="9" style="107"/>
    <col min="14072" max="14074" width="7.77734375" style="107" customWidth="1"/>
    <col min="14075" max="14075" width="6.77734375" style="107" customWidth="1"/>
    <col min="14076" max="14079" width="7.77734375" style="107" customWidth="1"/>
    <col min="14080" max="14080" width="8.33203125" style="107" customWidth="1"/>
    <col min="14081" max="14081" width="9" style="107" customWidth="1"/>
    <col min="14082" max="14083" width="8.33203125" style="107" customWidth="1"/>
    <col min="14084" max="14084" width="5.77734375" style="107" customWidth="1"/>
    <col min="14085" max="14085" width="6.77734375" style="107" customWidth="1"/>
    <col min="14086" max="14086" width="4.77734375" style="107" customWidth="1"/>
    <col min="14087" max="14327" width="9" style="107"/>
    <col min="14328" max="14330" width="7.77734375" style="107" customWidth="1"/>
    <col min="14331" max="14331" width="6.77734375" style="107" customWidth="1"/>
    <col min="14332" max="14335" width="7.77734375" style="107" customWidth="1"/>
    <col min="14336" max="14336" width="8.33203125" style="107" customWidth="1"/>
    <col min="14337" max="14337" width="9" style="107" customWidth="1"/>
    <col min="14338" max="14339" width="8.33203125" style="107" customWidth="1"/>
    <col min="14340" max="14340" width="5.77734375" style="107" customWidth="1"/>
    <col min="14341" max="14341" width="6.77734375" style="107" customWidth="1"/>
    <col min="14342" max="14342" width="4.77734375" style="107" customWidth="1"/>
    <col min="14343" max="14583" width="9" style="107"/>
    <col min="14584" max="14586" width="7.77734375" style="107" customWidth="1"/>
    <col min="14587" max="14587" width="6.77734375" style="107" customWidth="1"/>
    <col min="14588" max="14591" width="7.77734375" style="107" customWidth="1"/>
    <col min="14592" max="14592" width="8.33203125" style="107" customWidth="1"/>
    <col min="14593" max="14593" width="9" style="107" customWidth="1"/>
    <col min="14594" max="14595" width="8.33203125" style="107" customWidth="1"/>
    <col min="14596" max="14596" width="5.77734375" style="107" customWidth="1"/>
    <col min="14597" max="14597" width="6.77734375" style="107" customWidth="1"/>
    <col min="14598" max="14598" width="4.77734375" style="107" customWidth="1"/>
    <col min="14599" max="14839" width="9" style="107"/>
    <col min="14840" max="14842" width="7.77734375" style="107" customWidth="1"/>
    <col min="14843" max="14843" width="6.77734375" style="107" customWidth="1"/>
    <col min="14844" max="14847" width="7.77734375" style="107" customWidth="1"/>
    <col min="14848" max="14848" width="8.33203125" style="107" customWidth="1"/>
    <col min="14849" max="14849" width="9" style="107" customWidth="1"/>
    <col min="14850" max="14851" width="8.33203125" style="107" customWidth="1"/>
    <col min="14852" max="14852" width="5.77734375" style="107" customWidth="1"/>
    <col min="14853" max="14853" width="6.77734375" style="107" customWidth="1"/>
    <col min="14854" max="14854" width="4.77734375" style="107" customWidth="1"/>
    <col min="14855" max="15095" width="9" style="107"/>
    <col min="15096" max="15098" width="7.77734375" style="107" customWidth="1"/>
    <col min="15099" max="15099" width="6.77734375" style="107" customWidth="1"/>
    <col min="15100" max="15103" width="7.77734375" style="107" customWidth="1"/>
    <col min="15104" max="15104" width="8.33203125" style="107" customWidth="1"/>
    <col min="15105" max="15105" width="9" style="107" customWidth="1"/>
    <col min="15106" max="15107" width="8.33203125" style="107" customWidth="1"/>
    <col min="15108" max="15108" width="5.77734375" style="107" customWidth="1"/>
    <col min="15109" max="15109" width="6.77734375" style="107" customWidth="1"/>
    <col min="15110" max="15110" width="4.77734375" style="107" customWidth="1"/>
    <col min="15111" max="15351" width="9" style="107"/>
    <col min="15352" max="15354" width="7.77734375" style="107" customWidth="1"/>
    <col min="15355" max="15355" width="6.77734375" style="107" customWidth="1"/>
    <col min="15356" max="15359" width="7.77734375" style="107" customWidth="1"/>
    <col min="15360" max="15360" width="8.33203125" style="107" customWidth="1"/>
    <col min="15361" max="15361" width="9" style="107" customWidth="1"/>
    <col min="15362" max="15363" width="8.33203125" style="107" customWidth="1"/>
    <col min="15364" max="15364" width="5.77734375" style="107" customWidth="1"/>
    <col min="15365" max="15365" width="6.77734375" style="107" customWidth="1"/>
    <col min="15366" max="15366" width="4.77734375" style="107" customWidth="1"/>
    <col min="15367" max="15607" width="9" style="107"/>
    <col min="15608" max="15610" width="7.77734375" style="107" customWidth="1"/>
    <col min="15611" max="15611" width="6.77734375" style="107" customWidth="1"/>
    <col min="15612" max="15615" width="7.77734375" style="107" customWidth="1"/>
    <col min="15616" max="15616" width="8.33203125" style="107" customWidth="1"/>
    <col min="15617" max="15617" width="9" style="107" customWidth="1"/>
    <col min="15618" max="15619" width="8.33203125" style="107" customWidth="1"/>
    <col min="15620" max="15620" width="5.77734375" style="107" customWidth="1"/>
    <col min="15621" max="15621" width="6.77734375" style="107" customWidth="1"/>
    <col min="15622" max="15622" width="4.77734375" style="107" customWidth="1"/>
    <col min="15623" max="15863" width="9" style="107"/>
    <col min="15864" max="15866" width="7.77734375" style="107" customWidth="1"/>
    <col min="15867" max="15867" width="6.77734375" style="107" customWidth="1"/>
    <col min="15868" max="15871" width="7.77734375" style="107" customWidth="1"/>
    <col min="15872" max="15872" width="8.33203125" style="107" customWidth="1"/>
    <col min="15873" max="15873" width="9" style="107" customWidth="1"/>
    <col min="15874" max="15875" width="8.33203125" style="107" customWidth="1"/>
    <col min="15876" max="15876" width="5.77734375" style="107" customWidth="1"/>
    <col min="15877" max="15877" width="6.77734375" style="107" customWidth="1"/>
    <col min="15878" max="15878" width="4.77734375" style="107" customWidth="1"/>
    <col min="15879" max="16119" width="9" style="107"/>
    <col min="16120" max="16122" width="7.77734375" style="107" customWidth="1"/>
    <col min="16123" max="16123" width="6.77734375" style="107" customWidth="1"/>
    <col min="16124" max="16127" width="7.77734375" style="107" customWidth="1"/>
    <col min="16128" max="16128" width="8.33203125" style="107" customWidth="1"/>
    <col min="16129" max="16129" width="9" style="107" customWidth="1"/>
    <col min="16130" max="16131" width="8.33203125" style="107" customWidth="1"/>
    <col min="16132" max="16132" width="5.77734375" style="107" customWidth="1"/>
    <col min="16133" max="16133" width="6.77734375" style="107" customWidth="1"/>
    <col min="16134" max="16134" width="4.77734375" style="107" customWidth="1"/>
    <col min="16135" max="16384" width="9" style="107"/>
  </cols>
  <sheetData>
    <row r="1" spans="1:6" ht="30" customHeight="1">
      <c r="A1" s="1338" t="s">
        <v>226</v>
      </c>
      <c r="B1" s="1338"/>
      <c r="C1" s="1338"/>
      <c r="D1" s="1338"/>
      <c r="E1" s="1338"/>
      <c r="F1" s="1338"/>
    </row>
    <row r="2" spans="1:6" ht="30" customHeight="1">
      <c r="A2" s="1343" t="s">
        <v>227</v>
      </c>
      <c r="B2" s="1344"/>
      <c r="C2" s="153" t="s">
        <v>232</v>
      </c>
      <c r="D2" s="153" t="s">
        <v>51</v>
      </c>
      <c r="E2" s="153" t="s">
        <v>228</v>
      </c>
      <c r="F2" s="1339" t="s">
        <v>22</v>
      </c>
    </row>
    <row r="3" spans="1:6" ht="30" customHeight="1">
      <c r="A3" s="1345"/>
      <c r="B3" s="1346"/>
      <c r="C3" s="147" t="s">
        <v>5</v>
      </c>
      <c r="D3" s="147" t="s">
        <v>15</v>
      </c>
      <c r="E3" s="147" t="s">
        <v>15</v>
      </c>
      <c r="F3" s="1339"/>
    </row>
    <row r="4" spans="1:6" ht="30" customHeight="1">
      <c r="A4" s="1340" t="s">
        <v>229</v>
      </c>
      <c r="B4" s="115" t="s">
        <v>230</v>
      </c>
      <c r="C4" s="135">
        <f>'성토부 맨홀 수량'!C86</f>
        <v>22</v>
      </c>
      <c r="D4" s="154" t="e">
        <f>#REF!</f>
        <v>#REF!</v>
      </c>
      <c r="E4" s="155" t="e">
        <f>ROUND(C4*D4,2)</f>
        <v>#REF!</v>
      </c>
      <c r="F4" s="134"/>
    </row>
    <row r="5" spans="1:6" ht="30" customHeight="1">
      <c r="A5" s="1341"/>
      <c r="B5" s="132" t="s">
        <v>231</v>
      </c>
      <c r="C5" s="133">
        <f>'성토부 맨홀 수량'!D86</f>
        <v>54</v>
      </c>
      <c r="D5" s="156" t="e">
        <f>#REF!</f>
        <v>#REF!</v>
      </c>
      <c r="E5" s="157" t="e">
        <f>ROUND(C5*D5,2)</f>
        <v>#REF!</v>
      </c>
      <c r="F5" s="158"/>
    </row>
    <row r="6" spans="1:6" s="128" customFormat="1" ht="30" customHeight="1">
      <c r="A6" s="1340" t="s">
        <v>332</v>
      </c>
      <c r="B6" s="115" t="s">
        <v>230</v>
      </c>
      <c r="C6" s="135">
        <f>'성토부 맨홀 수량'!E86</f>
        <v>5</v>
      </c>
      <c r="D6" s="154">
        <f>특2호맨홀단위수량!E46</f>
        <v>0.96799999999999997</v>
      </c>
      <c r="E6" s="155">
        <f>ROUND(C6*D6,2)</f>
        <v>4.84</v>
      </c>
      <c r="F6" s="134"/>
    </row>
    <row r="7" spans="1:6" s="128" customFormat="1" ht="30" customHeight="1">
      <c r="A7" s="1341"/>
      <c r="B7" s="132" t="s">
        <v>231</v>
      </c>
      <c r="C7" s="133">
        <f>'성토부 맨홀 수량'!F86</f>
        <v>1</v>
      </c>
      <c r="D7" s="156">
        <f>특2호맨홀단위수량!E46</f>
        <v>0.96799999999999997</v>
      </c>
      <c r="E7" s="157">
        <f>ROUND(C7*D7,2)</f>
        <v>0.97</v>
      </c>
      <c r="F7" s="158"/>
    </row>
    <row r="8" spans="1:6" ht="30" customHeight="1">
      <c r="A8" s="129" t="s">
        <v>0</v>
      </c>
      <c r="B8" s="159"/>
      <c r="C8" s="160">
        <f>SUM(C4:C7)</f>
        <v>82</v>
      </c>
      <c r="D8" s="160"/>
      <c r="E8" s="161" t="e">
        <f>SUM(E4:E7)</f>
        <v>#REF!</v>
      </c>
      <c r="F8" s="116"/>
    </row>
    <row r="9" spans="1:6" ht="30" customHeight="1">
      <c r="A9" s="1342"/>
      <c r="B9" s="1342"/>
      <c r="C9" s="1342"/>
      <c r="D9" s="1342"/>
      <c r="E9" s="1342"/>
      <c r="F9" s="1342"/>
    </row>
    <row r="10" spans="1:6" ht="30" customHeight="1"/>
    <row r="11" spans="1:6" ht="30" customHeight="1"/>
    <row r="12" spans="1:6" ht="30" customHeight="1"/>
    <row r="13" spans="1:6" ht="30" customHeight="1"/>
    <row r="14" spans="1:6" ht="30" customHeight="1"/>
    <row r="15" spans="1:6" ht="30" customHeight="1"/>
    <row r="16" spans="1:6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</sheetData>
  <mergeCells count="6">
    <mergeCell ref="A1:F1"/>
    <mergeCell ref="F2:F3"/>
    <mergeCell ref="A4:A5"/>
    <mergeCell ref="A9:F9"/>
    <mergeCell ref="A2:B3"/>
    <mergeCell ref="A6:A7"/>
  </mergeCells>
  <phoneticPr fontId="13" type="noConversion"/>
  <printOptions horizontalCentered="1"/>
  <pageMargins left="0.70866141732283472" right="0.70866141732283472" top="0.98425196850393704" bottom="0.74803149606299213" header="0.51181102362204722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0B0F0"/>
  </sheetPr>
  <dimension ref="A1:J89"/>
  <sheetViews>
    <sheetView workbookViewId="0">
      <selection sqref="A1:A3"/>
    </sheetView>
  </sheetViews>
  <sheetFormatPr defaultRowHeight="11.25"/>
  <cols>
    <col min="1" max="1" width="11.44140625" style="105" bestFit="1" customWidth="1"/>
    <col min="2" max="2" width="9.33203125" style="105" customWidth="1"/>
    <col min="3" max="6" width="9.33203125" style="106" customWidth="1"/>
    <col min="7" max="7" width="10.77734375" style="106" customWidth="1"/>
    <col min="8" max="8" width="5.33203125" style="105" bestFit="1" customWidth="1"/>
    <col min="9" max="16384" width="8.88671875" style="106"/>
  </cols>
  <sheetData>
    <row r="1" spans="1:8" s="100" customFormat="1" ht="21" customHeight="1">
      <c r="A1" s="1354" t="s">
        <v>212</v>
      </c>
      <c r="B1" s="1355" t="s">
        <v>213</v>
      </c>
      <c r="C1" s="1356" t="s">
        <v>214</v>
      </c>
      <c r="D1" s="1356"/>
      <c r="E1" s="1356"/>
      <c r="F1" s="1356"/>
      <c r="G1" s="1340" t="s">
        <v>225</v>
      </c>
      <c r="H1" s="1354" t="s">
        <v>215</v>
      </c>
    </row>
    <row r="2" spans="1:8" s="100" customFormat="1" ht="21" customHeight="1">
      <c r="A2" s="1354"/>
      <c r="B2" s="1354"/>
      <c r="C2" s="1356" t="s">
        <v>216</v>
      </c>
      <c r="D2" s="1356"/>
      <c r="E2" s="1357" t="s">
        <v>336</v>
      </c>
      <c r="F2" s="1358"/>
      <c r="G2" s="1359"/>
      <c r="H2" s="1354"/>
    </row>
    <row r="3" spans="1:8" s="100" customFormat="1" ht="21" customHeight="1">
      <c r="A3" s="1354"/>
      <c r="B3" s="1354"/>
      <c r="C3" s="112" t="s">
        <v>217</v>
      </c>
      <c r="D3" s="113" t="s">
        <v>218</v>
      </c>
      <c r="E3" s="112" t="s">
        <v>217</v>
      </c>
      <c r="F3" s="116" t="s">
        <v>218</v>
      </c>
      <c r="G3" s="1360"/>
      <c r="H3" s="1354"/>
    </row>
    <row r="4" spans="1:8" s="100" customFormat="1" ht="20.100000000000001" customHeight="1">
      <c r="A4" s="1352" t="s">
        <v>327</v>
      </c>
      <c r="B4" s="114">
        <v>94</v>
      </c>
      <c r="C4" s="123">
        <v>1.34</v>
      </c>
      <c r="D4" s="121"/>
      <c r="E4" s="186"/>
      <c r="F4" s="198"/>
      <c r="G4" s="191" t="s">
        <v>223</v>
      </c>
      <c r="H4" s="136"/>
    </row>
    <row r="5" spans="1:8" s="127" customFormat="1" ht="20.100000000000001" customHeight="1">
      <c r="A5" s="1350"/>
      <c r="B5" s="118">
        <v>92</v>
      </c>
      <c r="C5" s="124">
        <v>1.83</v>
      </c>
      <c r="D5" s="122"/>
      <c r="E5" s="187"/>
      <c r="F5" s="192"/>
      <c r="G5" s="148" t="s">
        <v>223</v>
      </c>
      <c r="H5" s="117"/>
    </row>
    <row r="6" spans="1:8" s="127" customFormat="1" ht="20.100000000000001" customHeight="1">
      <c r="A6" s="1350"/>
      <c r="B6" s="118">
        <v>91</v>
      </c>
      <c r="C6" s="124">
        <v>1.82</v>
      </c>
      <c r="D6" s="122"/>
      <c r="E6" s="187"/>
      <c r="F6" s="192"/>
      <c r="G6" s="148" t="s">
        <v>223</v>
      </c>
      <c r="H6" s="117"/>
    </row>
    <row r="7" spans="1:8" s="127" customFormat="1" ht="20.100000000000001" customHeight="1">
      <c r="A7" s="1350"/>
      <c r="B7" s="118">
        <v>90</v>
      </c>
      <c r="C7" s="124">
        <v>1.82</v>
      </c>
      <c r="D7" s="122"/>
      <c r="E7" s="187"/>
      <c r="F7" s="192"/>
      <c r="G7" s="148" t="s">
        <v>223</v>
      </c>
      <c r="H7" s="117"/>
    </row>
    <row r="8" spans="1:8" s="127" customFormat="1" ht="20.100000000000001" customHeight="1">
      <c r="A8" s="1350"/>
      <c r="B8" s="118">
        <v>89</v>
      </c>
      <c r="C8" s="124">
        <v>1.83</v>
      </c>
      <c r="D8" s="122"/>
      <c r="E8" s="187"/>
      <c r="F8" s="192"/>
      <c r="G8" s="148" t="s">
        <v>223</v>
      </c>
      <c r="H8" s="117"/>
    </row>
    <row r="9" spans="1:8" s="127" customFormat="1" ht="20.100000000000001" customHeight="1">
      <c r="A9" s="1350"/>
      <c r="B9" s="118">
        <v>69</v>
      </c>
      <c r="C9" s="124">
        <v>3.26</v>
      </c>
      <c r="D9" s="122"/>
      <c r="E9" s="187"/>
      <c r="F9" s="192"/>
      <c r="G9" s="148" t="s">
        <v>223</v>
      </c>
      <c r="H9" s="117"/>
    </row>
    <row r="10" spans="1:8" s="127" customFormat="1" ht="20.100000000000001" customHeight="1">
      <c r="A10" s="1350"/>
      <c r="B10" s="118">
        <v>68</v>
      </c>
      <c r="C10" s="124">
        <v>3.33</v>
      </c>
      <c r="D10" s="122"/>
      <c r="E10" s="187"/>
      <c r="F10" s="192"/>
      <c r="G10" s="148" t="s">
        <v>223</v>
      </c>
      <c r="H10" s="117"/>
    </row>
    <row r="11" spans="1:8" s="127" customFormat="1" ht="20.100000000000001" customHeight="1">
      <c r="A11" s="1350"/>
      <c r="B11" s="118">
        <v>77</v>
      </c>
      <c r="C11" s="124">
        <v>2.31</v>
      </c>
      <c r="D11" s="122"/>
      <c r="E11" s="187"/>
      <c r="F11" s="192"/>
      <c r="G11" s="148" t="s">
        <v>223</v>
      </c>
      <c r="H11" s="117"/>
    </row>
    <row r="12" spans="1:8" s="127" customFormat="1" ht="20.100000000000001" customHeight="1">
      <c r="A12" s="1350"/>
      <c r="B12" s="118">
        <v>78</v>
      </c>
      <c r="C12" s="124">
        <v>1.7</v>
      </c>
      <c r="D12" s="122"/>
      <c r="E12" s="187"/>
      <c r="F12" s="192"/>
      <c r="G12" s="148" t="s">
        <v>223</v>
      </c>
      <c r="H12" s="117"/>
    </row>
    <row r="13" spans="1:8" s="127" customFormat="1" ht="20.100000000000001" customHeight="1">
      <c r="A13" s="1353" t="s">
        <v>307</v>
      </c>
      <c r="B13" s="118">
        <v>2</v>
      </c>
      <c r="C13" s="124"/>
      <c r="D13" s="122">
        <v>2.84</v>
      </c>
      <c r="E13" s="187"/>
      <c r="F13" s="192"/>
      <c r="G13" s="148" t="s">
        <v>223</v>
      </c>
      <c r="H13" s="117"/>
    </row>
    <row r="14" spans="1:8" s="127" customFormat="1" ht="20.100000000000001" customHeight="1">
      <c r="A14" s="1353"/>
      <c r="B14" s="118">
        <v>3</v>
      </c>
      <c r="C14" s="124">
        <v>1.47</v>
      </c>
      <c r="D14" s="122"/>
      <c r="E14" s="187"/>
      <c r="F14" s="192"/>
      <c r="G14" s="148" t="s">
        <v>223</v>
      </c>
      <c r="H14" s="117"/>
    </row>
    <row r="15" spans="1:8" s="127" customFormat="1" ht="20.100000000000001" customHeight="1">
      <c r="A15" s="1353"/>
      <c r="B15" s="118">
        <v>4</v>
      </c>
      <c r="C15" s="124">
        <v>1.31</v>
      </c>
      <c r="D15" s="122"/>
      <c r="E15" s="187"/>
      <c r="F15" s="192"/>
      <c r="G15" s="148" t="s">
        <v>223</v>
      </c>
      <c r="H15" s="117"/>
    </row>
    <row r="16" spans="1:8" s="127" customFormat="1" ht="20.100000000000001" customHeight="1">
      <c r="A16" s="1353"/>
      <c r="B16" s="118">
        <v>5</v>
      </c>
      <c r="C16" s="124">
        <v>1.5</v>
      </c>
      <c r="D16" s="122"/>
      <c r="E16" s="187"/>
      <c r="F16" s="192"/>
      <c r="G16" s="148" t="s">
        <v>223</v>
      </c>
      <c r="H16" s="117"/>
    </row>
    <row r="17" spans="1:8" s="127" customFormat="1" ht="20.100000000000001" customHeight="1">
      <c r="A17" s="1353"/>
      <c r="B17" s="118">
        <v>6</v>
      </c>
      <c r="C17" s="124">
        <v>1.29</v>
      </c>
      <c r="D17" s="122"/>
      <c r="E17" s="187"/>
      <c r="F17" s="192"/>
      <c r="G17" s="148" t="s">
        <v>223</v>
      </c>
      <c r="H17" s="117"/>
    </row>
    <row r="18" spans="1:8" s="127" customFormat="1" ht="20.100000000000001" customHeight="1">
      <c r="A18" s="1353"/>
      <c r="B18" s="118">
        <v>7</v>
      </c>
      <c r="C18" s="124"/>
      <c r="D18" s="122">
        <v>1.35</v>
      </c>
      <c r="E18" s="187"/>
      <c r="F18" s="192"/>
      <c r="G18" s="148" t="s">
        <v>223</v>
      </c>
      <c r="H18" s="117"/>
    </row>
    <row r="19" spans="1:8" s="127" customFormat="1" ht="20.100000000000001" customHeight="1">
      <c r="A19" s="1353"/>
      <c r="B19" s="118">
        <v>8</v>
      </c>
      <c r="C19" s="124">
        <v>1.34</v>
      </c>
      <c r="D19" s="122"/>
      <c r="E19" s="187"/>
      <c r="F19" s="192"/>
      <c r="G19" s="148" t="s">
        <v>223</v>
      </c>
      <c r="H19" s="117"/>
    </row>
    <row r="20" spans="1:8" s="127" customFormat="1" ht="20.100000000000001" customHeight="1">
      <c r="A20" s="1353" t="s">
        <v>322</v>
      </c>
      <c r="B20" s="118">
        <v>87</v>
      </c>
      <c r="C20" s="124">
        <v>1.82</v>
      </c>
      <c r="D20" s="122"/>
      <c r="E20" s="187"/>
      <c r="F20" s="192"/>
      <c r="G20" s="148" t="s">
        <v>223</v>
      </c>
      <c r="H20" s="117"/>
    </row>
    <row r="21" spans="1:8" s="127" customFormat="1" ht="20.100000000000001" customHeight="1">
      <c r="A21" s="1353"/>
      <c r="B21" s="118">
        <v>1</v>
      </c>
      <c r="C21" s="124">
        <v>1.34</v>
      </c>
      <c r="D21" s="122"/>
      <c r="E21" s="187"/>
      <c r="F21" s="192"/>
      <c r="G21" s="148" t="s">
        <v>223</v>
      </c>
      <c r="H21" s="117"/>
    </row>
    <row r="22" spans="1:8" s="127" customFormat="1" ht="20.100000000000001" customHeight="1">
      <c r="A22" s="194" t="s">
        <v>308</v>
      </c>
      <c r="B22" s="118">
        <v>30</v>
      </c>
      <c r="C22" s="124">
        <v>2.6</v>
      </c>
      <c r="D22" s="122"/>
      <c r="E22" s="187"/>
      <c r="F22" s="192"/>
      <c r="G22" s="148" t="s">
        <v>223</v>
      </c>
      <c r="H22" s="117"/>
    </row>
    <row r="23" spans="1:8" s="127" customFormat="1" ht="20.100000000000001" customHeight="1">
      <c r="A23" s="1353" t="s">
        <v>309</v>
      </c>
      <c r="B23" s="118">
        <v>29</v>
      </c>
      <c r="C23" s="124">
        <v>3.75</v>
      </c>
      <c r="D23" s="122"/>
      <c r="E23" s="187"/>
      <c r="F23" s="192"/>
      <c r="G23" s="148" t="s">
        <v>223</v>
      </c>
      <c r="H23" s="117"/>
    </row>
    <row r="24" spans="1:8" s="127" customFormat="1" ht="20.100000000000001" customHeight="1">
      <c r="A24" s="1350"/>
      <c r="B24" s="118">
        <v>28</v>
      </c>
      <c r="C24" s="124">
        <v>2.13</v>
      </c>
      <c r="D24" s="122"/>
      <c r="E24" s="187"/>
      <c r="F24" s="192"/>
      <c r="G24" s="148" t="s">
        <v>223</v>
      </c>
      <c r="H24" s="117"/>
    </row>
    <row r="25" spans="1:8" s="127" customFormat="1" ht="20.100000000000001" customHeight="1">
      <c r="A25" s="195" t="s">
        <v>328</v>
      </c>
      <c r="B25" s="118">
        <v>47</v>
      </c>
      <c r="C25" s="124"/>
      <c r="D25" s="122">
        <v>1.22</v>
      </c>
      <c r="E25" s="187"/>
      <c r="F25" s="192"/>
      <c r="G25" s="148" t="s">
        <v>223</v>
      </c>
      <c r="H25" s="117"/>
    </row>
    <row r="26" spans="1:8" s="127" customFormat="1" ht="20.100000000000001" customHeight="1">
      <c r="A26" s="1353" t="s">
        <v>310</v>
      </c>
      <c r="B26" s="118">
        <v>23</v>
      </c>
      <c r="C26" s="124">
        <v>1.35</v>
      </c>
      <c r="D26" s="122"/>
      <c r="E26" s="187"/>
      <c r="F26" s="192"/>
      <c r="G26" s="148" t="s">
        <v>223</v>
      </c>
      <c r="H26" s="117"/>
    </row>
    <row r="27" spans="1:8" s="127" customFormat="1" ht="20.100000000000001" customHeight="1">
      <c r="A27" s="1353"/>
      <c r="B27" s="118">
        <v>22</v>
      </c>
      <c r="C27" s="124">
        <v>3.46</v>
      </c>
      <c r="D27" s="122"/>
      <c r="E27" s="187"/>
      <c r="F27" s="192"/>
      <c r="G27" s="148" t="s">
        <v>223</v>
      </c>
      <c r="H27" s="117"/>
    </row>
    <row r="28" spans="1:8" s="127" customFormat="1" ht="20.100000000000001" customHeight="1">
      <c r="A28" s="1353" t="s">
        <v>311</v>
      </c>
      <c r="B28" s="118">
        <v>21</v>
      </c>
      <c r="C28" s="124"/>
      <c r="D28" s="122">
        <v>1.22</v>
      </c>
      <c r="E28" s="187"/>
      <c r="F28" s="192"/>
      <c r="G28" s="148" t="s">
        <v>223</v>
      </c>
      <c r="H28" s="117"/>
    </row>
    <row r="29" spans="1:8" s="127" customFormat="1" ht="20.100000000000001" customHeight="1">
      <c r="A29" s="1353"/>
      <c r="B29" s="118">
        <v>18</v>
      </c>
      <c r="C29" s="124"/>
      <c r="D29" s="122">
        <v>1.48</v>
      </c>
      <c r="E29" s="187"/>
      <c r="F29" s="192"/>
      <c r="G29" s="148" t="s">
        <v>223</v>
      </c>
      <c r="H29" s="117"/>
    </row>
    <row r="30" spans="1:8" s="127" customFormat="1" ht="20.100000000000001" customHeight="1">
      <c r="A30" s="194" t="s">
        <v>207</v>
      </c>
      <c r="B30" s="118">
        <v>17</v>
      </c>
      <c r="C30" s="124"/>
      <c r="D30" s="122">
        <v>3.27</v>
      </c>
      <c r="E30" s="187"/>
      <c r="F30" s="192"/>
      <c r="G30" s="148" t="s">
        <v>223</v>
      </c>
      <c r="H30" s="117"/>
    </row>
    <row r="31" spans="1:8" s="127" customFormat="1" ht="20.100000000000001" customHeight="1">
      <c r="A31" s="1350" t="s">
        <v>312</v>
      </c>
      <c r="B31" s="118">
        <v>74</v>
      </c>
      <c r="C31" s="124"/>
      <c r="D31" s="122">
        <v>1.41</v>
      </c>
      <c r="E31" s="187"/>
      <c r="F31" s="192"/>
      <c r="G31" s="148" t="s">
        <v>223</v>
      </c>
      <c r="H31" s="117"/>
    </row>
    <row r="32" spans="1:8" s="127" customFormat="1" ht="20.100000000000001" customHeight="1">
      <c r="A32" s="1350"/>
      <c r="B32" s="118">
        <v>72</v>
      </c>
      <c r="C32" s="124"/>
      <c r="D32" s="122">
        <v>1.97</v>
      </c>
      <c r="E32" s="187"/>
      <c r="F32" s="192"/>
      <c r="G32" s="148" t="s">
        <v>223</v>
      </c>
      <c r="H32" s="117"/>
    </row>
    <row r="33" spans="1:8" s="127" customFormat="1" ht="20.100000000000001" customHeight="1">
      <c r="A33" s="1350"/>
      <c r="B33" s="118">
        <v>73</v>
      </c>
      <c r="C33" s="124"/>
      <c r="D33" s="122">
        <v>1.34</v>
      </c>
      <c r="E33" s="187"/>
      <c r="F33" s="192"/>
      <c r="G33" s="148" t="s">
        <v>223</v>
      </c>
      <c r="H33" s="117"/>
    </row>
    <row r="34" spans="1:8" s="127" customFormat="1" ht="20.100000000000001" customHeight="1">
      <c r="A34" s="197" t="s">
        <v>313</v>
      </c>
      <c r="B34" s="120">
        <v>71</v>
      </c>
      <c r="C34" s="125"/>
      <c r="D34" s="126">
        <v>2.19</v>
      </c>
      <c r="E34" s="189"/>
      <c r="F34" s="193"/>
      <c r="G34" s="149" t="s">
        <v>223</v>
      </c>
      <c r="H34" s="137"/>
    </row>
    <row r="35" spans="1:8" s="127" customFormat="1" ht="20.100000000000001" customHeight="1">
      <c r="A35" s="1352" t="s">
        <v>208</v>
      </c>
      <c r="B35" s="114">
        <v>75</v>
      </c>
      <c r="C35" s="123"/>
      <c r="D35" s="121">
        <v>1.4</v>
      </c>
      <c r="E35" s="186"/>
      <c r="F35" s="198"/>
      <c r="G35" s="191" t="s">
        <v>223</v>
      </c>
      <c r="H35" s="136"/>
    </row>
    <row r="36" spans="1:8" s="127" customFormat="1" ht="20.100000000000001" customHeight="1">
      <c r="A36" s="1350"/>
      <c r="B36" s="118">
        <v>76</v>
      </c>
      <c r="C36" s="124"/>
      <c r="D36" s="122">
        <v>1.33</v>
      </c>
      <c r="E36" s="187"/>
      <c r="F36" s="192"/>
      <c r="G36" s="148" t="s">
        <v>223</v>
      </c>
      <c r="H36" s="117"/>
    </row>
    <row r="37" spans="1:8" s="127" customFormat="1" ht="20.100000000000001" customHeight="1">
      <c r="A37" s="1350" t="s">
        <v>326</v>
      </c>
      <c r="B37" s="118">
        <v>55</v>
      </c>
      <c r="C37" s="124"/>
      <c r="D37" s="122">
        <v>2.57</v>
      </c>
      <c r="E37" s="187"/>
      <c r="F37" s="192"/>
      <c r="G37" s="148" t="s">
        <v>223</v>
      </c>
      <c r="H37" s="117"/>
    </row>
    <row r="38" spans="1:8" s="127" customFormat="1" ht="20.100000000000001" customHeight="1">
      <c r="A38" s="1350"/>
      <c r="B38" s="118">
        <v>56</v>
      </c>
      <c r="C38" s="124"/>
      <c r="D38" s="122">
        <v>2.33</v>
      </c>
      <c r="E38" s="187"/>
      <c r="F38" s="192"/>
      <c r="G38" s="148" t="s">
        <v>223</v>
      </c>
      <c r="H38" s="117"/>
    </row>
    <row r="39" spans="1:8" s="127" customFormat="1" ht="20.100000000000001" customHeight="1">
      <c r="A39" s="1350"/>
      <c r="B39" s="118">
        <v>57</v>
      </c>
      <c r="C39" s="124"/>
      <c r="D39" s="122">
        <v>2.0699999999999998</v>
      </c>
      <c r="E39" s="187"/>
      <c r="F39" s="192"/>
      <c r="G39" s="148" t="s">
        <v>223</v>
      </c>
      <c r="H39" s="117"/>
    </row>
    <row r="40" spans="1:8" s="127" customFormat="1" ht="20.100000000000001" customHeight="1">
      <c r="A40" s="1350"/>
      <c r="B40" s="118">
        <v>58</v>
      </c>
      <c r="C40" s="124"/>
      <c r="D40" s="122">
        <v>1.71</v>
      </c>
      <c r="E40" s="187"/>
      <c r="F40" s="192"/>
      <c r="G40" s="148" t="s">
        <v>223</v>
      </c>
      <c r="H40" s="117"/>
    </row>
    <row r="41" spans="1:8" s="127" customFormat="1" ht="20.100000000000001" customHeight="1">
      <c r="A41" s="1350"/>
      <c r="B41" s="118">
        <v>59</v>
      </c>
      <c r="C41" s="124"/>
      <c r="D41" s="122">
        <v>1.47</v>
      </c>
      <c r="E41" s="187"/>
      <c r="F41" s="192"/>
      <c r="G41" s="148" t="s">
        <v>223</v>
      </c>
      <c r="H41" s="117"/>
    </row>
    <row r="42" spans="1:8" s="127" customFormat="1" ht="20.100000000000001" customHeight="1">
      <c r="A42" s="1350"/>
      <c r="B42" s="118">
        <v>60</v>
      </c>
      <c r="C42" s="124"/>
      <c r="D42" s="122">
        <v>1.22</v>
      </c>
      <c r="E42" s="187"/>
      <c r="F42" s="192"/>
      <c r="G42" s="148" t="s">
        <v>223</v>
      </c>
      <c r="H42" s="117"/>
    </row>
    <row r="43" spans="1:8" s="127" customFormat="1" ht="20.100000000000001" customHeight="1">
      <c r="A43" s="1350" t="s">
        <v>314</v>
      </c>
      <c r="B43" s="118">
        <v>49</v>
      </c>
      <c r="C43" s="124"/>
      <c r="D43" s="122">
        <v>2.23</v>
      </c>
      <c r="E43" s="187"/>
      <c r="F43" s="192"/>
      <c r="G43" s="148" t="s">
        <v>223</v>
      </c>
      <c r="H43" s="117"/>
    </row>
    <row r="44" spans="1:8" s="127" customFormat="1" ht="20.100000000000001" customHeight="1">
      <c r="A44" s="1350"/>
      <c r="B44" s="118">
        <v>50</v>
      </c>
      <c r="C44" s="124"/>
      <c r="D44" s="122">
        <v>1.82</v>
      </c>
      <c r="E44" s="187"/>
      <c r="F44" s="192"/>
      <c r="G44" s="148" t="s">
        <v>223</v>
      </c>
      <c r="H44" s="117"/>
    </row>
    <row r="45" spans="1:8" s="100" customFormat="1" ht="20.100000000000001" customHeight="1">
      <c r="A45" s="1350"/>
      <c r="B45" s="118">
        <v>51</v>
      </c>
      <c r="C45" s="124"/>
      <c r="D45" s="122">
        <v>1.22</v>
      </c>
      <c r="E45" s="187"/>
      <c r="F45" s="192"/>
      <c r="G45" s="148" t="s">
        <v>223</v>
      </c>
      <c r="H45" s="117"/>
    </row>
    <row r="46" spans="1:8" s="100" customFormat="1" ht="20.100000000000001" customHeight="1">
      <c r="A46" s="1350"/>
      <c r="B46" s="118">
        <v>52</v>
      </c>
      <c r="C46" s="124"/>
      <c r="D46" s="122">
        <v>1.22</v>
      </c>
      <c r="E46" s="187"/>
      <c r="F46" s="192"/>
      <c r="G46" s="148" t="s">
        <v>223</v>
      </c>
      <c r="H46" s="117"/>
    </row>
    <row r="47" spans="1:8" s="100" customFormat="1" ht="20.100000000000001" customHeight="1">
      <c r="A47" s="1350"/>
      <c r="B47" s="118">
        <v>53</v>
      </c>
      <c r="C47" s="124"/>
      <c r="D47" s="122">
        <v>1.22</v>
      </c>
      <c r="E47" s="187"/>
      <c r="F47" s="192"/>
      <c r="G47" s="148" t="s">
        <v>223</v>
      </c>
      <c r="H47" s="117"/>
    </row>
    <row r="48" spans="1:8" s="100" customFormat="1" ht="20.100000000000001" customHeight="1">
      <c r="A48" s="1350"/>
      <c r="B48" s="118">
        <v>54</v>
      </c>
      <c r="C48" s="124"/>
      <c r="D48" s="122">
        <v>1.22</v>
      </c>
      <c r="E48" s="187"/>
      <c r="F48" s="192"/>
      <c r="G48" s="148" t="s">
        <v>223</v>
      </c>
      <c r="H48" s="117"/>
    </row>
    <row r="49" spans="1:8" s="100" customFormat="1" ht="20.100000000000001" customHeight="1">
      <c r="A49" s="1350"/>
      <c r="B49" s="118">
        <v>66</v>
      </c>
      <c r="C49" s="124"/>
      <c r="D49" s="122">
        <v>1.22</v>
      </c>
      <c r="E49" s="187"/>
      <c r="F49" s="192"/>
      <c r="G49" s="148" t="s">
        <v>223</v>
      </c>
      <c r="H49" s="117"/>
    </row>
    <row r="50" spans="1:8" s="100" customFormat="1" ht="20.100000000000001" customHeight="1">
      <c r="A50" s="1350"/>
      <c r="B50" s="118">
        <v>65</v>
      </c>
      <c r="C50" s="124"/>
      <c r="D50" s="122">
        <v>1.41</v>
      </c>
      <c r="E50" s="187"/>
      <c r="F50" s="192"/>
      <c r="G50" s="148" t="s">
        <v>223</v>
      </c>
      <c r="H50" s="117"/>
    </row>
    <row r="51" spans="1:8" s="100" customFormat="1" ht="20.100000000000001" customHeight="1">
      <c r="A51" s="1350"/>
      <c r="B51" s="118">
        <v>64</v>
      </c>
      <c r="C51" s="124"/>
      <c r="D51" s="122">
        <v>1.73</v>
      </c>
      <c r="E51" s="187"/>
      <c r="F51" s="192"/>
      <c r="G51" s="148" t="s">
        <v>223</v>
      </c>
      <c r="H51" s="117"/>
    </row>
    <row r="52" spans="1:8" s="100" customFormat="1" ht="20.100000000000001" customHeight="1">
      <c r="A52" s="1350"/>
      <c r="B52" s="118">
        <v>63</v>
      </c>
      <c r="C52" s="124"/>
      <c r="D52" s="122">
        <v>2.0099999999999998</v>
      </c>
      <c r="E52" s="187"/>
      <c r="F52" s="192"/>
      <c r="G52" s="148" t="s">
        <v>223</v>
      </c>
      <c r="H52" s="117"/>
    </row>
    <row r="53" spans="1:8" s="100" customFormat="1" ht="20.100000000000001" customHeight="1">
      <c r="A53" s="1350"/>
      <c r="B53" s="118">
        <v>62</v>
      </c>
      <c r="C53" s="124"/>
      <c r="D53" s="122">
        <v>2.56</v>
      </c>
      <c r="E53" s="187"/>
      <c r="F53" s="192"/>
      <c r="G53" s="148" t="s">
        <v>223</v>
      </c>
      <c r="H53" s="117"/>
    </row>
    <row r="54" spans="1:8" s="100" customFormat="1" ht="20.100000000000001" customHeight="1">
      <c r="A54" s="1350" t="s">
        <v>320</v>
      </c>
      <c r="B54" s="118">
        <v>120</v>
      </c>
      <c r="C54" s="124"/>
      <c r="D54" s="122">
        <v>2.1800000000000002</v>
      </c>
      <c r="E54" s="187"/>
      <c r="F54" s="192"/>
      <c r="G54" s="148" t="s">
        <v>223</v>
      </c>
      <c r="H54" s="117"/>
    </row>
    <row r="55" spans="1:8" s="100" customFormat="1" ht="20.100000000000001" customHeight="1">
      <c r="A55" s="1350"/>
      <c r="B55" s="118">
        <v>121</v>
      </c>
      <c r="C55" s="124"/>
      <c r="D55" s="122">
        <v>1.86</v>
      </c>
      <c r="E55" s="187"/>
      <c r="F55" s="192"/>
      <c r="G55" s="148" t="s">
        <v>223</v>
      </c>
      <c r="H55" s="117"/>
    </row>
    <row r="56" spans="1:8" s="100" customFormat="1" ht="20.100000000000001" customHeight="1">
      <c r="A56" s="1350"/>
      <c r="B56" s="118">
        <v>122</v>
      </c>
      <c r="C56" s="124"/>
      <c r="D56" s="122">
        <v>2.39</v>
      </c>
      <c r="E56" s="187"/>
      <c r="F56" s="192"/>
      <c r="G56" s="148" t="s">
        <v>223</v>
      </c>
      <c r="H56" s="117"/>
    </row>
    <row r="57" spans="1:8" s="100" customFormat="1" ht="20.100000000000001" customHeight="1">
      <c r="A57" s="1350"/>
      <c r="B57" s="118">
        <v>123</v>
      </c>
      <c r="C57" s="124"/>
      <c r="D57" s="122">
        <v>1.43</v>
      </c>
      <c r="E57" s="187"/>
      <c r="F57" s="192"/>
      <c r="G57" s="148" t="s">
        <v>223</v>
      </c>
      <c r="H57" s="117"/>
    </row>
    <row r="58" spans="1:8" s="100" customFormat="1" ht="20.100000000000001" customHeight="1">
      <c r="A58" s="1350"/>
      <c r="B58" s="118">
        <v>124</v>
      </c>
      <c r="C58" s="124"/>
      <c r="D58" s="122">
        <v>1.43</v>
      </c>
      <c r="E58" s="187"/>
      <c r="F58" s="192"/>
      <c r="G58" s="148" t="s">
        <v>223</v>
      </c>
      <c r="H58" s="117"/>
    </row>
    <row r="59" spans="1:8" s="100" customFormat="1" ht="20.100000000000001" customHeight="1">
      <c r="A59" s="1350" t="s">
        <v>324</v>
      </c>
      <c r="B59" s="118">
        <v>137</v>
      </c>
      <c r="C59" s="124"/>
      <c r="D59" s="122">
        <v>2.1800000000000002</v>
      </c>
      <c r="E59" s="187"/>
      <c r="F59" s="192"/>
      <c r="G59" s="148" t="s">
        <v>223</v>
      </c>
      <c r="H59" s="117"/>
    </row>
    <row r="60" spans="1:8" s="100" customFormat="1" ht="20.100000000000001" customHeight="1">
      <c r="A60" s="1350"/>
      <c r="B60" s="118">
        <v>136</v>
      </c>
      <c r="C60" s="124"/>
      <c r="D60" s="122">
        <v>2.1800000000000002</v>
      </c>
      <c r="E60" s="187"/>
      <c r="F60" s="192"/>
      <c r="G60" s="148" t="s">
        <v>223</v>
      </c>
      <c r="H60" s="117"/>
    </row>
    <row r="61" spans="1:8" s="100" customFormat="1" ht="20.100000000000001" customHeight="1">
      <c r="A61" s="1350"/>
      <c r="B61" s="118">
        <v>135</v>
      </c>
      <c r="C61" s="124"/>
      <c r="D61" s="122">
        <v>2.93</v>
      </c>
      <c r="E61" s="187"/>
      <c r="F61" s="192"/>
      <c r="G61" s="148" t="s">
        <v>223</v>
      </c>
      <c r="H61" s="117"/>
    </row>
    <row r="62" spans="1:8" s="100" customFormat="1" ht="20.100000000000001" customHeight="1">
      <c r="A62" s="1350"/>
      <c r="B62" s="118">
        <v>134</v>
      </c>
      <c r="C62" s="124"/>
      <c r="D62" s="122">
        <v>2.92</v>
      </c>
      <c r="E62" s="187"/>
      <c r="F62" s="192"/>
      <c r="G62" s="148" t="s">
        <v>223</v>
      </c>
      <c r="H62" s="117"/>
    </row>
    <row r="63" spans="1:8" s="100" customFormat="1" ht="20.100000000000001" customHeight="1">
      <c r="A63" s="1350"/>
      <c r="B63" s="118">
        <v>130</v>
      </c>
      <c r="C63" s="124"/>
      <c r="D63" s="122">
        <v>3.34</v>
      </c>
      <c r="E63" s="187"/>
      <c r="F63" s="192"/>
      <c r="G63" s="148" t="s">
        <v>223</v>
      </c>
      <c r="H63" s="117"/>
    </row>
    <row r="64" spans="1:8" s="100" customFormat="1" ht="20.100000000000001" customHeight="1">
      <c r="A64" s="1350"/>
      <c r="B64" s="118">
        <v>129</v>
      </c>
      <c r="C64" s="124"/>
      <c r="D64" s="122">
        <v>3.34</v>
      </c>
      <c r="E64" s="187"/>
      <c r="F64" s="192"/>
      <c r="G64" s="148" t="s">
        <v>223</v>
      </c>
      <c r="H64" s="117"/>
    </row>
    <row r="65" spans="1:8" s="100" customFormat="1" ht="20.100000000000001" customHeight="1">
      <c r="A65" s="1351"/>
      <c r="B65" s="120">
        <v>128</v>
      </c>
      <c r="C65" s="125"/>
      <c r="D65" s="126">
        <v>3.34</v>
      </c>
      <c r="E65" s="189"/>
      <c r="F65" s="193"/>
      <c r="G65" s="149" t="s">
        <v>223</v>
      </c>
      <c r="H65" s="137"/>
    </row>
    <row r="66" spans="1:8" s="100" customFormat="1" ht="24.95" customHeight="1">
      <c r="A66" s="1352" t="s">
        <v>315</v>
      </c>
      <c r="B66" s="114">
        <v>125</v>
      </c>
      <c r="C66" s="123"/>
      <c r="D66" s="121">
        <v>2.8</v>
      </c>
      <c r="E66" s="186"/>
      <c r="F66" s="198"/>
      <c r="G66" s="191" t="s">
        <v>223</v>
      </c>
      <c r="H66" s="136"/>
    </row>
    <row r="67" spans="1:8" s="100" customFormat="1" ht="24.95" customHeight="1">
      <c r="A67" s="1350"/>
      <c r="B67" s="118">
        <v>126</v>
      </c>
      <c r="C67" s="124"/>
      <c r="D67" s="122">
        <v>1.53</v>
      </c>
      <c r="E67" s="187"/>
      <c r="F67" s="192"/>
      <c r="G67" s="148" t="s">
        <v>223</v>
      </c>
      <c r="H67" s="117"/>
    </row>
    <row r="68" spans="1:8" s="100" customFormat="1" ht="24.95" customHeight="1">
      <c r="A68" s="1350" t="s">
        <v>316</v>
      </c>
      <c r="B68" s="118">
        <v>39</v>
      </c>
      <c r="C68" s="124"/>
      <c r="D68" s="122">
        <v>2.2000000000000002</v>
      </c>
      <c r="E68" s="187"/>
      <c r="F68" s="192"/>
      <c r="G68" s="148" t="s">
        <v>223</v>
      </c>
      <c r="H68" s="117"/>
    </row>
    <row r="69" spans="1:8" s="100" customFormat="1" ht="24.95" customHeight="1">
      <c r="A69" s="1350"/>
      <c r="B69" s="118">
        <v>40</v>
      </c>
      <c r="C69" s="124"/>
      <c r="D69" s="122">
        <v>2.62</v>
      </c>
      <c r="E69" s="187"/>
      <c r="F69" s="192"/>
      <c r="G69" s="148" t="s">
        <v>223</v>
      </c>
      <c r="H69" s="117"/>
    </row>
    <row r="70" spans="1:8" s="100" customFormat="1" ht="24.95" customHeight="1">
      <c r="A70" s="1350"/>
      <c r="B70" s="118">
        <v>41</v>
      </c>
      <c r="C70" s="124"/>
      <c r="D70" s="122">
        <v>1.22</v>
      </c>
      <c r="E70" s="187"/>
      <c r="F70" s="192"/>
      <c r="G70" s="148" t="s">
        <v>223</v>
      </c>
      <c r="H70" s="117"/>
    </row>
    <row r="71" spans="1:8" s="100" customFormat="1" ht="24.95" customHeight="1">
      <c r="A71" s="1350"/>
      <c r="B71" s="118">
        <v>42</v>
      </c>
      <c r="C71" s="124"/>
      <c r="D71" s="122">
        <v>1.22</v>
      </c>
      <c r="E71" s="187"/>
      <c r="F71" s="192"/>
      <c r="G71" s="148" t="s">
        <v>223</v>
      </c>
      <c r="H71" s="117"/>
    </row>
    <row r="72" spans="1:8" s="100" customFormat="1" ht="24.95" customHeight="1">
      <c r="A72" s="1350" t="s">
        <v>317</v>
      </c>
      <c r="B72" s="118">
        <v>133</v>
      </c>
      <c r="C72" s="124"/>
      <c r="D72" s="122">
        <v>1.55</v>
      </c>
      <c r="E72" s="187"/>
      <c r="F72" s="192"/>
      <c r="G72" s="148" t="s">
        <v>223</v>
      </c>
      <c r="H72" s="117"/>
    </row>
    <row r="73" spans="1:8" s="100" customFormat="1" ht="24.95" customHeight="1">
      <c r="A73" s="1350"/>
      <c r="B73" s="118">
        <v>132</v>
      </c>
      <c r="C73" s="124"/>
      <c r="D73" s="122">
        <v>1.55</v>
      </c>
      <c r="E73" s="187"/>
      <c r="F73" s="192"/>
      <c r="G73" s="148" t="s">
        <v>223</v>
      </c>
      <c r="H73" s="117"/>
    </row>
    <row r="74" spans="1:8" s="100" customFormat="1" ht="24.95" customHeight="1">
      <c r="A74" s="1350"/>
      <c r="B74" s="118">
        <v>131</v>
      </c>
      <c r="C74" s="124"/>
      <c r="D74" s="122">
        <v>1.9</v>
      </c>
      <c r="E74" s="187"/>
      <c r="F74" s="192"/>
      <c r="G74" s="148" t="s">
        <v>223</v>
      </c>
      <c r="H74" s="117"/>
    </row>
    <row r="75" spans="1:8" s="100" customFormat="1" ht="24.95" customHeight="1">
      <c r="A75" s="1350" t="s">
        <v>318</v>
      </c>
      <c r="B75" s="118">
        <v>119</v>
      </c>
      <c r="C75" s="124"/>
      <c r="D75" s="122">
        <v>1.34</v>
      </c>
      <c r="E75" s="187"/>
      <c r="F75" s="192"/>
      <c r="G75" s="148" t="s">
        <v>223</v>
      </c>
      <c r="H75" s="117"/>
    </row>
    <row r="76" spans="1:8" s="100" customFormat="1" ht="24.95" customHeight="1">
      <c r="A76" s="1350"/>
      <c r="B76" s="118">
        <v>118</v>
      </c>
      <c r="C76" s="124"/>
      <c r="D76" s="122">
        <v>1.36</v>
      </c>
      <c r="E76" s="187"/>
      <c r="F76" s="192"/>
      <c r="G76" s="148" t="s">
        <v>223</v>
      </c>
      <c r="H76" s="117"/>
    </row>
    <row r="77" spans="1:8" s="100" customFormat="1" ht="24.95" customHeight="1">
      <c r="A77" s="1350"/>
      <c r="B77" s="118">
        <v>117</v>
      </c>
      <c r="C77" s="124"/>
      <c r="D77" s="122">
        <v>2.85</v>
      </c>
      <c r="E77" s="187"/>
      <c r="F77" s="192"/>
      <c r="G77" s="148" t="s">
        <v>223</v>
      </c>
      <c r="H77" s="117"/>
    </row>
    <row r="78" spans="1:8" s="100" customFormat="1" ht="20.100000000000001" customHeight="1">
      <c r="A78" s="194" t="s">
        <v>329</v>
      </c>
      <c r="B78" s="118">
        <v>26</v>
      </c>
      <c r="C78" s="124"/>
      <c r="D78" s="122">
        <v>2.13</v>
      </c>
      <c r="E78" s="187"/>
      <c r="F78" s="192"/>
      <c r="G78" s="148" t="s">
        <v>223</v>
      </c>
      <c r="H78" s="117"/>
    </row>
    <row r="79" spans="1:8" s="100" customFormat="1" ht="20.100000000000001" customHeight="1">
      <c r="A79" s="194" t="s">
        <v>319</v>
      </c>
      <c r="B79" s="118">
        <v>67</v>
      </c>
      <c r="C79" s="124">
        <v>3.73</v>
      </c>
      <c r="D79" s="122"/>
      <c r="E79" s="187"/>
      <c r="F79" s="192"/>
      <c r="G79" s="148" t="s">
        <v>223</v>
      </c>
      <c r="H79" s="117"/>
    </row>
    <row r="80" spans="1:8" s="100" customFormat="1" ht="20.100000000000001" customHeight="1">
      <c r="A80" s="194" t="s">
        <v>321</v>
      </c>
      <c r="B80" s="130">
        <v>14</v>
      </c>
      <c r="C80" s="138"/>
      <c r="D80" s="199"/>
      <c r="E80" s="187">
        <v>3.71</v>
      </c>
      <c r="F80" s="119"/>
      <c r="G80" s="148" t="s">
        <v>223</v>
      </c>
      <c r="H80" s="117"/>
    </row>
    <row r="81" spans="1:10" s="100" customFormat="1" ht="20.100000000000001" customHeight="1">
      <c r="A81" s="194" t="s">
        <v>333</v>
      </c>
      <c r="B81" s="130">
        <v>4</v>
      </c>
      <c r="C81" s="138"/>
      <c r="D81" s="188"/>
      <c r="E81" s="187">
        <v>4.3600000000000003</v>
      </c>
      <c r="F81" s="192"/>
      <c r="G81" s="148" t="s">
        <v>224</v>
      </c>
      <c r="H81" s="117"/>
    </row>
    <row r="82" spans="1:10" s="100" customFormat="1" ht="20.100000000000001" customHeight="1">
      <c r="A82" s="194" t="s">
        <v>323</v>
      </c>
      <c r="B82" s="130">
        <v>3</v>
      </c>
      <c r="C82" s="138"/>
      <c r="D82" s="188"/>
      <c r="E82" s="187">
        <v>4.63</v>
      </c>
      <c r="F82" s="192"/>
      <c r="G82" s="148" t="s">
        <v>224</v>
      </c>
      <c r="H82" s="117"/>
    </row>
    <row r="83" spans="1:10" s="100" customFormat="1" ht="20.100000000000001" customHeight="1">
      <c r="A83" s="194" t="s">
        <v>330</v>
      </c>
      <c r="B83" s="130">
        <v>17</v>
      </c>
      <c r="C83" s="138"/>
      <c r="D83" s="188"/>
      <c r="E83" s="187"/>
      <c r="F83" s="192">
        <v>3.36</v>
      </c>
      <c r="G83" s="148" t="s">
        <v>224</v>
      </c>
      <c r="H83" s="117"/>
    </row>
    <row r="84" spans="1:10" s="100" customFormat="1" ht="21" customHeight="1">
      <c r="A84" s="1350" t="s">
        <v>325</v>
      </c>
      <c r="B84" s="130">
        <v>5</v>
      </c>
      <c r="C84" s="138"/>
      <c r="D84" s="188"/>
      <c r="E84" s="187">
        <v>4.21</v>
      </c>
      <c r="F84" s="192"/>
      <c r="G84" s="148" t="s">
        <v>224</v>
      </c>
      <c r="H84" s="117"/>
    </row>
    <row r="85" spans="1:10" s="100" customFormat="1" ht="21" customHeight="1">
      <c r="A85" s="1351"/>
      <c r="B85" s="131">
        <v>6</v>
      </c>
      <c r="C85" s="196"/>
      <c r="D85" s="190"/>
      <c r="E85" s="189">
        <v>4.2</v>
      </c>
      <c r="F85" s="193"/>
      <c r="G85" s="149" t="s">
        <v>224</v>
      </c>
      <c r="H85" s="137"/>
    </row>
    <row r="86" spans="1:10" s="102" customFormat="1" ht="24.95" customHeight="1">
      <c r="A86" s="1349" t="s">
        <v>219</v>
      </c>
      <c r="B86" s="139" t="s">
        <v>220</v>
      </c>
      <c r="C86" s="140">
        <f>COUNT(C$4:C$85)</f>
        <v>22</v>
      </c>
      <c r="D86" s="141">
        <f>COUNT(D$4:D$85)</f>
        <v>54</v>
      </c>
      <c r="E86" s="140">
        <f>COUNT(E$4:E$85)</f>
        <v>5</v>
      </c>
      <c r="F86" s="142">
        <f>COUNT(F$4:F$85)</f>
        <v>1</v>
      </c>
      <c r="G86" s="1347" t="s">
        <v>331</v>
      </c>
      <c r="H86" s="101"/>
    </row>
    <row r="87" spans="1:10" s="102" customFormat="1" ht="24.95" customHeight="1">
      <c r="A87" s="1349"/>
      <c r="B87" s="139" t="s">
        <v>221</v>
      </c>
      <c r="C87" s="143">
        <f>SUM(C$4:C$85)</f>
        <v>46.33</v>
      </c>
      <c r="D87" s="144">
        <f>SUM(D$4:D$85)</f>
        <v>104.03999999999999</v>
      </c>
      <c r="E87" s="143">
        <f>SUM(E$4:E$85)</f>
        <v>21.11</v>
      </c>
      <c r="F87" s="145">
        <f>SUM(F$4:F$85)</f>
        <v>3.36</v>
      </c>
      <c r="G87" s="1348"/>
      <c r="H87" s="103"/>
    </row>
    <row r="88" spans="1:10" s="102" customFormat="1" ht="30" customHeight="1">
      <c r="A88" s="1349"/>
      <c r="B88" s="146" t="s">
        <v>222</v>
      </c>
      <c r="C88" s="143">
        <f>ROUND(C87/C86,2)</f>
        <v>2.11</v>
      </c>
      <c r="D88" s="150">
        <f>ROUND(D87/D86,2)</f>
        <v>1.93</v>
      </c>
      <c r="E88" s="151">
        <f>ROUND(E87/E86,2)</f>
        <v>4.22</v>
      </c>
      <c r="F88" s="145">
        <f>ROUND(F87/F86,2)</f>
        <v>3.36</v>
      </c>
      <c r="G88" s="152">
        <f>COUNTA(G$4:G$85)</f>
        <v>82</v>
      </c>
      <c r="H88" s="104"/>
      <c r="J88" s="102">
        <f>C86+D86+E86+F86</f>
        <v>82</v>
      </c>
    </row>
    <row r="89" spans="1:10" ht="13.5" customHeight="1"/>
  </sheetData>
  <mergeCells count="26">
    <mergeCell ref="C1:F1"/>
    <mergeCell ref="H1:H3"/>
    <mergeCell ref="C2:D2"/>
    <mergeCell ref="E2:F2"/>
    <mergeCell ref="G1:G3"/>
    <mergeCell ref="A59:A65"/>
    <mergeCell ref="A66:A67"/>
    <mergeCell ref="A68:A71"/>
    <mergeCell ref="A1:A3"/>
    <mergeCell ref="B1:B3"/>
    <mergeCell ref="G86:G87"/>
    <mergeCell ref="A86:A88"/>
    <mergeCell ref="A84:A85"/>
    <mergeCell ref="A75:A77"/>
    <mergeCell ref="A4:A12"/>
    <mergeCell ref="A13:A19"/>
    <mergeCell ref="A20:A21"/>
    <mergeCell ref="A31:A33"/>
    <mergeCell ref="A35:A36"/>
    <mergeCell ref="A37:A42"/>
    <mergeCell ref="A23:A24"/>
    <mergeCell ref="A26:A27"/>
    <mergeCell ref="A28:A29"/>
    <mergeCell ref="A72:A74"/>
    <mergeCell ref="A43:A53"/>
    <mergeCell ref="A54:A58"/>
  </mergeCells>
  <phoneticPr fontId="13" type="noConversion"/>
  <printOptions horizontalCentered="1"/>
  <pageMargins left="0.70866141732283472" right="0.70866141732283472" top="1.1811023622047245" bottom="0.78740157480314965" header="0.9055118110236221" footer="0.51181102362204722"/>
  <pageSetup paperSize="9" orientation="portrait" r:id="rId1"/>
  <headerFooter>
    <oddHeader xml:space="preserve">&amp;C&amp;"돋움,굵게"&amp;14성토부 맨홀수량 산출(&amp;P/&amp;N) 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C000"/>
  </sheetPr>
  <dimension ref="A1:AL148"/>
  <sheetViews>
    <sheetView view="pageBreakPreview" topLeftCell="A13" zoomScale="70" zoomScaleNormal="70" zoomScaleSheetLayoutView="70" workbookViewId="0">
      <selection activeCell="P30" sqref="P30"/>
    </sheetView>
  </sheetViews>
  <sheetFormatPr defaultRowHeight="20.100000000000001" customHeight="1"/>
  <cols>
    <col min="1" max="1" width="4.109375" style="1104" customWidth="1"/>
    <col min="2" max="2" width="9.77734375" style="1104" customWidth="1"/>
    <col min="3" max="3" width="8.77734375" style="1103" customWidth="1"/>
    <col min="4" max="4" width="8.77734375" style="1119" customWidth="1"/>
    <col min="5" max="5" width="8.88671875" style="1119"/>
    <col min="6" max="20" width="8.77734375" style="1103" customWidth="1"/>
    <col min="21" max="21" width="9" style="1103" bestFit="1" customWidth="1"/>
    <col min="22" max="26" width="6.77734375" style="1103" customWidth="1"/>
    <col min="27" max="27" width="8.88671875" style="1103"/>
    <col min="28" max="28" width="13.109375" style="1103" bestFit="1" customWidth="1"/>
    <col min="29" max="30" width="8.88671875" style="1103"/>
    <col min="31" max="31" width="11.77734375" style="1103" customWidth="1"/>
    <col min="32" max="266" width="8.88671875" style="1103"/>
    <col min="267" max="267" width="4.109375" style="1103" bestFit="1" customWidth="1"/>
    <col min="268" max="268" width="9.5546875" style="1103" bestFit="1" customWidth="1"/>
    <col min="269" max="269" width="6.6640625" style="1103" bestFit="1" customWidth="1"/>
    <col min="270" max="270" width="7" style="1103" bestFit="1" customWidth="1"/>
    <col min="271" max="271" width="8.88671875" style="1103"/>
    <col min="272" max="272" width="8.88671875" style="1103" customWidth="1"/>
    <col min="273" max="280" width="6.33203125" style="1103" customWidth="1"/>
    <col min="281" max="281" width="4.77734375" style="1103" customWidth="1"/>
    <col min="282" max="282" width="8.88671875" style="1103"/>
    <col min="283" max="283" width="13.109375" style="1103" bestFit="1" customWidth="1"/>
    <col min="284" max="286" width="8.88671875" style="1103"/>
    <col min="287" max="287" width="11.77734375" style="1103" customWidth="1"/>
    <col min="288" max="522" width="8.88671875" style="1103"/>
    <col min="523" max="523" width="4.109375" style="1103" bestFit="1" customWidth="1"/>
    <col min="524" max="524" width="9.5546875" style="1103" bestFit="1" customWidth="1"/>
    <col min="525" max="525" width="6.6640625" style="1103" bestFit="1" customWidth="1"/>
    <col min="526" max="526" width="7" style="1103" bestFit="1" customWidth="1"/>
    <col min="527" max="527" width="8.88671875" style="1103"/>
    <col min="528" max="528" width="8.88671875" style="1103" customWidth="1"/>
    <col min="529" max="536" width="6.33203125" style="1103" customWidth="1"/>
    <col min="537" max="537" width="4.77734375" style="1103" customWidth="1"/>
    <col min="538" max="538" width="8.88671875" style="1103"/>
    <col min="539" max="539" width="13.109375" style="1103" bestFit="1" customWidth="1"/>
    <col min="540" max="542" width="8.88671875" style="1103"/>
    <col min="543" max="543" width="11.77734375" style="1103" customWidth="1"/>
    <col min="544" max="778" width="8.88671875" style="1103"/>
    <col min="779" max="779" width="4.109375" style="1103" bestFit="1" customWidth="1"/>
    <col min="780" max="780" width="9.5546875" style="1103" bestFit="1" customWidth="1"/>
    <col min="781" max="781" width="6.6640625" style="1103" bestFit="1" customWidth="1"/>
    <col min="782" max="782" width="7" style="1103" bestFit="1" customWidth="1"/>
    <col min="783" max="783" width="8.88671875" style="1103"/>
    <col min="784" max="784" width="8.88671875" style="1103" customWidth="1"/>
    <col min="785" max="792" width="6.33203125" style="1103" customWidth="1"/>
    <col min="793" max="793" width="4.77734375" style="1103" customWidth="1"/>
    <col min="794" max="794" width="8.88671875" style="1103"/>
    <col min="795" max="795" width="13.109375" style="1103" bestFit="1" customWidth="1"/>
    <col min="796" max="798" width="8.88671875" style="1103"/>
    <col min="799" max="799" width="11.77734375" style="1103" customWidth="1"/>
    <col min="800" max="1034" width="8.88671875" style="1103"/>
    <col min="1035" max="1035" width="4.109375" style="1103" bestFit="1" customWidth="1"/>
    <col min="1036" max="1036" width="9.5546875" style="1103" bestFit="1" customWidth="1"/>
    <col min="1037" max="1037" width="6.6640625" style="1103" bestFit="1" customWidth="1"/>
    <col min="1038" max="1038" width="7" style="1103" bestFit="1" customWidth="1"/>
    <col min="1039" max="1039" width="8.88671875" style="1103"/>
    <col min="1040" max="1040" width="8.88671875" style="1103" customWidth="1"/>
    <col min="1041" max="1048" width="6.33203125" style="1103" customWidth="1"/>
    <col min="1049" max="1049" width="4.77734375" style="1103" customWidth="1"/>
    <col min="1050" max="1050" width="8.88671875" style="1103"/>
    <col min="1051" max="1051" width="13.109375" style="1103" bestFit="1" customWidth="1"/>
    <col min="1052" max="1054" width="8.88671875" style="1103"/>
    <col min="1055" max="1055" width="11.77734375" style="1103" customWidth="1"/>
    <col min="1056" max="1290" width="8.88671875" style="1103"/>
    <col min="1291" max="1291" width="4.109375" style="1103" bestFit="1" customWidth="1"/>
    <col min="1292" max="1292" width="9.5546875" style="1103" bestFit="1" customWidth="1"/>
    <col min="1293" max="1293" width="6.6640625" style="1103" bestFit="1" customWidth="1"/>
    <col min="1294" max="1294" width="7" style="1103" bestFit="1" customWidth="1"/>
    <col min="1295" max="1295" width="8.88671875" style="1103"/>
    <col min="1296" max="1296" width="8.88671875" style="1103" customWidth="1"/>
    <col min="1297" max="1304" width="6.33203125" style="1103" customWidth="1"/>
    <col min="1305" max="1305" width="4.77734375" style="1103" customWidth="1"/>
    <col min="1306" max="1306" width="8.88671875" style="1103"/>
    <col min="1307" max="1307" width="13.109375" style="1103" bestFit="1" customWidth="1"/>
    <col min="1308" max="1310" width="8.88671875" style="1103"/>
    <col min="1311" max="1311" width="11.77734375" style="1103" customWidth="1"/>
    <col min="1312" max="1546" width="8.88671875" style="1103"/>
    <col min="1547" max="1547" width="4.109375" style="1103" bestFit="1" customWidth="1"/>
    <col min="1548" max="1548" width="9.5546875" style="1103" bestFit="1" customWidth="1"/>
    <col min="1549" max="1549" width="6.6640625" style="1103" bestFit="1" customWidth="1"/>
    <col min="1550" max="1550" width="7" style="1103" bestFit="1" customWidth="1"/>
    <col min="1551" max="1551" width="8.88671875" style="1103"/>
    <col min="1552" max="1552" width="8.88671875" style="1103" customWidth="1"/>
    <col min="1553" max="1560" width="6.33203125" style="1103" customWidth="1"/>
    <col min="1561" max="1561" width="4.77734375" style="1103" customWidth="1"/>
    <col min="1562" max="1562" width="8.88671875" style="1103"/>
    <col min="1563" max="1563" width="13.109375" style="1103" bestFit="1" customWidth="1"/>
    <col min="1564" max="1566" width="8.88671875" style="1103"/>
    <col min="1567" max="1567" width="11.77734375" style="1103" customWidth="1"/>
    <col min="1568" max="1802" width="8.88671875" style="1103"/>
    <col min="1803" max="1803" width="4.109375" style="1103" bestFit="1" customWidth="1"/>
    <col min="1804" max="1804" width="9.5546875" style="1103" bestFit="1" customWidth="1"/>
    <col min="1805" max="1805" width="6.6640625" style="1103" bestFit="1" customWidth="1"/>
    <col min="1806" max="1806" width="7" style="1103" bestFit="1" customWidth="1"/>
    <col min="1807" max="1807" width="8.88671875" style="1103"/>
    <col min="1808" max="1808" width="8.88671875" style="1103" customWidth="1"/>
    <col min="1809" max="1816" width="6.33203125" style="1103" customWidth="1"/>
    <col min="1817" max="1817" width="4.77734375" style="1103" customWidth="1"/>
    <col min="1818" max="1818" width="8.88671875" style="1103"/>
    <col min="1819" max="1819" width="13.109375" style="1103" bestFit="1" customWidth="1"/>
    <col min="1820" max="1822" width="8.88671875" style="1103"/>
    <col min="1823" max="1823" width="11.77734375" style="1103" customWidth="1"/>
    <col min="1824" max="2058" width="8.88671875" style="1103"/>
    <col min="2059" max="2059" width="4.109375" style="1103" bestFit="1" customWidth="1"/>
    <col min="2060" max="2060" width="9.5546875" style="1103" bestFit="1" customWidth="1"/>
    <col min="2061" max="2061" width="6.6640625" style="1103" bestFit="1" customWidth="1"/>
    <col min="2062" max="2062" width="7" style="1103" bestFit="1" customWidth="1"/>
    <col min="2063" max="2063" width="8.88671875" style="1103"/>
    <col min="2064" max="2064" width="8.88671875" style="1103" customWidth="1"/>
    <col min="2065" max="2072" width="6.33203125" style="1103" customWidth="1"/>
    <col min="2073" max="2073" width="4.77734375" style="1103" customWidth="1"/>
    <col min="2074" max="2074" width="8.88671875" style="1103"/>
    <col min="2075" max="2075" width="13.109375" style="1103" bestFit="1" customWidth="1"/>
    <col min="2076" max="2078" width="8.88671875" style="1103"/>
    <col min="2079" max="2079" width="11.77734375" style="1103" customWidth="1"/>
    <col min="2080" max="2314" width="8.88671875" style="1103"/>
    <col min="2315" max="2315" width="4.109375" style="1103" bestFit="1" customWidth="1"/>
    <col min="2316" max="2316" width="9.5546875" style="1103" bestFit="1" customWidth="1"/>
    <col min="2317" max="2317" width="6.6640625" style="1103" bestFit="1" customWidth="1"/>
    <col min="2318" max="2318" width="7" style="1103" bestFit="1" customWidth="1"/>
    <col min="2319" max="2319" width="8.88671875" style="1103"/>
    <col min="2320" max="2320" width="8.88671875" style="1103" customWidth="1"/>
    <col min="2321" max="2328" width="6.33203125" style="1103" customWidth="1"/>
    <col min="2329" max="2329" width="4.77734375" style="1103" customWidth="1"/>
    <col min="2330" max="2330" width="8.88671875" style="1103"/>
    <col min="2331" max="2331" width="13.109375" style="1103" bestFit="1" customWidth="1"/>
    <col min="2332" max="2334" width="8.88671875" style="1103"/>
    <col min="2335" max="2335" width="11.77734375" style="1103" customWidth="1"/>
    <col min="2336" max="2570" width="8.88671875" style="1103"/>
    <col min="2571" max="2571" width="4.109375" style="1103" bestFit="1" customWidth="1"/>
    <col min="2572" max="2572" width="9.5546875" style="1103" bestFit="1" customWidth="1"/>
    <col min="2573" max="2573" width="6.6640625" style="1103" bestFit="1" customWidth="1"/>
    <col min="2574" max="2574" width="7" style="1103" bestFit="1" customWidth="1"/>
    <col min="2575" max="2575" width="8.88671875" style="1103"/>
    <col min="2576" max="2576" width="8.88671875" style="1103" customWidth="1"/>
    <col min="2577" max="2584" width="6.33203125" style="1103" customWidth="1"/>
    <col min="2585" max="2585" width="4.77734375" style="1103" customWidth="1"/>
    <col min="2586" max="2586" width="8.88671875" style="1103"/>
    <col min="2587" max="2587" width="13.109375" style="1103" bestFit="1" customWidth="1"/>
    <col min="2588" max="2590" width="8.88671875" style="1103"/>
    <col min="2591" max="2591" width="11.77734375" style="1103" customWidth="1"/>
    <col min="2592" max="2826" width="8.88671875" style="1103"/>
    <col min="2827" max="2827" width="4.109375" style="1103" bestFit="1" customWidth="1"/>
    <col min="2828" max="2828" width="9.5546875" style="1103" bestFit="1" customWidth="1"/>
    <col min="2829" max="2829" width="6.6640625" style="1103" bestFit="1" customWidth="1"/>
    <col min="2830" max="2830" width="7" style="1103" bestFit="1" customWidth="1"/>
    <col min="2831" max="2831" width="8.88671875" style="1103"/>
    <col min="2832" max="2832" width="8.88671875" style="1103" customWidth="1"/>
    <col min="2833" max="2840" width="6.33203125" style="1103" customWidth="1"/>
    <col min="2841" max="2841" width="4.77734375" style="1103" customWidth="1"/>
    <col min="2842" max="2842" width="8.88671875" style="1103"/>
    <col min="2843" max="2843" width="13.109375" style="1103" bestFit="1" customWidth="1"/>
    <col min="2844" max="2846" width="8.88671875" style="1103"/>
    <col min="2847" max="2847" width="11.77734375" style="1103" customWidth="1"/>
    <col min="2848" max="3082" width="8.88671875" style="1103"/>
    <col min="3083" max="3083" width="4.109375" style="1103" bestFit="1" customWidth="1"/>
    <col min="3084" max="3084" width="9.5546875" style="1103" bestFit="1" customWidth="1"/>
    <col min="3085" max="3085" width="6.6640625" style="1103" bestFit="1" customWidth="1"/>
    <col min="3086" max="3086" width="7" style="1103" bestFit="1" customWidth="1"/>
    <col min="3087" max="3087" width="8.88671875" style="1103"/>
    <col min="3088" max="3088" width="8.88671875" style="1103" customWidth="1"/>
    <col min="3089" max="3096" width="6.33203125" style="1103" customWidth="1"/>
    <col min="3097" max="3097" width="4.77734375" style="1103" customWidth="1"/>
    <col min="3098" max="3098" width="8.88671875" style="1103"/>
    <col min="3099" max="3099" width="13.109375" style="1103" bestFit="1" customWidth="1"/>
    <col min="3100" max="3102" width="8.88671875" style="1103"/>
    <col min="3103" max="3103" width="11.77734375" style="1103" customWidth="1"/>
    <col min="3104" max="3338" width="8.88671875" style="1103"/>
    <col min="3339" max="3339" width="4.109375" style="1103" bestFit="1" customWidth="1"/>
    <col min="3340" max="3340" width="9.5546875" style="1103" bestFit="1" customWidth="1"/>
    <col min="3341" max="3341" width="6.6640625" style="1103" bestFit="1" customWidth="1"/>
    <col min="3342" max="3342" width="7" style="1103" bestFit="1" customWidth="1"/>
    <col min="3343" max="3343" width="8.88671875" style="1103"/>
    <col min="3344" max="3344" width="8.88671875" style="1103" customWidth="1"/>
    <col min="3345" max="3352" width="6.33203125" style="1103" customWidth="1"/>
    <col min="3353" max="3353" width="4.77734375" style="1103" customWidth="1"/>
    <col min="3354" max="3354" width="8.88671875" style="1103"/>
    <col min="3355" max="3355" width="13.109375" style="1103" bestFit="1" customWidth="1"/>
    <col min="3356" max="3358" width="8.88671875" style="1103"/>
    <col min="3359" max="3359" width="11.77734375" style="1103" customWidth="1"/>
    <col min="3360" max="3594" width="8.88671875" style="1103"/>
    <col min="3595" max="3595" width="4.109375" style="1103" bestFit="1" customWidth="1"/>
    <col min="3596" max="3596" width="9.5546875" style="1103" bestFit="1" customWidth="1"/>
    <col min="3597" max="3597" width="6.6640625" style="1103" bestFit="1" customWidth="1"/>
    <col min="3598" max="3598" width="7" style="1103" bestFit="1" customWidth="1"/>
    <col min="3599" max="3599" width="8.88671875" style="1103"/>
    <col min="3600" max="3600" width="8.88671875" style="1103" customWidth="1"/>
    <col min="3601" max="3608" width="6.33203125" style="1103" customWidth="1"/>
    <col min="3609" max="3609" width="4.77734375" style="1103" customWidth="1"/>
    <col min="3610" max="3610" width="8.88671875" style="1103"/>
    <col min="3611" max="3611" width="13.109375" style="1103" bestFit="1" customWidth="1"/>
    <col min="3612" max="3614" width="8.88671875" style="1103"/>
    <col min="3615" max="3615" width="11.77734375" style="1103" customWidth="1"/>
    <col min="3616" max="3850" width="8.88671875" style="1103"/>
    <col min="3851" max="3851" width="4.109375" style="1103" bestFit="1" customWidth="1"/>
    <col min="3852" max="3852" width="9.5546875" style="1103" bestFit="1" customWidth="1"/>
    <col min="3853" max="3853" width="6.6640625" style="1103" bestFit="1" customWidth="1"/>
    <col min="3854" max="3854" width="7" style="1103" bestFit="1" customWidth="1"/>
    <col min="3855" max="3855" width="8.88671875" style="1103"/>
    <col min="3856" max="3856" width="8.88671875" style="1103" customWidth="1"/>
    <col min="3857" max="3864" width="6.33203125" style="1103" customWidth="1"/>
    <col min="3865" max="3865" width="4.77734375" style="1103" customWidth="1"/>
    <col min="3866" max="3866" width="8.88671875" style="1103"/>
    <col min="3867" max="3867" width="13.109375" style="1103" bestFit="1" customWidth="1"/>
    <col min="3868" max="3870" width="8.88671875" style="1103"/>
    <col min="3871" max="3871" width="11.77734375" style="1103" customWidth="1"/>
    <col min="3872" max="4106" width="8.88671875" style="1103"/>
    <col min="4107" max="4107" width="4.109375" style="1103" bestFit="1" customWidth="1"/>
    <col min="4108" max="4108" width="9.5546875" style="1103" bestFit="1" customWidth="1"/>
    <col min="4109" max="4109" width="6.6640625" style="1103" bestFit="1" customWidth="1"/>
    <col min="4110" max="4110" width="7" style="1103" bestFit="1" customWidth="1"/>
    <col min="4111" max="4111" width="8.88671875" style="1103"/>
    <col min="4112" max="4112" width="8.88671875" style="1103" customWidth="1"/>
    <col min="4113" max="4120" width="6.33203125" style="1103" customWidth="1"/>
    <col min="4121" max="4121" width="4.77734375" style="1103" customWidth="1"/>
    <col min="4122" max="4122" width="8.88671875" style="1103"/>
    <col min="4123" max="4123" width="13.109375" style="1103" bestFit="1" customWidth="1"/>
    <col min="4124" max="4126" width="8.88671875" style="1103"/>
    <col min="4127" max="4127" width="11.77734375" style="1103" customWidth="1"/>
    <col min="4128" max="4362" width="8.88671875" style="1103"/>
    <col min="4363" max="4363" width="4.109375" style="1103" bestFit="1" customWidth="1"/>
    <col min="4364" max="4364" width="9.5546875" style="1103" bestFit="1" customWidth="1"/>
    <col min="4365" max="4365" width="6.6640625" style="1103" bestFit="1" customWidth="1"/>
    <col min="4366" max="4366" width="7" style="1103" bestFit="1" customWidth="1"/>
    <col min="4367" max="4367" width="8.88671875" style="1103"/>
    <col min="4368" max="4368" width="8.88671875" style="1103" customWidth="1"/>
    <col min="4369" max="4376" width="6.33203125" style="1103" customWidth="1"/>
    <col min="4377" max="4377" width="4.77734375" style="1103" customWidth="1"/>
    <col min="4378" max="4378" width="8.88671875" style="1103"/>
    <col min="4379" max="4379" width="13.109375" style="1103" bestFit="1" customWidth="1"/>
    <col min="4380" max="4382" width="8.88671875" style="1103"/>
    <col min="4383" max="4383" width="11.77734375" style="1103" customWidth="1"/>
    <col min="4384" max="4618" width="8.88671875" style="1103"/>
    <col min="4619" max="4619" width="4.109375" style="1103" bestFit="1" customWidth="1"/>
    <col min="4620" max="4620" width="9.5546875" style="1103" bestFit="1" customWidth="1"/>
    <col min="4621" max="4621" width="6.6640625" style="1103" bestFit="1" customWidth="1"/>
    <col min="4622" max="4622" width="7" style="1103" bestFit="1" customWidth="1"/>
    <col min="4623" max="4623" width="8.88671875" style="1103"/>
    <col min="4624" max="4624" width="8.88671875" style="1103" customWidth="1"/>
    <col min="4625" max="4632" width="6.33203125" style="1103" customWidth="1"/>
    <col min="4633" max="4633" width="4.77734375" style="1103" customWidth="1"/>
    <col min="4634" max="4634" width="8.88671875" style="1103"/>
    <col min="4635" max="4635" width="13.109375" style="1103" bestFit="1" customWidth="1"/>
    <col min="4636" max="4638" width="8.88671875" style="1103"/>
    <col min="4639" max="4639" width="11.77734375" style="1103" customWidth="1"/>
    <col min="4640" max="4874" width="8.88671875" style="1103"/>
    <col min="4875" max="4875" width="4.109375" style="1103" bestFit="1" customWidth="1"/>
    <col min="4876" max="4876" width="9.5546875" style="1103" bestFit="1" customWidth="1"/>
    <col min="4877" max="4877" width="6.6640625" style="1103" bestFit="1" customWidth="1"/>
    <col min="4878" max="4878" width="7" style="1103" bestFit="1" customWidth="1"/>
    <col min="4879" max="4879" width="8.88671875" style="1103"/>
    <col min="4880" max="4880" width="8.88671875" style="1103" customWidth="1"/>
    <col min="4881" max="4888" width="6.33203125" style="1103" customWidth="1"/>
    <col min="4889" max="4889" width="4.77734375" style="1103" customWidth="1"/>
    <col min="4890" max="4890" width="8.88671875" style="1103"/>
    <col min="4891" max="4891" width="13.109375" style="1103" bestFit="1" customWidth="1"/>
    <col min="4892" max="4894" width="8.88671875" style="1103"/>
    <col min="4895" max="4895" width="11.77734375" style="1103" customWidth="1"/>
    <col min="4896" max="5130" width="8.88671875" style="1103"/>
    <col min="5131" max="5131" width="4.109375" style="1103" bestFit="1" customWidth="1"/>
    <col min="5132" max="5132" width="9.5546875" style="1103" bestFit="1" customWidth="1"/>
    <col min="5133" max="5133" width="6.6640625" style="1103" bestFit="1" customWidth="1"/>
    <col min="5134" max="5134" width="7" style="1103" bestFit="1" customWidth="1"/>
    <col min="5135" max="5135" width="8.88671875" style="1103"/>
    <col min="5136" max="5136" width="8.88671875" style="1103" customWidth="1"/>
    <col min="5137" max="5144" width="6.33203125" style="1103" customWidth="1"/>
    <col min="5145" max="5145" width="4.77734375" style="1103" customWidth="1"/>
    <col min="5146" max="5146" width="8.88671875" style="1103"/>
    <col min="5147" max="5147" width="13.109375" style="1103" bestFit="1" customWidth="1"/>
    <col min="5148" max="5150" width="8.88671875" style="1103"/>
    <col min="5151" max="5151" width="11.77734375" style="1103" customWidth="1"/>
    <col min="5152" max="5386" width="8.88671875" style="1103"/>
    <col min="5387" max="5387" width="4.109375" style="1103" bestFit="1" customWidth="1"/>
    <col min="5388" max="5388" width="9.5546875" style="1103" bestFit="1" customWidth="1"/>
    <col min="5389" max="5389" width="6.6640625" style="1103" bestFit="1" customWidth="1"/>
    <col min="5390" max="5390" width="7" style="1103" bestFit="1" customWidth="1"/>
    <col min="5391" max="5391" width="8.88671875" style="1103"/>
    <col min="5392" max="5392" width="8.88671875" style="1103" customWidth="1"/>
    <col min="5393" max="5400" width="6.33203125" style="1103" customWidth="1"/>
    <col min="5401" max="5401" width="4.77734375" style="1103" customWidth="1"/>
    <col min="5402" max="5402" width="8.88671875" style="1103"/>
    <col min="5403" max="5403" width="13.109375" style="1103" bestFit="1" customWidth="1"/>
    <col min="5404" max="5406" width="8.88671875" style="1103"/>
    <col min="5407" max="5407" width="11.77734375" style="1103" customWidth="1"/>
    <col min="5408" max="5642" width="8.88671875" style="1103"/>
    <col min="5643" max="5643" width="4.109375" style="1103" bestFit="1" customWidth="1"/>
    <col min="5644" max="5644" width="9.5546875" style="1103" bestFit="1" customWidth="1"/>
    <col min="5645" max="5645" width="6.6640625" style="1103" bestFit="1" customWidth="1"/>
    <col min="5646" max="5646" width="7" style="1103" bestFit="1" customWidth="1"/>
    <col min="5647" max="5647" width="8.88671875" style="1103"/>
    <col min="5648" max="5648" width="8.88671875" style="1103" customWidth="1"/>
    <col min="5649" max="5656" width="6.33203125" style="1103" customWidth="1"/>
    <col min="5657" max="5657" width="4.77734375" style="1103" customWidth="1"/>
    <col min="5658" max="5658" width="8.88671875" style="1103"/>
    <col min="5659" max="5659" width="13.109375" style="1103" bestFit="1" customWidth="1"/>
    <col min="5660" max="5662" width="8.88671875" style="1103"/>
    <col min="5663" max="5663" width="11.77734375" style="1103" customWidth="1"/>
    <col min="5664" max="5898" width="8.88671875" style="1103"/>
    <col min="5899" max="5899" width="4.109375" style="1103" bestFit="1" customWidth="1"/>
    <col min="5900" max="5900" width="9.5546875" style="1103" bestFit="1" customWidth="1"/>
    <col min="5901" max="5901" width="6.6640625" style="1103" bestFit="1" customWidth="1"/>
    <col min="5902" max="5902" width="7" style="1103" bestFit="1" customWidth="1"/>
    <col min="5903" max="5903" width="8.88671875" style="1103"/>
    <col min="5904" max="5904" width="8.88671875" style="1103" customWidth="1"/>
    <col min="5905" max="5912" width="6.33203125" style="1103" customWidth="1"/>
    <col min="5913" max="5913" width="4.77734375" style="1103" customWidth="1"/>
    <col min="5914" max="5914" width="8.88671875" style="1103"/>
    <col min="5915" max="5915" width="13.109375" style="1103" bestFit="1" customWidth="1"/>
    <col min="5916" max="5918" width="8.88671875" style="1103"/>
    <col min="5919" max="5919" width="11.77734375" style="1103" customWidth="1"/>
    <col min="5920" max="6154" width="8.88671875" style="1103"/>
    <col min="6155" max="6155" width="4.109375" style="1103" bestFit="1" customWidth="1"/>
    <col min="6156" max="6156" width="9.5546875" style="1103" bestFit="1" customWidth="1"/>
    <col min="6157" max="6157" width="6.6640625" style="1103" bestFit="1" customWidth="1"/>
    <col min="6158" max="6158" width="7" style="1103" bestFit="1" customWidth="1"/>
    <col min="6159" max="6159" width="8.88671875" style="1103"/>
    <col min="6160" max="6160" width="8.88671875" style="1103" customWidth="1"/>
    <col min="6161" max="6168" width="6.33203125" style="1103" customWidth="1"/>
    <col min="6169" max="6169" width="4.77734375" style="1103" customWidth="1"/>
    <col min="6170" max="6170" width="8.88671875" style="1103"/>
    <col min="6171" max="6171" width="13.109375" style="1103" bestFit="1" customWidth="1"/>
    <col min="6172" max="6174" width="8.88671875" style="1103"/>
    <col min="6175" max="6175" width="11.77734375" style="1103" customWidth="1"/>
    <col min="6176" max="6410" width="8.88671875" style="1103"/>
    <col min="6411" max="6411" width="4.109375" style="1103" bestFit="1" customWidth="1"/>
    <col min="6412" max="6412" width="9.5546875" style="1103" bestFit="1" customWidth="1"/>
    <col min="6413" max="6413" width="6.6640625" style="1103" bestFit="1" customWidth="1"/>
    <col min="6414" max="6414" width="7" style="1103" bestFit="1" customWidth="1"/>
    <col min="6415" max="6415" width="8.88671875" style="1103"/>
    <col min="6416" max="6416" width="8.88671875" style="1103" customWidth="1"/>
    <col min="6417" max="6424" width="6.33203125" style="1103" customWidth="1"/>
    <col min="6425" max="6425" width="4.77734375" style="1103" customWidth="1"/>
    <col min="6426" max="6426" width="8.88671875" style="1103"/>
    <col min="6427" max="6427" width="13.109375" style="1103" bestFit="1" customWidth="1"/>
    <col min="6428" max="6430" width="8.88671875" style="1103"/>
    <col min="6431" max="6431" width="11.77734375" style="1103" customWidth="1"/>
    <col min="6432" max="6666" width="8.88671875" style="1103"/>
    <col min="6667" max="6667" width="4.109375" style="1103" bestFit="1" customWidth="1"/>
    <col min="6668" max="6668" width="9.5546875" style="1103" bestFit="1" customWidth="1"/>
    <col min="6669" max="6669" width="6.6640625" style="1103" bestFit="1" customWidth="1"/>
    <col min="6670" max="6670" width="7" style="1103" bestFit="1" customWidth="1"/>
    <col min="6671" max="6671" width="8.88671875" style="1103"/>
    <col min="6672" max="6672" width="8.88671875" style="1103" customWidth="1"/>
    <col min="6673" max="6680" width="6.33203125" style="1103" customWidth="1"/>
    <col min="6681" max="6681" width="4.77734375" style="1103" customWidth="1"/>
    <col min="6682" max="6682" width="8.88671875" style="1103"/>
    <col min="6683" max="6683" width="13.109375" style="1103" bestFit="1" customWidth="1"/>
    <col min="6684" max="6686" width="8.88671875" style="1103"/>
    <col min="6687" max="6687" width="11.77734375" style="1103" customWidth="1"/>
    <col min="6688" max="6922" width="8.88671875" style="1103"/>
    <col min="6923" max="6923" width="4.109375" style="1103" bestFit="1" customWidth="1"/>
    <col min="6924" max="6924" width="9.5546875" style="1103" bestFit="1" customWidth="1"/>
    <col min="6925" max="6925" width="6.6640625" style="1103" bestFit="1" customWidth="1"/>
    <col min="6926" max="6926" width="7" style="1103" bestFit="1" customWidth="1"/>
    <col min="6927" max="6927" width="8.88671875" style="1103"/>
    <col min="6928" max="6928" width="8.88671875" style="1103" customWidth="1"/>
    <col min="6929" max="6936" width="6.33203125" style="1103" customWidth="1"/>
    <col min="6937" max="6937" width="4.77734375" style="1103" customWidth="1"/>
    <col min="6938" max="6938" width="8.88671875" style="1103"/>
    <col min="6939" max="6939" width="13.109375" style="1103" bestFit="1" customWidth="1"/>
    <col min="6940" max="6942" width="8.88671875" style="1103"/>
    <col min="6943" max="6943" width="11.77734375" style="1103" customWidth="1"/>
    <col min="6944" max="7178" width="8.88671875" style="1103"/>
    <col min="7179" max="7179" width="4.109375" style="1103" bestFit="1" customWidth="1"/>
    <col min="7180" max="7180" width="9.5546875" style="1103" bestFit="1" customWidth="1"/>
    <col min="7181" max="7181" width="6.6640625" style="1103" bestFit="1" customWidth="1"/>
    <col min="7182" max="7182" width="7" style="1103" bestFit="1" customWidth="1"/>
    <col min="7183" max="7183" width="8.88671875" style="1103"/>
    <col min="7184" max="7184" width="8.88671875" style="1103" customWidth="1"/>
    <col min="7185" max="7192" width="6.33203125" style="1103" customWidth="1"/>
    <col min="7193" max="7193" width="4.77734375" style="1103" customWidth="1"/>
    <col min="7194" max="7194" width="8.88671875" style="1103"/>
    <col min="7195" max="7195" width="13.109375" style="1103" bestFit="1" customWidth="1"/>
    <col min="7196" max="7198" width="8.88671875" style="1103"/>
    <col min="7199" max="7199" width="11.77734375" style="1103" customWidth="1"/>
    <col min="7200" max="7434" width="8.88671875" style="1103"/>
    <col min="7435" max="7435" width="4.109375" style="1103" bestFit="1" customWidth="1"/>
    <col min="7436" max="7436" width="9.5546875" style="1103" bestFit="1" customWidth="1"/>
    <col min="7437" max="7437" width="6.6640625" style="1103" bestFit="1" customWidth="1"/>
    <col min="7438" max="7438" width="7" style="1103" bestFit="1" customWidth="1"/>
    <col min="7439" max="7439" width="8.88671875" style="1103"/>
    <col min="7440" max="7440" width="8.88671875" style="1103" customWidth="1"/>
    <col min="7441" max="7448" width="6.33203125" style="1103" customWidth="1"/>
    <col min="7449" max="7449" width="4.77734375" style="1103" customWidth="1"/>
    <col min="7450" max="7450" width="8.88671875" style="1103"/>
    <col min="7451" max="7451" width="13.109375" style="1103" bestFit="1" customWidth="1"/>
    <col min="7452" max="7454" width="8.88671875" style="1103"/>
    <col min="7455" max="7455" width="11.77734375" style="1103" customWidth="1"/>
    <col min="7456" max="7690" width="8.88671875" style="1103"/>
    <col min="7691" max="7691" width="4.109375" style="1103" bestFit="1" customWidth="1"/>
    <col min="7692" max="7692" width="9.5546875" style="1103" bestFit="1" customWidth="1"/>
    <col min="7693" max="7693" width="6.6640625" style="1103" bestFit="1" customWidth="1"/>
    <col min="7694" max="7694" width="7" style="1103" bestFit="1" customWidth="1"/>
    <col min="7695" max="7695" width="8.88671875" style="1103"/>
    <col min="7696" max="7696" width="8.88671875" style="1103" customWidth="1"/>
    <col min="7697" max="7704" width="6.33203125" style="1103" customWidth="1"/>
    <col min="7705" max="7705" width="4.77734375" style="1103" customWidth="1"/>
    <col min="7706" max="7706" width="8.88671875" style="1103"/>
    <col min="7707" max="7707" width="13.109375" style="1103" bestFit="1" customWidth="1"/>
    <col min="7708" max="7710" width="8.88671875" style="1103"/>
    <col min="7711" max="7711" width="11.77734375" style="1103" customWidth="1"/>
    <col min="7712" max="7946" width="8.88671875" style="1103"/>
    <col min="7947" max="7947" width="4.109375" style="1103" bestFit="1" customWidth="1"/>
    <col min="7948" max="7948" width="9.5546875" style="1103" bestFit="1" customWidth="1"/>
    <col min="7949" max="7949" width="6.6640625" style="1103" bestFit="1" customWidth="1"/>
    <col min="7950" max="7950" width="7" style="1103" bestFit="1" customWidth="1"/>
    <col min="7951" max="7951" width="8.88671875" style="1103"/>
    <col min="7952" max="7952" width="8.88671875" style="1103" customWidth="1"/>
    <col min="7953" max="7960" width="6.33203125" style="1103" customWidth="1"/>
    <col min="7961" max="7961" width="4.77734375" style="1103" customWidth="1"/>
    <col min="7962" max="7962" width="8.88671875" style="1103"/>
    <col min="7963" max="7963" width="13.109375" style="1103" bestFit="1" customWidth="1"/>
    <col min="7964" max="7966" width="8.88671875" style="1103"/>
    <col min="7967" max="7967" width="11.77734375" style="1103" customWidth="1"/>
    <col min="7968" max="8202" width="8.88671875" style="1103"/>
    <col min="8203" max="8203" width="4.109375" style="1103" bestFit="1" customWidth="1"/>
    <col min="8204" max="8204" width="9.5546875" style="1103" bestFit="1" customWidth="1"/>
    <col min="8205" max="8205" width="6.6640625" style="1103" bestFit="1" customWidth="1"/>
    <col min="8206" max="8206" width="7" style="1103" bestFit="1" customWidth="1"/>
    <col min="8207" max="8207" width="8.88671875" style="1103"/>
    <col min="8208" max="8208" width="8.88671875" style="1103" customWidth="1"/>
    <col min="8209" max="8216" width="6.33203125" style="1103" customWidth="1"/>
    <col min="8217" max="8217" width="4.77734375" style="1103" customWidth="1"/>
    <col min="8218" max="8218" width="8.88671875" style="1103"/>
    <col min="8219" max="8219" width="13.109375" style="1103" bestFit="1" customWidth="1"/>
    <col min="8220" max="8222" width="8.88671875" style="1103"/>
    <col min="8223" max="8223" width="11.77734375" style="1103" customWidth="1"/>
    <col min="8224" max="8458" width="8.88671875" style="1103"/>
    <col min="8459" max="8459" width="4.109375" style="1103" bestFit="1" customWidth="1"/>
    <col min="8460" max="8460" width="9.5546875" style="1103" bestFit="1" customWidth="1"/>
    <col min="8461" max="8461" width="6.6640625" style="1103" bestFit="1" customWidth="1"/>
    <col min="8462" max="8462" width="7" style="1103" bestFit="1" customWidth="1"/>
    <col min="8463" max="8463" width="8.88671875" style="1103"/>
    <col min="8464" max="8464" width="8.88671875" style="1103" customWidth="1"/>
    <col min="8465" max="8472" width="6.33203125" style="1103" customWidth="1"/>
    <col min="8473" max="8473" width="4.77734375" style="1103" customWidth="1"/>
    <col min="8474" max="8474" width="8.88671875" style="1103"/>
    <col min="8475" max="8475" width="13.109375" style="1103" bestFit="1" customWidth="1"/>
    <col min="8476" max="8478" width="8.88671875" style="1103"/>
    <col min="8479" max="8479" width="11.77734375" style="1103" customWidth="1"/>
    <col min="8480" max="8714" width="8.88671875" style="1103"/>
    <col min="8715" max="8715" width="4.109375" style="1103" bestFit="1" customWidth="1"/>
    <col min="8716" max="8716" width="9.5546875" style="1103" bestFit="1" customWidth="1"/>
    <col min="8717" max="8717" width="6.6640625" style="1103" bestFit="1" customWidth="1"/>
    <col min="8718" max="8718" width="7" style="1103" bestFit="1" customWidth="1"/>
    <col min="8719" max="8719" width="8.88671875" style="1103"/>
    <col min="8720" max="8720" width="8.88671875" style="1103" customWidth="1"/>
    <col min="8721" max="8728" width="6.33203125" style="1103" customWidth="1"/>
    <col min="8729" max="8729" width="4.77734375" style="1103" customWidth="1"/>
    <col min="8730" max="8730" width="8.88671875" style="1103"/>
    <col min="8731" max="8731" width="13.109375" style="1103" bestFit="1" customWidth="1"/>
    <col min="8732" max="8734" width="8.88671875" style="1103"/>
    <col min="8735" max="8735" width="11.77734375" style="1103" customWidth="1"/>
    <col min="8736" max="8970" width="8.88671875" style="1103"/>
    <col min="8971" max="8971" width="4.109375" style="1103" bestFit="1" customWidth="1"/>
    <col min="8972" max="8972" width="9.5546875" style="1103" bestFit="1" customWidth="1"/>
    <col min="8973" max="8973" width="6.6640625" style="1103" bestFit="1" customWidth="1"/>
    <col min="8974" max="8974" width="7" style="1103" bestFit="1" customWidth="1"/>
    <col min="8975" max="8975" width="8.88671875" style="1103"/>
    <col min="8976" max="8976" width="8.88671875" style="1103" customWidth="1"/>
    <col min="8977" max="8984" width="6.33203125" style="1103" customWidth="1"/>
    <col min="8985" max="8985" width="4.77734375" style="1103" customWidth="1"/>
    <col min="8986" max="8986" width="8.88671875" style="1103"/>
    <col min="8987" max="8987" width="13.109375" style="1103" bestFit="1" customWidth="1"/>
    <col min="8988" max="8990" width="8.88671875" style="1103"/>
    <col min="8991" max="8991" width="11.77734375" style="1103" customWidth="1"/>
    <col min="8992" max="9226" width="8.88671875" style="1103"/>
    <col min="9227" max="9227" width="4.109375" style="1103" bestFit="1" customWidth="1"/>
    <col min="9228" max="9228" width="9.5546875" style="1103" bestFit="1" customWidth="1"/>
    <col min="9229" max="9229" width="6.6640625" style="1103" bestFit="1" customWidth="1"/>
    <col min="9230" max="9230" width="7" style="1103" bestFit="1" customWidth="1"/>
    <col min="9231" max="9231" width="8.88671875" style="1103"/>
    <col min="9232" max="9232" width="8.88671875" style="1103" customWidth="1"/>
    <col min="9233" max="9240" width="6.33203125" style="1103" customWidth="1"/>
    <col min="9241" max="9241" width="4.77734375" style="1103" customWidth="1"/>
    <col min="9242" max="9242" width="8.88671875" style="1103"/>
    <col min="9243" max="9243" width="13.109375" style="1103" bestFit="1" customWidth="1"/>
    <col min="9244" max="9246" width="8.88671875" style="1103"/>
    <col min="9247" max="9247" width="11.77734375" style="1103" customWidth="1"/>
    <col min="9248" max="9482" width="8.88671875" style="1103"/>
    <col min="9483" max="9483" width="4.109375" style="1103" bestFit="1" customWidth="1"/>
    <col min="9484" max="9484" width="9.5546875" style="1103" bestFit="1" customWidth="1"/>
    <col min="9485" max="9485" width="6.6640625" style="1103" bestFit="1" customWidth="1"/>
    <col min="9486" max="9486" width="7" style="1103" bestFit="1" customWidth="1"/>
    <col min="9487" max="9487" width="8.88671875" style="1103"/>
    <col min="9488" max="9488" width="8.88671875" style="1103" customWidth="1"/>
    <col min="9489" max="9496" width="6.33203125" style="1103" customWidth="1"/>
    <col min="9497" max="9497" width="4.77734375" style="1103" customWidth="1"/>
    <col min="9498" max="9498" width="8.88671875" style="1103"/>
    <col min="9499" max="9499" width="13.109375" style="1103" bestFit="1" customWidth="1"/>
    <col min="9500" max="9502" width="8.88671875" style="1103"/>
    <col min="9503" max="9503" width="11.77734375" style="1103" customWidth="1"/>
    <col min="9504" max="9738" width="8.88671875" style="1103"/>
    <col min="9739" max="9739" width="4.109375" style="1103" bestFit="1" customWidth="1"/>
    <col min="9740" max="9740" width="9.5546875" style="1103" bestFit="1" customWidth="1"/>
    <col min="9741" max="9741" width="6.6640625" style="1103" bestFit="1" customWidth="1"/>
    <col min="9742" max="9742" width="7" style="1103" bestFit="1" customWidth="1"/>
    <col min="9743" max="9743" width="8.88671875" style="1103"/>
    <col min="9744" max="9744" width="8.88671875" style="1103" customWidth="1"/>
    <col min="9745" max="9752" width="6.33203125" style="1103" customWidth="1"/>
    <col min="9753" max="9753" width="4.77734375" style="1103" customWidth="1"/>
    <col min="9754" max="9754" width="8.88671875" style="1103"/>
    <col min="9755" max="9755" width="13.109375" style="1103" bestFit="1" customWidth="1"/>
    <col min="9756" max="9758" width="8.88671875" style="1103"/>
    <col min="9759" max="9759" width="11.77734375" style="1103" customWidth="1"/>
    <col min="9760" max="9994" width="8.88671875" style="1103"/>
    <col min="9995" max="9995" width="4.109375" style="1103" bestFit="1" customWidth="1"/>
    <col min="9996" max="9996" width="9.5546875" style="1103" bestFit="1" customWidth="1"/>
    <col min="9997" max="9997" width="6.6640625" style="1103" bestFit="1" customWidth="1"/>
    <col min="9998" max="9998" width="7" style="1103" bestFit="1" customWidth="1"/>
    <col min="9999" max="9999" width="8.88671875" style="1103"/>
    <col min="10000" max="10000" width="8.88671875" style="1103" customWidth="1"/>
    <col min="10001" max="10008" width="6.33203125" style="1103" customWidth="1"/>
    <col min="10009" max="10009" width="4.77734375" style="1103" customWidth="1"/>
    <col min="10010" max="10010" width="8.88671875" style="1103"/>
    <col min="10011" max="10011" width="13.109375" style="1103" bestFit="1" customWidth="1"/>
    <col min="10012" max="10014" width="8.88671875" style="1103"/>
    <col min="10015" max="10015" width="11.77734375" style="1103" customWidth="1"/>
    <col min="10016" max="10250" width="8.88671875" style="1103"/>
    <col min="10251" max="10251" width="4.109375" style="1103" bestFit="1" customWidth="1"/>
    <col min="10252" max="10252" width="9.5546875" style="1103" bestFit="1" customWidth="1"/>
    <col min="10253" max="10253" width="6.6640625" style="1103" bestFit="1" customWidth="1"/>
    <col min="10254" max="10254" width="7" style="1103" bestFit="1" customWidth="1"/>
    <col min="10255" max="10255" width="8.88671875" style="1103"/>
    <col min="10256" max="10256" width="8.88671875" style="1103" customWidth="1"/>
    <col min="10257" max="10264" width="6.33203125" style="1103" customWidth="1"/>
    <col min="10265" max="10265" width="4.77734375" style="1103" customWidth="1"/>
    <col min="10266" max="10266" width="8.88671875" style="1103"/>
    <col min="10267" max="10267" width="13.109375" style="1103" bestFit="1" customWidth="1"/>
    <col min="10268" max="10270" width="8.88671875" style="1103"/>
    <col min="10271" max="10271" width="11.77734375" style="1103" customWidth="1"/>
    <col min="10272" max="10506" width="8.88671875" style="1103"/>
    <col min="10507" max="10507" width="4.109375" style="1103" bestFit="1" customWidth="1"/>
    <col min="10508" max="10508" width="9.5546875" style="1103" bestFit="1" customWidth="1"/>
    <col min="10509" max="10509" width="6.6640625" style="1103" bestFit="1" customWidth="1"/>
    <col min="10510" max="10510" width="7" style="1103" bestFit="1" customWidth="1"/>
    <col min="10511" max="10511" width="8.88671875" style="1103"/>
    <col min="10512" max="10512" width="8.88671875" style="1103" customWidth="1"/>
    <col min="10513" max="10520" width="6.33203125" style="1103" customWidth="1"/>
    <col min="10521" max="10521" width="4.77734375" style="1103" customWidth="1"/>
    <col min="10522" max="10522" width="8.88671875" style="1103"/>
    <col min="10523" max="10523" width="13.109375" style="1103" bestFit="1" customWidth="1"/>
    <col min="10524" max="10526" width="8.88671875" style="1103"/>
    <col min="10527" max="10527" width="11.77734375" style="1103" customWidth="1"/>
    <col min="10528" max="10762" width="8.88671875" style="1103"/>
    <col min="10763" max="10763" width="4.109375" style="1103" bestFit="1" customWidth="1"/>
    <col min="10764" max="10764" width="9.5546875" style="1103" bestFit="1" customWidth="1"/>
    <col min="10765" max="10765" width="6.6640625" style="1103" bestFit="1" customWidth="1"/>
    <col min="10766" max="10766" width="7" style="1103" bestFit="1" customWidth="1"/>
    <col min="10767" max="10767" width="8.88671875" style="1103"/>
    <col min="10768" max="10768" width="8.88671875" style="1103" customWidth="1"/>
    <col min="10769" max="10776" width="6.33203125" style="1103" customWidth="1"/>
    <col min="10777" max="10777" width="4.77734375" style="1103" customWidth="1"/>
    <col min="10778" max="10778" width="8.88671875" style="1103"/>
    <col min="10779" max="10779" width="13.109375" style="1103" bestFit="1" customWidth="1"/>
    <col min="10780" max="10782" width="8.88671875" style="1103"/>
    <col min="10783" max="10783" width="11.77734375" style="1103" customWidth="1"/>
    <col min="10784" max="11018" width="8.88671875" style="1103"/>
    <col min="11019" max="11019" width="4.109375" style="1103" bestFit="1" customWidth="1"/>
    <col min="11020" max="11020" width="9.5546875" style="1103" bestFit="1" customWidth="1"/>
    <col min="11021" max="11021" width="6.6640625" style="1103" bestFit="1" customWidth="1"/>
    <col min="11022" max="11022" width="7" style="1103" bestFit="1" customWidth="1"/>
    <col min="11023" max="11023" width="8.88671875" style="1103"/>
    <col min="11024" max="11024" width="8.88671875" style="1103" customWidth="1"/>
    <col min="11025" max="11032" width="6.33203125" style="1103" customWidth="1"/>
    <col min="11033" max="11033" width="4.77734375" style="1103" customWidth="1"/>
    <col min="11034" max="11034" width="8.88671875" style="1103"/>
    <col min="11035" max="11035" width="13.109375" style="1103" bestFit="1" customWidth="1"/>
    <col min="11036" max="11038" width="8.88671875" style="1103"/>
    <col min="11039" max="11039" width="11.77734375" style="1103" customWidth="1"/>
    <col min="11040" max="11274" width="8.88671875" style="1103"/>
    <col min="11275" max="11275" width="4.109375" style="1103" bestFit="1" customWidth="1"/>
    <col min="11276" max="11276" width="9.5546875" style="1103" bestFit="1" customWidth="1"/>
    <col min="11277" max="11277" width="6.6640625" style="1103" bestFit="1" customWidth="1"/>
    <col min="11278" max="11278" width="7" style="1103" bestFit="1" customWidth="1"/>
    <col min="11279" max="11279" width="8.88671875" style="1103"/>
    <col min="11280" max="11280" width="8.88671875" style="1103" customWidth="1"/>
    <col min="11281" max="11288" width="6.33203125" style="1103" customWidth="1"/>
    <col min="11289" max="11289" width="4.77734375" style="1103" customWidth="1"/>
    <col min="11290" max="11290" width="8.88671875" style="1103"/>
    <col min="11291" max="11291" width="13.109375" style="1103" bestFit="1" customWidth="1"/>
    <col min="11292" max="11294" width="8.88671875" style="1103"/>
    <col min="11295" max="11295" width="11.77734375" style="1103" customWidth="1"/>
    <col min="11296" max="11530" width="8.88671875" style="1103"/>
    <col min="11531" max="11531" width="4.109375" style="1103" bestFit="1" customWidth="1"/>
    <col min="11532" max="11532" width="9.5546875" style="1103" bestFit="1" customWidth="1"/>
    <col min="11533" max="11533" width="6.6640625" style="1103" bestFit="1" customWidth="1"/>
    <col min="11534" max="11534" width="7" style="1103" bestFit="1" customWidth="1"/>
    <col min="11535" max="11535" width="8.88671875" style="1103"/>
    <col min="11536" max="11536" width="8.88671875" style="1103" customWidth="1"/>
    <col min="11537" max="11544" width="6.33203125" style="1103" customWidth="1"/>
    <col min="11545" max="11545" width="4.77734375" style="1103" customWidth="1"/>
    <col min="11546" max="11546" width="8.88671875" style="1103"/>
    <col min="11547" max="11547" width="13.109375" style="1103" bestFit="1" customWidth="1"/>
    <col min="11548" max="11550" width="8.88671875" style="1103"/>
    <col min="11551" max="11551" width="11.77734375" style="1103" customWidth="1"/>
    <col min="11552" max="11786" width="8.88671875" style="1103"/>
    <col min="11787" max="11787" width="4.109375" style="1103" bestFit="1" customWidth="1"/>
    <col min="11788" max="11788" width="9.5546875" style="1103" bestFit="1" customWidth="1"/>
    <col min="11789" max="11789" width="6.6640625" style="1103" bestFit="1" customWidth="1"/>
    <col min="11790" max="11790" width="7" style="1103" bestFit="1" customWidth="1"/>
    <col min="11791" max="11791" width="8.88671875" style="1103"/>
    <col min="11792" max="11792" width="8.88671875" style="1103" customWidth="1"/>
    <col min="11793" max="11800" width="6.33203125" style="1103" customWidth="1"/>
    <col min="11801" max="11801" width="4.77734375" style="1103" customWidth="1"/>
    <col min="11802" max="11802" width="8.88671875" style="1103"/>
    <col min="11803" max="11803" width="13.109375" style="1103" bestFit="1" customWidth="1"/>
    <col min="11804" max="11806" width="8.88671875" style="1103"/>
    <col min="11807" max="11807" width="11.77734375" style="1103" customWidth="1"/>
    <col min="11808" max="12042" width="8.88671875" style="1103"/>
    <col min="12043" max="12043" width="4.109375" style="1103" bestFit="1" customWidth="1"/>
    <col min="12044" max="12044" width="9.5546875" style="1103" bestFit="1" customWidth="1"/>
    <col min="12045" max="12045" width="6.6640625" style="1103" bestFit="1" customWidth="1"/>
    <col min="12046" max="12046" width="7" style="1103" bestFit="1" customWidth="1"/>
    <col min="12047" max="12047" width="8.88671875" style="1103"/>
    <col min="12048" max="12048" width="8.88671875" style="1103" customWidth="1"/>
    <col min="12049" max="12056" width="6.33203125" style="1103" customWidth="1"/>
    <col min="12057" max="12057" width="4.77734375" style="1103" customWidth="1"/>
    <col min="12058" max="12058" width="8.88671875" style="1103"/>
    <col min="12059" max="12059" width="13.109375" style="1103" bestFit="1" customWidth="1"/>
    <col min="12060" max="12062" width="8.88671875" style="1103"/>
    <col min="12063" max="12063" width="11.77734375" style="1103" customWidth="1"/>
    <col min="12064" max="12298" width="8.88671875" style="1103"/>
    <col min="12299" max="12299" width="4.109375" style="1103" bestFit="1" customWidth="1"/>
    <col min="12300" max="12300" width="9.5546875" style="1103" bestFit="1" customWidth="1"/>
    <col min="12301" max="12301" width="6.6640625" style="1103" bestFit="1" customWidth="1"/>
    <col min="12302" max="12302" width="7" style="1103" bestFit="1" customWidth="1"/>
    <col min="12303" max="12303" width="8.88671875" style="1103"/>
    <col min="12304" max="12304" width="8.88671875" style="1103" customWidth="1"/>
    <col min="12305" max="12312" width="6.33203125" style="1103" customWidth="1"/>
    <col min="12313" max="12313" width="4.77734375" style="1103" customWidth="1"/>
    <col min="12314" max="12314" width="8.88671875" style="1103"/>
    <col min="12315" max="12315" width="13.109375" style="1103" bestFit="1" customWidth="1"/>
    <col min="12316" max="12318" width="8.88671875" style="1103"/>
    <col min="12319" max="12319" width="11.77734375" style="1103" customWidth="1"/>
    <col min="12320" max="12554" width="8.88671875" style="1103"/>
    <col min="12555" max="12555" width="4.109375" style="1103" bestFit="1" customWidth="1"/>
    <col min="12556" max="12556" width="9.5546875" style="1103" bestFit="1" customWidth="1"/>
    <col min="12557" max="12557" width="6.6640625" style="1103" bestFit="1" customWidth="1"/>
    <col min="12558" max="12558" width="7" style="1103" bestFit="1" customWidth="1"/>
    <col min="12559" max="12559" width="8.88671875" style="1103"/>
    <col min="12560" max="12560" width="8.88671875" style="1103" customWidth="1"/>
    <col min="12561" max="12568" width="6.33203125" style="1103" customWidth="1"/>
    <col min="12569" max="12569" width="4.77734375" style="1103" customWidth="1"/>
    <col min="12570" max="12570" width="8.88671875" style="1103"/>
    <col min="12571" max="12571" width="13.109375" style="1103" bestFit="1" customWidth="1"/>
    <col min="12572" max="12574" width="8.88671875" style="1103"/>
    <col min="12575" max="12575" width="11.77734375" style="1103" customWidth="1"/>
    <col min="12576" max="12810" width="8.88671875" style="1103"/>
    <col min="12811" max="12811" width="4.109375" style="1103" bestFit="1" customWidth="1"/>
    <col min="12812" max="12812" width="9.5546875" style="1103" bestFit="1" customWidth="1"/>
    <col min="12813" max="12813" width="6.6640625" style="1103" bestFit="1" customWidth="1"/>
    <col min="12814" max="12814" width="7" style="1103" bestFit="1" customWidth="1"/>
    <col min="12815" max="12815" width="8.88671875" style="1103"/>
    <col min="12816" max="12816" width="8.88671875" style="1103" customWidth="1"/>
    <col min="12817" max="12824" width="6.33203125" style="1103" customWidth="1"/>
    <col min="12825" max="12825" width="4.77734375" style="1103" customWidth="1"/>
    <col min="12826" max="12826" width="8.88671875" style="1103"/>
    <col min="12827" max="12827" width="13.109375" style="1103" bestFit="1" customWidth="1"/>
    <col min="12828" max="12830" width="8.88671875" style="1103"/>
    <col min="12831" max="12831" width="11.77734375" style="1103" customWidth="1"/>
    <col min="12832" max="13066" width="8.88671875" style="1103"/>
    <col min="13067" max="13067" width="4.109375" style="1103" bestFit="1" customWidth="1"/>
    <col min="13068" max="13068" width="9.5546875" style="1103" bestFit="1" customWidth="1"/>
    <col min="13069" max="13069" width="6.6640625" style="1103" bestFit="1" customWidth="1"/>
    <col min="13070" max="13070" width="7" style="1103" bestFit="1" customWidth="1"/>
    <col min="13071" max="13071" width="8.88671875" style="1103"/>
    <col min="13072" max="13072" width="8.88671875" style="1103" customWidth="1"/>
    <col min="13073" max="13080" width="6.33203125" style="1103" customWidth="1"/>
    <col min="13081" max="13081" width="4.77734375" style="1103" customWidth="1"/>
    <col min="13082" max="13082" width="8.88671875" style="1103"/>
    <col min="13083" max="13083" width="13.109375" style="1103" bestFit="1" customWidth="1"/>
    <col min="13084" max="13086" width="8.88671875" style="1103"/>
    <col min="13087" max="13087" width="11.77734375" style="1103" customWidth="1"/>
    <col min="13088" max="13322" width="8.88671875" style="1103"/>
    <col min="13323" max="13323" width="4.109375" style="1103" bestFit="1" customWidth="1"/>
    <col min="13324" max="13324" width="9.5546875" style="1103" bestFit="1" customWidth="1"/>
    <col min="13325" max="13325" width="6.6640625" style="1103" bestFit="1" customWidth="1"/>
    <col min="13326" max="13326" width="7" style="1103" bestFit="1" customWidth="1"/>
    <col min="13327" max="13327" width="8.88671875" style="1103"/>
    <col min="13328" max="13328" width="8.88671875" style="1103" customWidth="1"/>
    <col min="13329" max="13336" width="6.33203125" style="1103" customWidth="1"/>
    <col min="13337" max="13337" width="4.77734375" style="1103" customWidth="1"/>
    <col min="13338" max="13338" width="8.88671875" style="1103"/>
    <col min="13339" max="13339" width="13.109375" style="1103" bestFit="1" customWidth="1"/>
    <col min="13340" max="13342" width="8.88671875" style="1103"/>
    <col min="13343" max="13343" width="11.77734375" style="1103" customWidth="1"/>
    <col min="13344" max="13578" width="8.88671875" style="1103"/>
    <col min="13579" max="13579" width="4.109375" style="1103" bestFit="1" customWidth="1"/>
    <col min="13580" max="13580" width="9.5546875" style="1103" bestFit="1" customWidth="1"/>
    <col min="13581" max="13581" width="6.6640625" style="1103" bestFit="1" customWidth="1"/>
    <col min="13582" max="13582" width="7" style="1103" bestFit="1" customWidth="1"/>
    <col min="13583" max="13583" width="8.88671875" style="1103"/>
    <col min="13584" max="13584" width="8.88671875" style="1103" customWidth="1"/>
    <col min="13585" max="13592" width="6.33203125" style="1103" customWidth="1"/>
    <col min="13593" max="13593" width="4.77734375" style="1103" customWidth="1"/>
    <col min="13594" max="13594" width="8.88671875" style="1103"/>
    <col min="13595" max="13595" width="13.109375" style="1103" bestFit="1" customWidth="1"/>
    <col min="13596" max="13598" width="8.88671875" style="1103"/>
    <col min="13599" max="13599" width="11.77734375" style="1103" customWidth="1"/>
    <col min="13600" max="13834" width="8.88671875" style="1103"/>
    <col min="13835" max="13835" width="4.109375" style="1103" bestFit="1" customWidth="1"/>
    <col min="13836" max="13836" width="9.5546875" style="1103" bestFit="1" customWidth="1"/>
    <col min="13837" max="13837" width="6.6640625" style="1103" bestFit="1" customWidth="1"/>
    <col min="13838" max="13838" width="7" style="1103" bestFit="1" customWidth="1"/>
    <col min="13839" max="13839" width="8.88671875" style="1103"/>
    <col min="13840" max="13840" width="8.88671875" style="1103" customWidth="1"/>
    <col min="13841" max="13848" width="6.33203125" style="1103" customWidth="1"/>
    <col min="13849" max="13849" width="4.77734375" style="1103" customWidth="1"/>
    <col min="13850" max="13850" width="8.88671875" style="1103"/>
    <col min="13851" max="13851" width="13.109375" style="1103" bestFit="1" customWidth="1"/>
    <col min="13852" max="13854" width="8.88671875" style="1103"/>
    <col min="13855" max="13855" width="11.77734375" style="1103" customWidth="1"/>
    <col min="13856" max="14090" width="8.88671875" style="1103"/>
    <col min="14091" max="14091" width="4.109375" style="1103" bestFit="1" customWidth="1"/>
    <col min="14092" max="14092" width="9.5546875" style="1103" bestFit="1" customWidth="1"/>
    <col min="14093" max="14093" width="6.6640625" style="1103" bestFit="1" customWidth="1"/>
    <col min="14094" max="14094" width="7" style="1103" bestFit="1" customWidth="1"/>
    <col min="14095" max="14095" width="8.88671875" style="1103"/>
    <col min="14096" max="14096" width="8.88671875" style="1103" customWidth="1"/>
    <col min="14097" max="14104" width="6.33203125" style="1103" customWidth="1"/>
    <col min="14105" max="14105" width="4.77734375" style="1103" customWidth="1"/>
    <col min="14106" max="14106" width="8.88671875" style="1103"/>
    <col min="14107" max="14107" width="13.109375" style="1103" bestFit="1" customWidth="1"/>
    <col min="14108" max="14110" width="8.88671875" style="1103"/>
    <col min="14111" max="14111" width="11.77734375" style="1103" customWidth="1"/>
    <col min="14112" max="14346" width="8.88671875" style="1103"/>
    <col min="14347" max="14347" width="4.109375" style="1103" bestFit="1" customWidth="1"/>
    <col min="14348" max="14348" width="9.5546875" style="1103" bestFit="1" customWidth="1"/>
    <col min="14349" max="14349" width="6.6640625" style="1103" bestFit="1" customWidth="1"/>
    <col min="14350" max="14350" width="7" style="1103" bestFit="1" customWidth="1"/>
    <col min="14351" max="14351" width="8.88671875" style="1103"/>
    <col min="14352" max="14352" width="8.88671875" style="1103" customWidth="1"/>
    <col min="14353" max="14360" width="6.33203125" style="1103" customWidth="1"/>
    <col min="14361" max="14361" width="4.77734375" style="1103" customWidth="1"/>
    <col min="14362" max="14362" width="8.88671875" style="1103"/>
    <col min="14363" max="14363" width="13.109375" style="1103" bestFit="1" customWidth="1"/>
    <col min="14364" max="14366" width="8.88671875" style="1103"/>
    <col min="14367" max="14367" width="11.77734375" style="1103" customWidth="1"/>
    <col min="14368" max="14602" width="8.88671875" style="1103"/>
    <col min="14603" max="14603" width="4.109375" style="1103" bestFit="1" customWidth="1"/>
    <col min="14604" max="14604" width="9.5546875" style="1103" bestFit="1" customWidth="1"/>
    <col min="14605" max="14605" width="6.6640625" style="1103" bestFit="1" customWidth="1"/>
    <col min="14606" max="14606" width="7" style="1103" bestFit="1" customWidth="1"/>
    <col min="14607" max="14607" width="8.88671875" style="1103"/>
    <col min="14608" max="14608" width="8.88671875" style="1103" customWidth="1"/>
    <col min="14609" max="14616" width="6.33203125" style="1103" customWidth="1"/>
    <col min="14617" max="14617" width="4.77734375" style="1103" customWidth="1"/>
    <col min="14618" max="14618" width="8.88671875" style="1103"/>
    <col min="14619" max="14619" width="13.109375" style="1103" bestFit="1" customWidth="1"/>
    <col min="14620" max="14622" width="8.88671875" style="1103"/>
    <col min="14623" max="14623" width="11.77734375" style="1103" customWidth="1"/>
    <col min="14624" max="14858" width="8.88671875" style="1103"/>
    <col min="14859" max="14859" width="4.109375" style="1103" bestFit="1" customWidth="1"/>
    <col min="14860" max="14860" width="9.5546875" style="1103" bestFit="1" customWidth="1"/>
    <col min="14861" max="14861" width="6.6640625" style="1103" bestFit="1" customWidth="1"/>
    <col min="14862" max="14862" width="7" style="1103" bestFit="1" customWidth="1"/>
    <col min="14863" max="14863" width="8.88671875" style="1103"/>
    <col min="14864" max="14864" width="8.88671875" style="1103" customWidth="1"/>
    <col min="14865" max="14872" width="6.33203125" style="1103" customWidth="1"/>
    <col min="14873" max="14873" width="4.77734375" style="1103" customWidth="1"/>
    <col min="14874" max="14874" width="8.88671875" style="1103"/>
    <col min="14875" max="14875" width="13.109375" style="1103" bestFit="1" customWidth="1"/>
    <col min="14876" max="14878" width="8.88671875" style="1103"/>
    <col min="14879" max="14879" width="11.77734375" style="1103" customWidth="1"/>
    <col min="14880" max="15114" width="8.88671875" style="1103"/>
    <col min="15115" max="15115" width="4.109375" style="1103" bestFit="1" customWidth="1"/>
    <col min="15116" max="15116" width="9.5546875" style="1103" bestFit="1" customWidth="1"/>
    <col min="15117" max="15117" width="6.6640625" style="1103" bestFit="1" customWidth="1"/>
    <col min="15118" max="15118" width="7" style="1103" bestFit="1" customWidth="1"/>
    <col min="15119" max="15119" width="8.88671875" style="1103"/>
    <col min="15120" max="15120" width="8.88671875" style="1103" customWidth="1"/>
    <col min="15121" max="15128" width="6.33203125" style="1103" customWidth="1"/>
    <col min="15129" max="15129" width="4.77734375" style="1103" customWidth="1"/>
    <col min="15130" max="15130" width="8.88671875" style="1103"/>
    <col min="15131" max="15131" width="13.109375" style="1103" bestFit="1" customWidth="1"/>
    <col min="15132" max="15134" width="8.88671875" style="1103"/>
    <col min="15135" max="15135" width="11.77734375" style="1103" customWidth="1"/>
    <col min="15136" max="15370" width="8.88671875" style="1103"/>
    <col min="15371" max="15371" width="4.109375" style="1103" bestFit="1" customWidth="1"/>
    <col min="15372" max="15372" width="9.5546875" style="1103" bestFit="1" customWidth="1"/>
    <col min="15373" max="15373" width="6.6640625" style="1103" bestFit="1" customWidth="1"/>
    <col min="15374" max="15374" width="7" style="1103" bestFit="1" customWidth="1"/>
    <col min="15375" max="15375" width="8.88671875" style="1103"/>
    <col min="15376" max="15376" width="8.88671875" style="1103" customWidth="1"/>
    <col min="15377" max="15384" width="6.33203125" style="1103" customWidth="1"/>
    <col min="15385" max="15385" width="4.77734375" style="1103" customWidth="1"/>
    <col min="15386" max="15386" width="8.88671875" style="1103"/>
    <col min="15387" max="15387" width="13.109375" style="1103" bestFit="1" customWidth="1"/>
    <col min="15388" max="15390" width="8.88671875" style="1103"/>
    <col min="15391" max="15391" width="11.77734375" style="1103" customWidth="1"/>
    <col min="15392" max="15626" width="8.88671875" style="1103"/>
    <col min="15627" max="15627" width="4.109375" style="1103" bestFit="1" customWidth="1"/>
    <col min="15628" max="15628" width="9.5546875" style="1103" bestFit="1" customWidth="1"/>
    <col min="15629" max="15629" width="6.6640625" style="1103" bestFit="1" customWidth="1"/>
    <col min="15630" max="15630" width="7" style="1103" bestFit="1" customWidth="1"/>
    <col min="15631" max="15631" width="8.88671875" style="1103"/>
    <col min="15632" max="15632" width="8.88671875" style="1103" customWidth="1"/>
    <col min="15633" max="15640" width="6.33203125" style="1103" customWidth="1"/>
    <col min="15641" max="15641" width="4.77734375" style="1103" customWidth="1"/>
    <col min="15642" max="15642" width="8.88671875" style="1103"/>
    <col min="15643" max="15643" width="13.109375" style="1103" bestFit="1" customWidth="1"/>
    <col min="15644" max="15646" width="8.88671875" style="1103"/>
    <col min="15647" max="15647" width="11.77734375" style="1103" customWidth="1"/>
    <col min="15648" max="15882" width="8.88671875" style="1103"/>
    <col min="15883" max="15883" width="4.109375" style="1103" bestFit="1" customWidth="1"/>
    <col min="15884" max="15884" width="9.5546875" style="1103" bestFit="1" customWidth="1"/>
    <col min="15885" max="15885" width="6.6640625" style="1103" bestFit="1" customWidth="1"/>
    <col min="15886" max="15886" width="7" style="1103" bestFit="1" customWidth="1"/>
    <col min="15887" max="15887" width="8.88671875" style="1103"/>
    <col min="15888" max="15888" width="8.88671875" style="1103" customWidth="1"/>
    <col min="15889" max="15896" width="6.33203125" style="1103" customWidth="1"/>
    <col min="15897" max="15897" width="4.77734375" style="1103" customWidth="1"/>
    <col min="15898" max="15898" width="8.88671875" style="1103"/>
    <col min="15899" max="15899" width="13.109375" style="1103" bestFit="1" customWidth="1"/>
    <col min="15900" max="15902" width="8.88671875" style="1103"/>
    <col min="15903" max="15903" width="11.77734375" style="1103" customWidth="1"/>
    <col min="15904" max="16138" width="8.88671875" style="1103"/>
    <col min="16139" max="16139" width="4.109375" style="1103" bestFit="1" customWidth="1"/>
    <col min="16140" max="16140" width="9.5546875" style="1103" bestFit="1" customWidth="1"/>
    <col min="16141" max="16141" width="6.6640625" style="1103" bestFit="1" customWidth="1"/>
    <col min="16142" max="16142" width="7" style="1103" bestFit="1" customWidth="1"/>
    <col min="16143" max="16143" width="8.88671875" style="1103"/>
    <col min="16144" max="16144" width="8.88671875" style="1103" customWidth="1"/>
    <col min="16145" max="16152" width="6.33203125" style="1103" customWidth="1"/>
    <col min="16153" max="16153" width="4.77734375" style="1103" customWidth="1"/>
    <col min="16154" max="16154" width="8.88671875" style="1103"/>
    <col min="16155" max="16155" width="13.109375" style="1103" bestFit="1" customWidth="1"/>
    <col min="16156" max="16158" width="8.88671875" style="1103"/>
    <col min="16159" max="16159" width="11.77734375" style="1103" customWidth="1"/>
    <col min="16160" max="16384" width="8.88671875" style="1103"/>
  </cols>
  <sheetData>
    <row r="1" spans="1:34" ht="20.100000000000001" customHeight="1">
      <c r="A1" s="1371" t="s">
        <v>824</v>
      </c>
      <c r="B1" s="1371"/>
      <c r="C1" s="1371"/>
      <c r="D1" s="1371"/>
      <c r="E1" s="1371"/>
      <c r="F1" s="1371"/>
      <c r="G1" s="1371"/>
      <c r="H1" s="1371"/>
      <c r="I1" s="1371"/>
      <c r="J1" s="1371"/>
      <c r="K1" s="1371"/>
      <c r="L1" s="1371"/>
      <c r="M1" s="1371"/>
      <c r="N1" s="1371"/>
      <c r="O1" s="1371"/>
      <c r="P1" s="1371"/>
      <c r="Q1" s="1371"/>
      <c r="R1" s="1371"/>
      <c r="S1" s="1371"/>
      <c r="T1" s="1371"/>
      <c r="U1" s="1371"/>
      <c r="V1" s="1371"/>
      <c r="W1" s="1371"/>
      <c r="X1" s="1371"/>
      <c r="Y1" s="1371"/>
      <c r="Z1" s="1371"/>
    </row>
    <row r="2" spans="1:34" s="1104" customFormat="1" ht="20.100000000000001" customHeight="1">
      <c r="A2" s="1372" t="s">
        <v>342</v>
      </c>
      <c r="B2" s="1375" t="s">
        <v>31</v>
      </c>
      <c r="C2" s="1375" t="s">
        <v>343</v>
      </c>
      <c r="D2" s="1376" t="s">
        <v>344</v>
      </c>
      <c r="E2" s="1376" t="s">
        <v>934</v>
      </c>
      <c r="F2" s="1362" t="s">
        <v>346</v>
      </c>
      <c r="G2" s="1362"/>
      <c r="H2" s="1362"/>
      <c r="I2" s="1362" t="s">
        <v>347</v>
      </c>
      <c r="J2" s="1362"/>
      <c r="K2" s="1379" t="s">
        <v>348</v>
      </c>
      <c r="L2" s="1380"/>
      <c r="M2" s="1380"/>
      <c r="N2" s="1380"/>
      <c r="O2" s="1380"/>
      <c r="P2" s="1380"/>
      <c r="Q2" s="1380"/>
      <c r="R2" s="1380"/>
      <c r="S2" s="1380"/>
      <c r="T2" s="1381"/>
      <c r="U2" s="1382" t="s">
        <v>436</v>
      </c>
      <c r="V2" s="1362" t="s">
        <v>1003</v>
      </c>
      <c r="W2" s="1362" t="s">
        <v>1002</v>
      </c>
      <c r="X2" s="1362" t="s">
        <v>822</v>
      </c>
      <c r="Y2" s="1362" t="s">
        <v>1021</v>
      </c>
      <c r="Z2" s="1366" t="s">
        <v>355</v>
      </c>
      <c r="AB2" s="1105" t="s">
        <v>435</v>
      </c>
    </row>
    <row r="3" spans="1:34" s="1104" customFormat="1" ht="20.100000000000001" customHeight="1">
      <c r="A3" s="1373"/>
      <c r="B3" s="1364"/>
      <c r="C3" s="1364"/>
      <c r="D3" s="1377"/>
      <c r="E3" s="1377"/>
      <c r="F3" s="1109" t="s">
        <v>817</v>
      </c>
      <c r="G3" s="1109" t="s">
        <v>1343</v>
      </c>
      <c r="H3" s="1109" t="s">
        <v>1358</v>
      </c>
      <c r="I3" s="1109" t="s">
        <v>1359</v>
      </c>
      <c r="J3" s="1109" t="s">
        <v>1352</v>
      </c>
      <c r="K3" s="1109" t="s">
        <v>819</v>
      </c>
      <c r="L3" s="1109" t="s">
        <v>1360</v>
      </c>
      <c r="M3" s="1109" t="s">
        <v>820</v>
      </c>
      <c r="N3" s="1109" t="s">
        <v>821</v>
      </c>
      <c r="O3" s="1109" t="s">
        <v>825</v>
      </c>
      <c r="P3" s="1109" t="s">
        <v>826</v>
      </c>
      <c r="Q3" s="1109" t="s">
        <v>827</v>
      </c>
      <c r="R3" s="1109" t="s">
        <v>828</v>
      </c>
      <c r="S3" s="1109" t="s">
        <v>829</v>
      </c>
      <c r="T3" s="1109" t="s">
        <v>1361</v>
      </c>
      <c r="U3" s="1383"/>
      <c r="V3" s="1363"/>
      <c r="W3" s="1363"/>
      <c r="X3" s="1363"/>
      <c r="Y3" s="1363"/>
      <c r="Z3" s="1367"/>
      <c r="AB3" s="1105"/>
    </row>
    <row r="4" spans="1:34" s="1104" customFormat="1" ht="20.100000000000001" customHeight="1">
      <c r="A4" s="1373"/>
      <c r="B4" s="1364"/>
      <c r="C4" s="1364"/>
      <c r="D4" s="1377"/>
      <c r="E4" s="1377"/>
      <c r="F4" s="1135">
        <v>0.8</v>
      </c>
      <c r="G4" s="1135">
        <v>1</v>
      </c>
      <c r="H4" s="1135">
        <v>1.2</v>
      </c>
      <c r="I4" s="1135">
        <v>0.5</v>
      </c>
      <c r="J4" s="1135">
        <v>1</v>
      </c>
      <c r="K4" s="1136">
        <v>0.2</v>
      </c>
      <c r="L4" s="1136">
        <v>0.25</v>
      </c>
      <c r="M4" s="1136">
        <v>0.3</v>
      </c>
      <c r="N4" s="1136">
        <v>0.4</v>
      </c>
      <c r="O4" s="1136">
        <v>0.5</v>
      </c>
      <c r="P4" s="1136">
        <v>0.6</v>
      </c>
      <c r="Q4" s="1136">
        <v>0.7</v>
      </c>
      <c r="R4" s="1136">
        <v>0.8</v>
      </c>
      <c r="S4" s="1136">
        <v>0.9</v>
      </c>
      <c r="T4" s="1136">
        <v>1</v>
      </c>
      <c r="U4" s="1109" t="s">
        <v>349</v>
      </c>
      <c r="V4" s="1364"/>
      <c r="W4" s="1364"/>
      <c r="X4" s="1364"/>
      <c r="Y4" s="1364"/>
      <c r="Z4" s="1367"/>
      <c r="AB4" s="1105">
        <v>0.11</v>
      </c>
      <c r="AE4" s="1104" t="s">
        <v>954</v>
      </c>
    </row>
    <row r="5" spans="1:34" s="1111" customFormat="1" ht="20.100000000000001" customHeight="1">
      <c r="A5" s="1374"/>
      <c r="B5" s="1365"/>
      <c r="C5" s="1365"/>
      <c r="D5" s="1378"/>
      <c r="E5" s="1378"/>
      <c r="F5" s="1110" t="s">
        <v>5</v>
      </c>
      <c r="G5" s="1110" t="s">
        <v>5</v>
      </c>
      <c r="H5" s="1110" t="s">
        <v>5</v>
      </c>
      <c r="I5" s="1110" t="s">
        <v>5</v>
      </c>
      <c r="J5" s="1110" t="s">
        <v>5</v>
      </c>
      <c r="K5" s="1110" t="s">
        <v>5</v>
      </c>
      <c r="L5" s="1110" t="s">
        <v>5</v>
      </c>
      <c r="M5" s="1110" t="s">
        <v>5</v>
      </c>
      <c r="N5" s="1110" t="s">
        <v>5</v>
      </c>
      <c r="O5" s="1110" t="s">
        <v>5</v>
      </c>
      <c r="P5" s="1110" t="s">
        <v>5</v>
      </c>
      <c r="Q5" s="1110" t="s">
        <v>5</v>
      </c>
      <c r="R5" s="1110" t="s">
        <v>5</v>
      </c>
      <c r="S5" s="1110" t="s">
        <v>5</v>
      </c>
      <c r="T5" s="1110" t="s">
        <v>5</v>
      </c>
      <c r="U5" s="1110" t="s">
        <v>350</v>
      </c>
      <c r="V5" s="1365"/>
      <c r="W5" s="1365"/>
      <c r="X5" s="1365"/>
      <c r="Y5" s="1365"/>
      <c r="Z5" s="1368"/>
      <c r="AE5" s="1111" t="s">
        <v>952</v>
      </c>
      <c r="AF5" s="1111" t="s">
        <v>953</v>
      </c>
    </row>
    <row r="6" spans="1:34" ht="20.100000000000001" customHeight="1">
      <c r="A6" s="1112">
        <v>1</v>
      </c>
      <c r="B6" s="1137" t="str">
        <f t="shared" ref="B6:B40" si="0">AE6</f>
        <v>소(국)2-어천4</v>
      </c>
      <c r="C6" s="1137" t="str">
        <f t="shared" ref="C6:C40" si="1">AF6</f>
        <v>M1-001</v>
      </c>
      <c r="D6" s="1137">
        <f>VLOOKUP(C6,'맨홀 평균 높이'!$J$4:$L$513,2,0)</f>
        <v>1.71</v>
      </c>
      <c r="E6" s="1138">
        <f>D6-$AB$4</f>
        <v>1.5999999999999999</v>
      </c>
      <c r="F6" s="1139"/>
      <c r="G6" s="1139"/>
      <c r="H6" s="1139">
        <v>1</v>
      </c>
      <c r="I6" s="1139"/>
      <c r="J6" s="1139"/>
      <c r="K6" s="1139"/>
      <c r="L6" s="1139"/>
      <c r="M6" s="1139">
        <v>1</v>
      </c>
      <c r="N6" s="1139"/>
      <c r="O6" s="1139"/>
      <c r="P6" s="1139"/>
      <c r="Q6" s="1139"/>
      <c r="R6" s="1139"/>
      <c r="S6" s="1139"/>
      <c r="T6" s="1139"/>
      <c r="U6" s="1140">
        <f>E6-AA6</f>
        <v>9.9999999999999867E-2</v>
      </c>
      <c r="V6" s="1117">
        <f>SUM(F6:J6)*4</f>
        <v>4</v>
      </c>
      <c r="W6" s="1117">
        <f>SUM(F6:J6)*2</f>
        <v>2</v>
      </c>
      <c r="X6" s="1117">
        <f>ROUND(((E6-U6)-0.6)/0.3,0)</f>
        <v>3</v>
      </c>
      <c r="Y6" s="1117" t="str">
        <f>IF(AA6&gt;=4,ROUND(((E6-U6)-0.6)/4,0),"0")</f>
        <v>0</v>
      </c>
      <c r="Z6" s="1141"/>
      <c r="AA6" s="1118">
        <f t="shared" ref="AA6:AA40" si="2">($F$4*F6)+($G$4*G6)+($H$4*H6)+($I$4*I6)+($J$4*J6)+($K$4*K6)+($L$4*L6)+($M$4*M6)+($N$4*N6)+($O$4*O6)+($P$4*P6)+($Q$4*Q6)+($R$4*R6)+($S$4*S6)+($T$4*T6)</f>
        <v>1.5</v>
      </c>
      <c r="AB6" s="1119"/>
      <c r="AC6" s="917">
        <v>9.9999999999999867E-2</v>
      </c>
      <c r="AD6" s="917"/>
      <c r="AE6" s="907" t="s">
        <v>1230</v>
      </c>
      <c r="AF6" s="907" t="s">
        <v>1231</v>
      </c>
      <c r="AG6" s="917"/>
      <c r="AH6" s="917"/>
    </row>
    <row r="7" spans="1:34" ht="20.100000000000001" customHeight="1">
      <c r="A7" s="1210">
        <f>A6+1</f>
        <v>2</v>
      </c>
      <c r="B7" s="1137" t="str">
        <f t="shared" si="0"/>
        <v>소(국)2-어천1</v>
      </c>
      <c r="C7" s="1137" t="str">
        <f t="shared" si="1"/>
        <v>M1-044(1)</v>
      </c>
      <c r="D7" s="1137">
        <f>VLOOKUP(C7,'맨홀 평균 높이'!$J$4:$L$513,2,0)</f>
        <v>1.46</v>
      </c>
      <c r="E7" s="1138">
        <f t="shared" ref="E7:E40" si="3">D7-$AB$4</f>
        <v>1.3499999999999999</v>
      </c>
      <c r="F7" s="1115"/>
      <c r="G7" s="1115">
        <v>1</v>
      </c>
      <c r="H7" s="1115"/>
      <c r="I7" s="1115"/>
      <c r="J7" s="1115"/>
      <c r="K7" s="1115"/>
      <c r="L7" s="1115"/>
      <c r="M7" s="1115">
        <v>1</v>
      </c>
      <c r="N7" s="1115"/>
      <c r="O7" s="1115"/>
      <c r="P7" s="1115"/>
      <c r="Q7" s="1115"/>
      <c r="R7" s="1115"/>
      <c r="S7" s="1115"/>
      <c r="T7" s="1115"/>
      <c r="U7" s="1140">
        <f t="shared" ref="U7:U40" si="4">E7-AA7</f>
        <v>4.9999999999999822E-2</v>
      </c>
      <c r="V7" s="1117">
        <f t="shared" ref="V7:V40" si="5">SUM(F7:J7)*4</f>
        <v>4</v>
      </c>
      <c r="W7" s="1117">
        <f t="shared" ref="W7:W40" si="6">SUM(F7:J7)*2</f>
        <v>2</v>
      </c>
      <c r="X7" s="1117">
        <f t="shared" ref="X7:X40" si="7">ROUND(((E7-U7)-0.6)/0.3,0)</f>
        <v>2</v>
      </c>
      <c r="Y7" s="1117" t="str">
        <f t="shared" ref="Y7:Y40" si="8">IF(AA7&gt;=4,ROUND(((E7-U7)-0.6)/4,0),"0")</f>
        <v>0</v>
      </c>
      <c r="Z7" s="1117"/>
      <c r="AA7" s="1118">
        <f t="shared" si="2"/>
        <v>1.3</v>
      </c>
      <c r="AB7" s="1119"/>
      <c r="AC7" s="917">
        <v>4.9999999999999822E-2</v>
      </c>
      <c r="AD7" s="917"/>
      <c r="AE7" s="907" t="s">
        <v>1261</v>
      </c>
      <c r="AF7" s="907" t="s">
        <v>1492</v>
      </c>
      <c r="AG7" s="917"/>
      <c r="AH7" s="917"/>
    </row>
    <row r="8" spans="1:34" ht="20.100000000000001" customHeight="1">
      <c r="A8" s="1256">
        <f t="shared" ref="A8:A40" si="9">A7+1</f>
        <v>3</v>
      </c>
      <c r="B8" s="1137" t="str">
        <f t="shared" si="0"/>
        <v>소(국)2-어천3</v>
      </c>
      <c r="C8" s="1137" t="str">
        <f t="shared" si="1"/>
        <v>M1-063(1)</v>
      </c>
      <c r="D8" s="1137">
        <f>VLOOKUP(C8,'맨홀 평균 높이'!$J$4:$L$513,2,0)</f>
        <v>1.41</v>
      </c>
      <c r="E8" s="1138">
        <f t="shared" si="3"/>
        <v>1.2999999999999998</v>
      </c>
      <c r="F8" s="1115"/>
      <c r="G8" s="1115">
        <v>1</v>
      </c>
      <c r="H8" s="1115"/>
      <c r="I8" s="1115"/>
      <c r="J8" s="1115"/>
      <c r="K8" s="1115"/>
      <c r="L8" s="1115">
        <v>1</v>
      </c>
      <c r="M8" s="1115"/>
      <c r="N8" s="1115"/>
      <c r="O8" s="1115"/>
      <c r="P8" s="1115"/>
      <c r="Q8" s="1115"/>
      <c r="R8" s="1115"/>
      <c r="S8" s="1115"/>
      <c r="T8" s="1115"/>
      <c r="U8" s="1140">
        <f t="shared" si="4"/>
        <v>4.9999999999999822E-2</v>
      </c>
      <c r="V8" s="1117">
        <f t="shared" si="5"/>
        <v>4</v>
      </c>
      <c r="W8" s="1117">
        <f t="shared" si="6"/>
        <v>2</v>
      </c>
      <c r="X8" s="1117">
        <f t="shared" si="7"/>
        <v>2</v>
      </c>
      <c r="Y8" s="1117" t="str">
        <f t="shared" si="8"/>
        <v>0</v>
      </c>
      <c r="Z8" s="1117"/>
      <c r="AA8" s="1118">
        <f t="shared" si="2"/>
        <v>1.25</v>
      </c>
      <c r="AB8" s="1119"/>
      <c r="AC8" s="917">
        <v>4.9999999999999822E-2</v>
      </c>
      <c r="AD8" s="917"/>
      <c r="AE8" s="907" t="s">
        <v>1266</v>
      </c>
      <c r="AF8" s="907" t="s">
        <v>1493</v>
      </c>
      <c r="AG8" s="917"/>
      <c r="AH8" s="917"/>
    </row>
    <row r="9" spans="1:34" ht="20.100000000000001" customHeight="1">
      <c r="A9" s="1256">
        <f t="shared" si="9"/>
        <v>4</v>
      </c>
      <c r="B9" s="1137" t="str">
        <f t="shared" si="0"/>
        <v>소(국)3-어천1</v>
      </c>
      <c r="C9" s="1137" t="str">
        <f t="shared" si="1"/>
        <v>M1-064</v>
      </c>
      <c r="D9" s="1137">
        <f>VLOOKUP(C9,'맨홀 평균 높이'!$J$4:$L$513,2,0)</f>
        <v>1.42</v>
      </c>
      <c r="E9" s="1138">
        <f t="shared" si="3"/>
        <v>1.3099999999999998</v>
      </c>
      <c r="F9" s="1115"/>
      <c r="G9" s="1115">
        <v>1</v>
      </c>
      <c r="H9" s="1115"/>
      <c r="I9" s="1115"/>
      <c r="J9" s="1115"/>
      <c r="K9" s="1115"/>
      <c r="L9" s="1115"/>
      <c r="M9" s="1115">
        <v>1</v>
      </c>
      <c r="N9" s="1115"/>
      <c r="O9" s="1115"/>
      <c r="P9" s="1115"/>
      <c r="Q9" s="1115"/>
      <c r="R9" s="1115"/>
      <c r="S9" s="1115"/>
      <c r="T9" s="1115"/>
      <c r="U9" s="1140">
        <f t="shared" si="4"/>
        <v>9.9999999999997868E-3</v>
      </c>
      <c r="V9" s="1117">
        <f t="shared" si="5"/>
        <v>4</v>
      </c>
      <c r="W9" s="1117">
        <f t="shared" si="6"/>
        <v>2</v>
      </c>
      <c r="X9" s="1117">
        <f t="shared" si="7"/>
        <v>2</v>
      </c>
      <c r="Y9" s="1117" t="str">
        <f t="shared" si="8"/>
        <v>0</v>
      </c>
      <c r="Z9" s="1117"/>
      <c r="AA9" s="1118">
        <f t="shared" si="2"/>
        <v>1.3</v>
      </c>
      <c r="AB9" s="1119"/>
      <c r="AC9" s="917">
        <v>9.9999999999997868E-3</v>
      </c>
      <c r="AD9" s="917"/>
      <c r="AE9" s="907" t="s">
        <v>1267</v>
      </c>
      <c r="AF9" s="907" t="s">
        <v>1309</v>
      </c>
      <c r="AG9" s="917"/>
      <c r="AH9" s="917"/>
    </row>
    <row r="10" spans="1:34" ht="20.100000000000001" customHeight="1">
      <c r="A10" s="1256">
        <f t="shared" si="9"/>
        <v>5</v>
      </c>
      <c r="B10" s="1137" t="str">
        <f t="shared" si="0"/>
        <v>A074~A076(2)</v>
      </c>
      <c r="C10" s="1137" t="str">
        <f t="shared" si="1"/>
        <v>M1-066(1)</v>
      </c>
      <c r="D10" s="1137">
        <f>VLOOKUP(C10,'맨홀 평균 높이'!$J$4:$L$513,2,0)</f>
        <v>4.0199999999999996</v>
      </c>
      <c r="E10" s="1138">
        <f t="shared" si="3"/>
        <v>3.9099999999999997</v>
      </c>
      <c r="F10" s="1115"/>
      <c r="G10" s="1115">
        <v>1</v>
      </c>
      <c r="H10" s="1115"/>
      <c r="I10" s="1115"/>
      <c r="J10" s="1115">
        <v>2</v>
      </c>
      <c r="K10" s="1115"/>
      <c r="L10" s="1115"/>
      <c r="M10" s="1115"/>
      <c r="N10" s="1115"/>
      <c r="O10" s="1115"/>
      <c r="P10" s="1115"/>
      <c r="Q10" s="1115"/>
      <c r="R10" s="1115"/>
      <c r="S10" s="1115">
        <v>1</v>
      </c>
      <c r="T10" s="1115"/>
      <c r="U10" s="1140">
        <f t="shared" si="4"/>
        <v>9.9999999999997868E-3</v>
      </c>
      <c r="V10" s="1117">
        <f t="shared" si="5"/>
        <v>12</v>
      </c>
      <c r="W10" s="1117">
        <f t="shared" si="6"/>
        <v>6</v>
      </c>
      <c r="X10" s="1117">
        <f t="shared" si="7"/>
        <v>11</v>
      </c>
      <c r="Y10" s="1117" t="str">
        <f t="shared" si="8"/>
        <v>0</v>
      </c>
      <c r="Z10" s="1117"/>
      <c r="AA10" s="1118">
        <f t="shared" si="2"/>
        <v>3.9</v>
      </c>
      <c r="AB10" s="1119"/>
      <c r="AC10" s="917">
        <v>9.9999999999997868E-3</v>
      </c>
      <c r="AD10" s="917"/>
      <c r="AE10" s="907" t="s">
        <v>1338</v>
      </c>
      <c r="AF10" s="907" t="s">
        <v>1339</v>
      </c>
      <c r="AG10" s="917"/>
      <c r="AH10" s="917"/>
    </row>
    <row r="11" spans="1:34" s="1146" customFormat="1" ht="20.100000000000001" customHeight="1">
      <c r="A11" s="1256">
        <f t="shared" si="9"/>
        <v>6</v>
      </c>
      <c r="B11" s="1137" t="str">
        <f t="shared" si="0"/>
        <v>소(국)2-어천5</v>
      </c>
      <c r="C11" s="1137" t="str">
        <f t="shared" si="1"/>
        <v>M1-075</v>
      </c>
      <c r="D11" s="1137">
        <f>VLOOKUP(C11,'맨홀 평균 높이'!$J$4:$L$513,2,0)</f>
        <v>1.57</v>
      </c>
      <c r="E11" s="1138">
        <f t="shared" si="3"/>
        <v>1.46</v>
      </c>
      <c r="F11" s="1115"/>
      <c r="G11" s="1115"/>
      <c r="H11" s="1115">
        <v>1</v>
      </c>
      <c r="I11" s="1115"/>
      <c r="J11" s="1115"/>
      <c r="K11" s="1115"/>
      <c r="L11" s="1115">
        <v>1</v>
      </c>
      <c r="M11" s="1115"/>
      <c r="N11" s="1115"/>
      <c r="O11" s="1115"/>
      <c r="P11" s="1115"/>
      <c r="Q11" s="1115"/>
      <c r="R11" s="1115"/>
      <c r="S11" s="1115"/>
      <c r="T11" s="1115"/>
      <c r="U11" s="1140">
        <f t="shared" si="4"/>
        <v>1.0000000000000009E-2</v>
      </c>
      <c r="V11" s="1117">
        <f t="shared" si="5"/>
        <v>4</v>
      </c>
      <c r="W11" s="1117">
        <f t="shared" si="6"/>
        <v>2</v>
      </c>
      <c r="X11" s="1117">
        <f t="shared" si="7"/>
        <v>3</v>
      </c>
      <c r="Y11" s="1117" t="str">
        <f t="shared" si="8"/>
        <v>0</v>
      </c>
      <c r="Z11" s="1117"/>
      <c r="AA11" s="1118">
        <f t="shared" si="2"/>
        <v>1.45</v>
      </c>
      <c r="AB11" s="1144"/>
      <c r="AC11" s="1145">
        <v>1.0000000000000009E-2</v>
      </c>
      <c r="AD11" s="1145"/>
      <c r="AE11" s="907" t="s">
        <v>1268</v>
      </c>
      <c r="AF11" s="907" t="s">
        <v>1269</v>
      </c>
      <c r="AG11" s="1145"/>
      <c r="AH11" s="1145"/>
    </row>
    <row r="12" spans="1:34" ht="20.100000000000001" customHeight="1">
      <c r="A12" s="1256">
        <f t="shared" si="9"/>
        <v>7</v>
      </c>
      <c r="B12" s="1137" t="str">
        <f t="shared" si="0"/>
        <v>소(국)2-어천6</v>
      </c>
      <c r="C12" s="1137" t="str">
        <f t="shared" si="1"/>
        <v>M1-077</v>
      </c>
      <c r="D12" s="1137">
        <f>VLOOKUP(C12,'맨홀 평균 높이'!$J$4:$L$513,2,0)</f>
        <v>1.25</v>
      </c>
      <c r="E12" s="1138">
        <f t="shared" si="3"/>
        <v>1.1399999999999999</v>
      </c>
      <c r="F12" s="1115">
        <v>1</v>
      </c>
      <c r="G12" s="1115"/>
      <c r="H12" s="1115"/>
      <c r="I12" s="1115"/>
      <c r="J12" s="1115"/>
      <c r="K12" s="1115"/>
      <c r="L12" s="1115"/>
      <c r="M12" s="1115">
        <v>1</v>
      </c>
      <c r="N12" s="1115"/>
      <c r="O12" s="1115"/>
      <c r="P12" s="1115"/>
      <c r="Q12" s="1115"/>
      <c r="R12" s="1115"/>
      <c r="S12" s="1115"/>
      <c r="T12" s="1115"/>
      <c r="U12" s="1140">
        <f t="shared" si="4"/>
        <v>3.9999999999999813E-2</v>
      </c>
      <c r="V12" s="1117">
        <f t="shared" si="5"/>
        <v>4</v>
      </c>
      <c r="W12" s="1117">
        <f t="shared" si="6"/>
        <v>2</v>
      </c>
      <c r="X12" s="1117">
        <f t="shared" si="7"/>
        <v>2</v>
      </c>
      <c r="Y12" s="1117" t="str">
        <f t="shared" si="8"/>
        <v>0</v>
      </c>
      <c r="Z12" s="1117"/>
      <c r="AA12" s="1118">
        <f t="shared" si="2"/>
        <v>1.1000000000000001</v>
      </c>
      <c r="AB12" s="1119"/>
      <c r="AC12" s="1253">
        <v>-5.0600000000000005</v>
      </c>
      <c r="AD12" s="917"/>
      <c r="AE12" s="907" t="s">
        <v>1272</v>
      </c>
      <c r="AF12" s="907" t="s">
        <v>1273</v>
      </c>
      <c r="AG12" s="917"/>
      <c r="AH12" s="917"/>
    </row>
    <row r="13" spans="1:34" ht="20.100000000000001" customHeight="1">
      <c r="A13" s="1256">
        <f t="shared" si="9"/>
        <v>8</v>
      </c>
      <c r="B13" s="1137" t="str">
        <f t="shared" si="0"/>
        <v>소(국)3-어천2</v>
      </c>
      <c r="C13" s="1137" t="str">
        <f t="shared" si="1"/>
        <v>M1-081(1)</v>
      </c>
      <c r="D13" s="1137">
        <f>VLOOKUP(C13,'맨홀 평균 높이'!$J$4:$L$513,2,0)</f>
        <v>1.42</v>
      </c>
      <c r="E13" s="1138">
        <f t="shared" si="3"/>
        <v>1.3099999999999998</v>
      </c>
      <c r="F13" s="1115"/>
      <c r="G13" s="1115">
        <v>1</v>
      </c>
      <c r="H13" s="1115"/>
      <c r="I13" s="1115"/>
      <c r="J13" s="1115"/>
      <c r="K13" s="1115"/>
      <c r="L13" s="1115"/>
      <c r="M13" s="1115">
        <v>1</v>
      </c>
      <c r="N13" s="1115"/>
      <c r="O13" s="1115"/>
      <c r="P13" s="1115"/>
      <c r="Q13" s="1115"/>
      <c r="R13" s="1115"/>
      <c r="S13" s="1115"/>
      <c r="T13" s="1115"/>
      <c r="U13" s="1140">
        <f t="shared" si="4"/>
        <v>9.9999999999997868E-3</v>
      </c>
      <c r="V13" s="1117">
        <f t="shared" si="5"/>
        <v>4</v>
      </c>
      <c r="W13" s="1117">
        <f t="shared" si="6"/>
        <v>2</v>
      </c>
      <c r="X13" s="1117">
        <f t="shared" si="7"/>
        <v>2</v>
      </c>
      <c r="Y13" s="1117" t="str">
        <f t="shared" si="8"/>
        <v>0</v>
      </c>
      <c r="Z13" s="1117"/>
      <c r="AA13" s="1118">
        <f t="shared" si="2"/>
        <v>1.3</v>
      </c>
      <c r="AB13" s="1119"/>
      <c r="AC13" s="917">
        <v>9.9999999999997868E-3</v>
      </c>
      <c r="AD13" s="917"/>
      <c r="AE13" s="907" t="s">
        <v>1274</v>
      </c>
      <c r="AF13" s="907" t="s">
        <v>1427</v>
      </c>
      <c r="AG13" s="917"/>
      <c r="AH13" s="917"/>
    </row>
    <row r="14" spans="1:34" ht="20.100000000000001" customHeight="1">
      <c r="A14" s="1256">
        <f t="shared" si="9"/>
        <v>9</v>
      </c>
      <c r="B14" s="1137" t="str">
        <f t="shared" si="0"/>
        <v>가도_A092</v>
      </c>
      <c r="C14" s="1137" t="str">
        <f t="shared" si="1"/>
        <v>M1-082</v>
      </c>
      <c r="D14" s="1137">
        <f>VLOOKUP(C14,'맨홀 평균 높이'!$J$4:$L$513,2,0)</f>
        <v>3.03</v>
      </c>
      <c r="E14" s="1138">
        <f t="shared" si="3"/>
        <v>2.92</v>
      </c>
      <c r="F14" s="1115"/>
      <c r="G14" s="1115">
        <v>1</v>
      </c>
      <c r="H14" s="1115"/>
      <c r="I14" s="1115"/>
      <c r="J14" s="1115">
        <v>1</v>
      </c>
      <c r="K14" s="1115"/>
      <c r="L14" s="1115"/>
      <c r="M14" s="1115"/>
      <c r="N14" s="1115"/>
      <c r="O14" s="1115"/>
      <c r="P14" s="1115"/>
      <c r="Q14" s="1115"/>
      <c r="R14" s="1115"/>
      <c r="S14" s="1115">
        <v>1</v>
      </c>
      <c r="T14" s="1115"/>
      <c r="U14" s="1140">
        <f t="shared" si="4"/>
        <v>2.0000000000000018E-2</v>
      </c>
      <c r="V14" s="1117">
        <f t="shared" si="5"/>
        <v>8</v>
      </c>
      <c r="W14" s="1117">
        <f t="shared" si="6"/>
        <v>4</v>
      </c>
      <c r="X14" s="1117">
        <f t="shared" si="7"/>
        <v>8</v>
      </c>
      <c r="Y14" s="1117" t="str">
        <f t="shared" si="8"/>
        <v>0</v>
      </c>
      <c r="Z14" s="1117"/>
      <c r="AA14" s="1118">
        <f t="shared" si="2"/>
        <v>2.9</v>
      </c>
      <c r="AB14" s="1119"/>
      <c r="AC14" s="917">
        <v>2.0000000000000018E-2</v>
      </c>
      <c r="AD14" s="917"/>
      <c r="AE14" s="907" t="s">
        <v>1428</v>
      </c>
      <c r="AF14" s="907" t="s">
        <v>1275</v>
      </c>
      <c r="AG14" s="917"/>
      <c r="AH14" s="917"/>
    </row>
    <row r="15" spans="1:34" ht="20.100000000000001" customHeight="1">
      <c r="A15" s="1256">
        <f t="shared" si="9"/>
        <v>10</v>
      </c>
      <c r="B15" s="1137" t="str">
        <f t="shared" si="0"/>
        <v>가도_A093</v>
      </c>
      <c r="C15" s="1137" t="str">
        <f t="shared" si="1"/>
        <v>M1-083</v>
      </c>
      <c r="D15" s="1137">
        <f>VLOOKUP(C15,'맨홀 평균 높이'!$J$4:$L$513,2,0)</f>
        <v>5.84</v>
      </c>
      <c r="E15" s="1138">
        <f t="shared" si="3"/>
        <v>5.7299999999999995</v>
      </c>
      <c r="F15" s="1115"/>
      <c r="G15" s="1115"/>
      <c r="H15" s="1115">
        <v>1</v>
      </c>
      <c r="I15" s="1115">
        <v>1</v>
      </c>
      <c r="J15" s="1115">
        <v>3</v>
      </c>
      <c r="K15" s="1115"/>
      <c r="L15" s="1115"/>
      <c r="M15" s="1115"/>
      <c r="N15" s="1115"/>
      <c r="O15" s="1115"/>
      <c r="P15" s="1115"/>
      <c r="Q15" s="1115"/>
      <c r="R15" s="1115"/>
      <c r="S15" s="1115"/>
      <c r="T15" s="1115">
        <v>1</v>
      </c>
      <c r="U15" s="1140">
        <f t="shared" si="4"/>
        <v>2.9999999999999361E-2</v>
      </c>
      <c r="V15" s="1117">
        <f t="shared" si="5"/>
        <v>20</v>
      </c>
      <c r="W15" s="1117">
        <f t="shared" si="6"/>
        <v>10</v>
      </c>
      <c r="X15" s="1117">
        <f t="shared" si="7"/>
        <v>17</v>
      </c>
      <c r="Y15" s="1117">
        <f t="shared" si="8"/>
        <v>1</v>
      </c>
      <c r="Z15" s="1117"/>
      <c r="AA15" s="1118">
        <f t="shared" si="2"/>
        <v>5.7</v>
      </c>
      <c r="AB15" s="1119"/>
      <c r="AC15" s="917">
        <v>2.9999999999999361E-2</v>
      </c>
      <c r="AD15" s="917"/>
      <c r="AE15" s="907" t="s">
        <v>1276</v>
      </c>
      <c r="AF15" s="907" t="s">
        <v>1277</v>
      </c>
      <c r="AG15" s="917"/>
      <c r="AH15" s="917"/>
    </row>
    <row r="16" spans="1:34" ht="20.100000000000001" customHeight="1">
      <c r="A16" s="1256">
        <f t="shared" si="9"/>
        <v>11</v>
      </c>
      <c r="B16" s="1137" t="str">
        <f t="shared" si="0"/>
        <v>가도_A094</v>
      </c>
      <c r="C16" s="1137" t="str">
        <f t="shared" si="1"/>
        <v>M1-084</v>
      </c>
      <c r="D16" s="1137">
        <f>VLOOKUP(C16,'맨홀 평균 높이'!$J$4:$L$513,2,0)</f>
        <v>6.04</v>
      </c>
      <c r="E16" s="1138">
        <f t="shared" si="3"/>
        <v>5.93</v>
      </c>
      <c r="F16" s="1115"/>
      <c r="G16" s="1115">
        <v>1</v>
      </c>
      <c r="H16" s="1115"/>
      <c r="I16" s="1115"/>
      <c r="J16" s="1115">
        <v>4</v>
      </c>
      <c r="K16" s="1115"/>
      <c r="L16" s="1115"/>
      <c r="M16" s="1115"/>
      <c r="N16" s="1115"/>
      <c r="O16" s="1115"/>
      <c r="P16" s="1115"/>
      <c r="Q16" s="1115"/>
      <c r="R16" s="1115"/>
      <c r="S16" s="1115">
        <v>1</v>
      </c>
      <c r="T16" s="1115"/>
      <c r="U16" s="1140">
        <f t="shared" si="4"/>
        <v>2.9999999999999361E-2</v>
      </c>
      <c r="V16" s="1117">
        <f t="shared" si="5"/>
        <v>20</v>
      </c>
      <c r="W16" s="1117">
        <f t="shared" si="6"/>
        <v>10</v>
      </c>
      <c r="X16" s="1117">
        <f t="shared" si="7"/>
        <v>18</v>
      </c>
      <c r="Y16" s="1117">
        <f t="shared" si="8"/>
        <v>1</v>
      </c>
      <c r="Z16" s="1117"/>
      <c r="AA16" s="1118">
        <f t="shared" si="2"/>
        <v>5.9</v>
      </c>
      <c r="AB16" s="1119"/>
      <c r="AC16" s="917">
        <v>2.9999999999999361E-2</v>
      </c>
      <c r="AD16" s="917"/>
      <c r="AE16" s="907" t="s">
        <v>1278</v>
      </c>
      <c r="AF16" s="907" t="s">
        <v>1279</v>
      </c>
      <c r="AG16" s="917"/>
      <c r="AH16" s="917"/>
    </row>
    <row r="17" spans="1:34" ht="20.100000000000001" customHeight="1">
      <c r="A17" s="1256">
        <f t="shared" si="9"/>
        <v>12</v>
      </c>
      <c r="B17" s="1137" t="str">
        <f t="shared" si="0"/>
        <v>가도_A101</v>
      </c>
      <c r="C17" s="1137" t="str">
        <f t="shared" si="1"/>
        <v>M1-091</v>
      </c>
      <c r="D17" s="1137">
        <f>VLOOKUP(C17,'맨홀 평균 높이'!$J$4:$L$513,2,0)</f>
        <v>5.04</v>
      </c>
      <c r="E17" s="1138">
        <f t="shared" si="3"/>
        <v>4.93</v>
      </c>
      <c r="F17" s="1115"/>
      <c r="G17" s="1115">
        <v>1</v>
      </c>
      <c r="H17" s="1115"/>
      <c r="I17" s="1115"/>
      <c r="J17" s="1115">
        <v>3</v>
      </c>
      <c r="K17" s="1115"/>
      <c r="L17" s="1115"/>
      <c r="M17" s="1115"/>
      <c r="N17" s="1115"/>
      <c r="O17" s="1115"/>
      <c r="P17" s="1115"/>
      <c r="Q17" s="1115"/>
      <c r="R17" s="1115"/>
      <c r="S17" s="1115">
        <v>1</v>
      </c>
      <c r="T17" s="1115"/>
      <c r="U17" s="1140">
        <f t="shared" si="4"/>
        <v>2.9999999999999361E-2</v>
      </c>
      <c r="V17" s="1117">
        <f t="shared" si="5"/>
        <v>16</v>
      </c>
      <c r="W17" s="1117">
        <f t="shared" si="6"/>
        <v>8</v>
      </c>
      <c r="X17" s="1117">
        <f t="shared" si="7"/>
        <v>14</v>
      </c>
      <c r="Y17" s="1117">
        <f t="shared" si="8"/>
        <v>1</v>
      </c>
      <c r="Z17" s="1117"/>
      <c r="AA17" s="1118">
        <f t="shared" si="2"/>
        <v>4.9000000000000004</v>
      </c>
      <c r="AB17" s="1119"/>
      <c r="AC17" s="917">
        <v>2.9999999999999361E-2</v>
      </c>
      <c r="AD17" s="917"/>
      <c r="AE17" s="907" t="s">
        <v>1284</v>
      </c>
      <c r="AF17" s="907" t="s">
        <v>1285</v>
      </c>
      <c r="AG17" s="917"/>
      <c r="AH17" s="917"/>
    </row>
    <row r="18" spans="1:34" ht="20.100000000000001" customHeight="1">
      <c r="A18" s="1256">
        <f t="shared" si="9"/>
        <v>13</v>
      </c>
      <c r="B18" s="1137" t="str">
        <f t="shared" si="0"/>
        <v>중(집)2-어천1</v>
      </c>
      <c r="C18" s="1137" t="str">
        <f t="shared" si="1"/>
        <v>M1-092</v>
      </c>
      <c r="D18" s="1137">
        <f>VLOOKUP(C18,'맨홀 평균 높이'!$J$4:$L$513,2,0)</f>
        <v>5.2</v>
      </c>
      <c r="E18" s="1138">
        <f t="shared" si="3"/>
        <v>5.09</v>
      </c>
      <c r="F18" s="1115"/>
      <c r="G18" s="1115">
        <v>1</v>
      </c>
      <c r="H18" s="1115"/>
      <c r="I18" s="1115"/>
      <c r="J18" s="1115">
        <v>3</v>
      </c>
      <c r="K18" s="1115"/>
      <c r="L18" s="1115"/>
      <c r="M18" s="1115"/>
      <c r="N18" s="1115"/>
      <c r="O18" s="1115"/>
      <c r="P18" s="1115"/>
      <c r="Q18" s="1115"/>
      <c r="R18" s="1115"/>
      <c r="S18" s="1115"/>
      <c r="T18" s="1115">
        <v>1</v>
      </c>
      <c r="U18" s="1140">
        <f t="shared" si="4"/>
        <v>8.9999999999999858E-2</v>
      </c>
      <c r="V18" s="1117">
        <f t="shared" si="5"/>
        <v>16</v>
      </c>
      <c r="W18" s="1117">
        <f t="shared" si="6"/>
        <v>8</v>
      </c>
      <c r="X18" s="1117">
        <f t="shared" si="7"/>
        <v>15</v>
      </c>
      <c r="Y18" s="1117">
        <f t="shared" si="8"/>
        <v>1</v>
      </c>
      <c r="Z18" s="1117"/>
      <c r="AA18" s="1118">
        <f t="shared" si="2"/>
        <v>5</v>
      </c>
      <c r="AB18" s="1119"/>
      <c r="AC18" s="917">
        <v>8.9999999999999858E-2</v>
      </c>
      <c r="AD18" s="917"/>
      <c r="AE18" s="907" t="s">
        <v>1234</v>
      </c>
      <c r="AF18" s="907" t="s">
        <v>1256</v>
      </c>
      <c r="AG18" s="917"/>
      <c r="AH18" s="917"/>
    </row>
    <row r="19" spans="1:34" ht="20.100000000000001" customHeight="1">
      <c r="A19" s="1256">
        <f t="shared" si="9"/>
        <v>14</v>
      </c>
      <c r="B19" s="1137" t="str">
        <f t="shared" si="0"/>
        <v>소(국)2-어천8</v>
      </c>
      <c r="C19" s="1137" t="str">
        <f t="shared" si="1"/>
        <v>M1-093(1)</v>
      </c>
      <c r="D19" s="1137">
        <f>VLOOKUP(C19,'맨홀 평균 높이'!$J$4:$L$513,2,0)</f>
        <v>1.22</v>
      </c>
      <c r="E19" s="1138">
        <f t="shared" si="3"/>
        <v>1.1099999999999999</v>
      </c>
      <c r="F19" s="1115">
        <v>1</v>
      </c>
      <c r="G19" s="1115"/>
      <c r="H19" s="1115"/>
      <c r="I19" s="1115"/>
      <c r="J19" s="1115"/>
      <c r="K19" s="1115"/>
      <c r="L19" s="1115">
        <v>1</v>
      </c>
      <c r="M19" s="1115"/>
      <c r="N19" s="1115"/>
      <c r="O19" s="1115"/>
      <c r="P19" s="1115"/>
      <c r="Q19" s="1115"/>
      <c r="R19" s="1115"/>
      <c r="S19" s="1115"/>
      <c r="T19" s="1115"/>
      <c r="U19" s="1140">
        <f t="shared" si="4"/>
        <v>5.9999999999999831E-2</v>
      </c>
      <c r="V19" s="1117">
        <f t="shared" si="5"/>
        <v>4</v>
      </c>
      <c r="W19" s="1117">
        <f t="shared" si="6"/>
        <v>2</v>
      </c>
      <c r="X19" s="1117">
        <f t="shared" si="7"/>
        <v>2</v>
      </c>
      <c r="Y19" s="1117" t="str">
        <f t="shared" si="8"/>
        <v>0</v>
      </c>
      <c r="Z19" s="1117"/>
      <c r="AA19" s="1118">
        <f t="shared" si="2"/>
        <v>1.05</v>
      </c>
      <c r="AB19" s="1119"/>
      <c r="AC19" s="1253">
        <v>-5.09</v>
      </c>
      <c r="AD19" s="917"/>
      <c r="AE19" s="907" t="s">
        <v>1286</v>
      </c>
      <c r="AF19" s="907" t="s">
        <v>1429</v>
      </c>
      <c r="AG19" s="917"/>
      <c r="AH19" s="917"/>
    </row>
    <row r="20" spans="1:34" ht="20.100000000000001" customHeight="1">
      <c r="A20" s="1256">
        <f t="shared" si="9"/>
        <v>15</v>
      </c>
      <c r="B20" s="1137" t="str">
        <f t="shared" si="0"/>
        <v>소(국)2-어천8</v>
      </c>
      <c r="C20" s="1137" t="str">
        <f t="shared" si="1"/>
        <v>M1-095</v>
      </c>
      <c r="D20" s="1137">
        <f>VLOOKUP(C20,'맨홀 평균 높이'!$J$4:$L$513,2,0)</f>
        <v>3.56</v>
      </c>
      <c r="E20" s="1138">
        <f t="shared" si="3"/>
        <v>3.45</v>
      </c>
      <c r="F20" s="1115"/>
      <c r="G20" s="1115">
        <v>1</v>
      </c>
      <c r="H20" s="1115"/>
      <c r="I20" s="1115">
        <v>1</v>
      </c>
      <c r="J20" s="1115">
        <v>1</v>
      </c>
      <c r="K20" s="1115"/>
      <c r="L20" s="1115"/>
      <c r="M20" s="1115"/>
      <c r="N20" s="1115"/>
      <c r="O20" s="1115"/>
      <c r="P20" s="1115"/>
      <c r="Q20" s="1115"/>
      <c r="R20" s="1115"/>
      <c r="S20" s="1115">
        <v>1</v>
      </c>
      <c r="T20" s="1115"/>
      <c r="U20" s="1140">
        <f t="shared" si="4"/>
        <v>5.0000000000000266E-2</v>
      </c>
      <c r="V20" s="1117">
        <f t="shared" si="5"/>
        <v>12</v>
      </c>
      <c r="W20" s="1117">
        <f t="shared" si="6"/>
        <v>6</v>
      </c>
      <c r="X20" s="1117">
        <f t="shared" si="7"/>
        <v>9</v>
      </c>
      <c r="Y20" s="1117" t="str">
        <f t="shared" si="8"/>
        <v>0</v>
      </c>
      <c r="Z20" s="1117"/>
      <c r="AA20" s="1118">
        <f t="shared" si="2"/>
        <v>3.4</v>
      </c>
      <c r="AB20" s="1119"/>
      <c r="AC20" s="917">
        <v>5.0000000000000266E-2</v>
      </c>
      <c r="AD20" s="917"/>
      <c r="AE20" s="907" t="s">
        <v>1286</v>
      </c>
      <c r="AF20" s="907" t="s">
        <v>1288</v>
      </c>
      <c r="AG20" s="917"/>
      <c r="AH20" s="917"/>
    </row>
    <row r="21" spans="1:34" ht="20.100000000000001" customHeight="1">
      <c r="A21" s="1256">
        <f t="shared" si="9"/>
        <v>16</v>
      </c>
      <c r="B21" s="1137" t="str">
        <f t="shared" si="0"/>
        <v>소(국)2-어천7</v>
      </c>
      <c r="C21" s="1137" t="str">
        <f t="shared" si="1"/>
        <v>M1-108(1)</v>
      </c>
      <c r="D21" s="1137">
        <f>VLOOKUP(C21,'맨홀 평균 높이'!$J$4:$L$513,2,0)</f>
        <v>1.22</v>
      </c>
      <c r="E21" s="1138">
        <f t="shared" si="3"/>
        <v>1.1099999999999999</v>
      </c>
      <c r="F21" s="1115">
        <v>1</v>
      </c>
      <c r="G21" s="1115"/>
      <c r="H21" s="1115"/>
      <c r="I21" s="1115"/>
      <c r="J21" s="1115"/>
      <c r="K21" s="1115"/>
      <c r="L21" s="1115"/>
      <c r="M21" s="1115">
        <v>1</v>
      </c>
      <c r="N21" s="1115"/>
      <c r="O21" s="1115"/>
      <c r="P21" s="1115"/>
      <c r="Q21" s="1115"/>
      <c r="R21" s="1115"/>
      <c r="S21" s="1115"/>
      <c r="T21" s="1115"/>
      <c r="U21" s="1140">
        <f t="shared" si="4"/>
        <v>9.9999999999997868E-3</v>
      </c>
      <c r="V21" s="1117">
        <f t="shared" si="5"/>
        <v>4</v>
      </c>
      <c r="W21" s="1117">
        <f t="shared" si="6"/>
        <v>2</v>
      </c>
      <c r="X21" s="1117">
        <f t="shared" si="7"/>
        <v>2</v>
      </c>
      <c r="Y21" s="1117" t="str">
        <f t="shared" si="8"/>
        <v>0</v>
      </c>
      <c r="Z21" s="1117"/>
      <c r="AA21" s="1118">
        <f t="shared" si="2"/>
        <v>1.1000000000000001</v>
      </c>
      <c r="AB21" s="1119"/>
      <c r="AC21" s="1253">
        <v>-5.09</v>
      </c>
      <c r="AD21" s="917"/>
      <c r="AE21" s="907" t="s">
        <v>1291</v>
      </c>
      <c r="AF21" s="907" t="s">
        <v>1430</v>
      </c>
      <c r="AG21" s="917"/>
      <c r="AH21" s="917"/>
    </row>
    <row r="22" spans="1:34" ht="20.100000000000001" customHeight="1">
      <c r="A22" s="1256">
        <f t="shared" si="9"/>
        <v>17</v>
      </c>
      <c r="B22" s="1137" t="str">
        <f t="shared" si="0"/>
        <v>소(국)1-어천8</v>
      </c>
      <c r="C22" s="1137" t="str">
        <f t="shared" si="1"/>
        <v>M1-109</v>
      </c>
      <c r="D22" s="1137">
        <f>VLOOKUP(C22,'맨홀 평균 높이'!$J$4:$L$513,2,0)</f>
        <v>1.59</v>
      </c>
      <c r="E22" s="1138">
        <f t="shared" si="3"/>
        <v>1.48</v>
      </c>
      <c r="F22" s="1115"/>
      <c r="G22" s="1115"/>
      <c r="H22" s="1115">
        <v>1</v>
      </c>
      <c r="I22" s="1115"/>
      <c r="J22" s="1115"/>
      <c r="K22" s="1115"/>
      <c r="L22" s="1115">
        <v>1</v>
      </c>
      <c r="M22" s="1115"/>
      <c r="N22" s="1115"/>
      <c r="O22" s="1115"/>
      <c r="P22" s="1115"/>
      <c r="Q22" s="1115"/>
      <c r="R22" s="1115"/>
      <c r="S22" s="1115"/>
      <c r="T22" s="1115"/>
      <c r="U22" s="1140">
        <f t="shared" si="4"/>
        <v>3.0000000000000027E-2</v>
      </c>
      <c r="V22" s="1117">
        <f t="shared" si="5"/>
        <v>4</v>
      </c>
      <c r="W22" s="1117">
        <f t="shared" si="6"/>
        <v>2</v>
      </c>
      <c r="X22" s="1117">
        <f t="shared" si="7"/>
        <v>3</v>
      </c>
      <c r="Y22" s="1117" t="str">
        <f t="shared" si="8"/>
        <v>0</v>
      </c>
      <c r="Z22" s="1117"/>
      <c r="AA22" s="1118">
        <f t="shared" si="2"/>
        <v>1.45</v>
      </c>
      <c r="AB22" s="1119"/>
      <c r="AC22" s="917">
        <v>3.0000000000000027E-2</v>
      </c>
      <c r="AD22" s="917"/>
      <c r="AE22" s="907" t="s">
        <v>1292</v>
      </c>
      <c r="AF22" s="907" t="s">
        <v>423</v>
      </c>
      <c r="AG22" s="917"/>
      <c r="AH22" s="917"/>
    </row>
    <row r="23" spans="1:34" ht="20.100000000000001" customHeight="1">
      <c r="A23" s="1256">
        <f t="shared" si="9"/>
        <v>18</v>
      </c>
      <c r="B23" s="1137" t="str">
        <f t="shared" si="0"/>
        <v>A122~123</v>
      </c>
      <c r="C23" s="1137" t="str">
        <f t="shared" si="1"/>
        <v>M1-111(2)</v>
      </c>
      <c r="D23" s="1137">
        <f>VLOOKUP(C23,'맨홀 평균 높이'!$J$4:$L$513,2,0)</f>
        <v>1.66</v>
      </c>
      <c r="E23" s="1138">
        <f t="shared" si="3"/>
        <v>1.5499999999999998</v>
      </c>
      <c r="F23" s="1115"/>
      <c r="G23" s="1115"/>
      <c r="H23" s="1115">
        <v>1</v>
      </c>
      <c r="I23" s="1115"/>
      <c r="J23" s="1115"/>
      <c r="K23" s="1115"/>
      <c r="L23" s="1115"/>
      <c r="M23" s="1115">
        <v>1</v>
      </c>
      <c r="N23" s="1115"/>
      <c r="O23" s="1115"/>
      <c r="P23" s="1115"/>
      <c r="Q23" s="1115"/>
      <c r="R23" s="1115"/>
      <c r="S23" s="1115"/>
      <c r="T23" s="1115"/>
      <c r="U23" s="1140">
        <f t="shared" si="4"/>
        <v>4.9999999999999822E-2</v>
      </c>
      <c r="V23" s="1117">
        <f t="shared" si="5"/>
        <v>4</v>
      </c>
      <c r="W23" s="1117">
        <f t="shared" si="6"/>
        <v>2</v>
      </c>
      <c r="X23" s="1117">
        <f t="shared" si="7"/>
        <v>3</v>
      </c>
      <c r="Y23" s="1117" t="str">
        <f t="shared" si="8"/>
        <v>0</v>
      </c>
      <c r="Z23" s="1117"/>
      <c r="AA23" s="1118">
        <f t="shared" si="2"/>
        <v>1.5</v>
      </c>
      <c r="AB23" s="1119"/>
      <c r="AC23" s="917">
        <v>4.9999999999999822E-2</v>
      </c>
      <c r="AD23" s="917"/>
      <c r="AE23" s="907" t="s">
        <v>1337</v>
      </c>
      <c r="AF23" s="907" t="s">
        <v>1341</v>
      </c>
      <c r="AG23" s="917"/>
      <c r="AH23" s="917"/>
    </row>
    <row r="24" spans="1:34" ht="20.100000000000001" customHeight="1">
      <c r="A24" s="1256">
        <f t="shared" si="9"/>
        <v>19</v>
      </c>
      <c r="B24" s="1137" t="str">
        <f t="shared" si="0"/>
        <v>A122~123</v>
      </c>
      <c r="C24" s="1137" t="str">
        <f t="shared" si="1"/>
        <v>M1-111(3)</v>
      </c>
      <c r="D24" s="1137">
        <f>VLOOKUP(C24,'맨홀 평균 높이'!$J$4:$L$513,2,0)</f>
        <v>2.13</v>
      </c>
      <c r="E24" s="1138">
        <f t="shared" si="3"/>
        <v>2.02</v>
      </c>
      <c r="F24" s="1115"/>
      <c r="G24" s="1115"/>
      <c r="H24" s="1115">
        <v>1</v>
      </c>
      <c r="I24" s="1115"/>
      <c r="J24" s="1115"/>
      <c r="K24" s="1115"/>
      <c r="L24" s="1115"/>
      <c r="M24" s="1115"/>
      <c r="N24" s="1115"/>
      <c r="O24" s="1115"/>
      <c r="P24" s="1115"/>
      <c r="Q24" s="1115"/>
      <c r="R24" s="1115">
        <v>1</v>
      </c>
      <c r="S24" s="1115"/>
      <c r="T24" s="1115"/>
      <c r="U24" s="1140">
        <f t="shared" si="4"/>
        <v>2.0000000000000018E-2</v>
      </c>
      <c r="V24" s="1117">
        <f t="shared" si="5"/>
        <v>4</v>
      </c>
      <c r="W24" s="1117">
        <f t="shared" si="6"/>
        <v>2</v>
      </c>
      <c r="X24" s="1117">
        <f t="shared" si="7"/>
        <v>5</v>
      </c>
      <c r="Y24" s="1117" t="str">
        <f t="shared" si="8"/>
        <v>0</v>
      </c>
      <c r="Z24" s="1117"/>
      <c r="AA24" s="1118">
        <f t="shared" si="2"/>
        <v>2</v>
      </c>
      <c r="AB24" s="1119"/>
      <c r="AC24" s="917">
        <v>2.0000000000000018E-2</v>
      </c>
      <c r="AD24" s="917"/>
      <c r="AE24" s="907" t="s">
        <v>1337</v>
      </c>
      <c r="AF24" s="907" t="s">
        <v>1342</v>
      </c>
      <c r="AG24" s="917"/>
      <c r="AH24" s="917"/>
    </row>
    <row r="25" spans="1:34" ht="20.100000000000001" customHeight="1">
      <c r="A25" s="1256">
        <f t="shared" si="9"/>
        <v>20</v>
      </c>
      <c r="B25" s="1137" t="str">
        <f t="shared" si="0"/>
        <v>중(보)매송2-4</v>
      </c>
      <c r="C25" s="1137" t="str">
        <f t="shared" si="1"/>
        <v>M1-118</v>
      </c>
      <c r="D25" s="1137">
        <f>VLOOKUP(C25,'맨홀 평균 높이'!$J$4:$L$513,2,0)</f>
        <v>3.38</v>
      </c>
      <c r="E25" s="1138">
        <f t="shared" si="3"/>
        <v>3.27</v>
      </c>
      <c r="F25" s="1115"/>
      <c r="G25" s="1115"/>
      <c r="H25" s="1115">
        <v>1</v>
      </c>
      <c r="I25" s="1115"/>
      <c r="J25" s="1115">
        <v>1</v>
      </c>
      <c r="K25" s="1115"/>
      <c r="L25" s="1115"/>
      <c r="M25" s="1115"/>
      <c r="N25" s="1115"/>
      <c r="O25" s="1115"/>
      <c r="P25" s="1115"/>
      <c r="Q25" s="1115"/>
      <c r="R25" s="1115"/>
      <c r="S25" s="1115"/>
      <c r="T25" s="1115">
        <v>1</v>
      </c>
      <c r="U25" s="1140">
        <f t="shared" si="4"/>
        <v>6.999999999999984E-2</v>
      </c>
      <c r="V25" s="1117">
        <f t="shared" si="5"/>
        <v>8</v>
      </c>
      <c r="W25" s="1117">
        <f t="shared" si="6"/>
        <v>4</v>
      </c>
      <c r="X25" s="1117">
        <f t="shared" si="7"/>
        <v>9</v>
      </c>
      <c r="Y25" s="1117" t="str">
        <f t="shared" si="8"/>
        <v>0</v>
      </c>
      <c r="Z25" s="1117"/>
      <c r="AA25" s="1118">
        <f t="shared" si="2"/>
        <v>3.2</v>
      </c>
      <c r="AB25" s="1119"/>
      <c r="AC25" s="917">
        <v>6.999999999999984E-2</v>
      </c>
      <c r="AD25" s="917"/>
      <c r="AE25" s="907" t="s">
        <v>1294</v>
      </c>
      <c r="AF25" s="907" t="s">
        <v>944</v>
      </c>
      <c r="AG25" s="917"/>
      <c r="AH25" s="917"/>
    </row>
    <row r="26" spans="1:34" ht="20.100000000000001" customHeight="1">
      <c r="A26" s="1256">
        <f t="shared" si="9"/>
        <v>21</v>
      </c>
      <c r="B26" s="1137" t="str">
        <f t="shared" si="0"/>
        <v>중(보)매송2-4</v>
      </c>
      <c r="C26" s="1137" t="str">
        <f t="shared" si="1"/>
        <v>M1-119</v>
      </c>
      <c r="D26" s="1137">
        <f>VLOOKUP(C26,'맨홀 평균 높이'!$J$4:$L$513,2,0)</f>
        <v>3.27</v>
      </c>
      <c r="E26" s="1138">
        <f t="shared" si="3"/>
        <v>3.16</v>
      </c>
      <c r="F26" s="1115"/>
      <c r="G26" s="1115">
        <v>1</v>
      </c>
      <c r="H26" s="1115"/>
      <c r="I26" s="1115">
        <v>1</v>
      </c>
      <c r="J26" s="1115">
        <v>1</v>
      </c>
      <c r="K26" s="1115"/>
      <c r="L26" s="1115"/>
      <c r="M26" s="1115"/>
      <c r="N26" s="1115"/>
      <c r="O26" s="1115"/>
      <c r="P26" s="1115">
        <v>1</v>
      </c>
      <c r="Q26" s="1115"/>
      <c r="R26" s="1115"/>
      <c r="S26" s="1115"/>
      <c r="T26" s="1115"/>
      <c r="U26" s="1140">
        <f t="shared" si="4"/>
        <v>6.0000000000000053E-2</v>
      </c>
      <c r="V26" s="1117">
        <f t="shared" si="5"/>
        <v>12</v>
      </c>
      <c r="W26" s="1117">
        <f t="shared" si="6"/>
        <v>6</v>
      </c>
      <c r="X26" s="1117">
        <f t="shared" si="7"/>
        <v>8</v>
      </c>
      <c r="Y26" s="1117" t="str">
        <f t="shared" si="8"/>
        <v>0</v>
      </c>
      <c r="Z26" s="1117"/>
      <c r="AA26" s="1118">
        <f t="shared" si="2"/>
        <v>3.1</v>
      </c>
      <c r="AB26" s="1119"/>
      <c r="AC26" s="917">
        <v>6.0000000000000053E-2</v>
      </c>
      <c r="AD26" s="917"/>
      <c r="AE26" s="907" t="s">
        <v>1294</v>
      </c>
      <c r="AF26" s="907" t="s">
        <v>427</v>
      </c>
      <c r="AG26" s="917"/>
      <c r="AH26" s="917"/>
    </row>
    <row r="27" spans="1:34" s="1146" customFormat="1" ht="20.100000000000001" customHeight="1">
      <c r="A27" s="1256">
        <f t="shared" si="9"/>
        <v>22</v>
      </c>
      <c r="B27" s="1137" t="str">
        <f t="shared" si="0"/>
        <v>중(보)매송2-4</v>
      </c>
      <c r="C27" s="1137" t="str">
        <f t="shared" si="1"/>
        <v>M1-120</v>
      </c>
      <c r="D27" s="1137">
        <f>VLOOKUP(C27,'맨홀 평균 높이'!$J$4:$L$513,2,0)</f>
        <v>3</v>
      </c>
      <c r="E27" s="1138">
        <f t="shared" si="3"/>
        <v>2.89</v>
      </c>
      <c r="F27" s="1115"/>
      <c r="G27" s="1115">
        <v>1</v>
      </c>
      <c r="H27" s="1115"/>
      <c r="I27" s="1115"/>
      <c r="J27" s="1115">
        <v>1</v>
      </c>
      <c r="K27" s="1115"/>
      <c r="L27" s="1115"/>
      <c r="M27" s="1115"/>
      <c r="N27" s="1115"/>
      <c r="O27" s="1115"/>
      <c r="P27" s="1115"/>
      <c r="Q27" s="1115"/>
      <c r="R27" s="1115">
        <v>1</v>
      </c>
      <c r="S27" s="1115"/>
      <c r="T27" s="1115"/>
      <c r="U27" s="1140">
        <f t="shared" si="4"/>
        <v>9.0000000000000302E-2</v>
      </c>
      <c r="V27" s="1117">
        <f t="shared" si="5"/>
        <v>8</v>
      </c>
      <c r="W27" s="1117">
        <f t="shared" si="6"/>
        <v>4</v>
      </c>
      <c r="X27" s="1117">
        <f t="shared" si="7"/>
        <v>7</v>
      </c>
      <c r="Y27" s="1117" t="str">
        <f t="shared" si="8"/>
        <v>0</v>
      </c>
      <c r="Z27" s="1117"/>
      <c r="AA27" s="1118">
        <f t="shared" si="2"/>
        <v>2.8</v>
      </c>
      <c r="AB27" s="1144"/>
      <c r="AC27" s="1145">
        <v>9.0000000000000302E-2</v>
      </c>
      <c r="AD27" s="1145"/>
      <c r="AE27" s="907" t="s">
        <v>1294</v>
      </c>
      <c r="AF27" s="907" t="s">
        <v>428</v>
      </c>
      <c r="AG27" s="1145"/>
      <c r="AH27" s="1145"/>
    </row>
    <row r="28" spans="1:34" ht="20.100000000000001" customHeight="1">
      <c r="A28" s="1256">
        <f t="shared" si="9"/>
        <v>23</v>
      </c>
      <c r="B28" s="1137" t="str">
        <f t="shared" si="0"/>
        <v>중(국)3-어천4</v>
      </c>
      <c r="C28" s="1137" t="str">
        <f t="shared" si="1"/>
        <v>M1-121</v>
      </c>
      <c r="D28" s="1137">
        <f>VLOOKUP(C28,'맨홀 평균 높이'!$J$4:$L$513,2,0)</f>
        <v>3.58</v>
      </c>
      <c r="E28" s="1138">
        <f t="shared" si="3"/>
        <v>3.47</v>
      </c>
      <c r="F28" s="1115"/>
      <c r="G28" s="1115">
        <v>1</v>
      </c>
      <c r="H28" s="1115"/>
      <c r="I28" s="1115"/>
      <c r="J28" s="1115">
        <v>2</v>
      </c>
      <c r="K28" s="1115"/>
      <c r="L28" s="1115"/>
      <c r="M28" s="1115"/>
      <c r="N28" s="1115">
        <v>1</v>
      </c>
      <c r="O28" s="1115"/>
      <c r="P28" s="1115"/>
      <c r="Q28" s="1115"/>
      <c r="R28" s="1115"/>
      <c r="S28" s="1115"/>
      <c r="T28" s="1115"/>
      <c r="U28" s="1140">
        <f t="shared" si="4"/>
        <v>7.0000000000000284E-2</v>
      </c>
      <c r="V28" s="1117">
        <f t="shared" si="5"/>
        <v>12</v>
      </c>
      <c r="W28" s="1117">
        <f t="shared" si="6"/>
        <v>6</v>
      </c>
      <c r="X28" s="1117">
        <f t="shared" si="7"/>
        <v>9</v>
      </c>
      <c r="Y28" s="1117" t="str">
        <f t="shared" si="8"/>
        <v>0</v>
      </c>
      <c r="Z28" s="1117"/>
      <c r="AA28" s="1118">
        <f t="shared" si="2"/>
        <v>3.4</v>
      </c>
      <c r="AB28" s="1119"/>
      <c r="AC28" s="917">
        <v>7.0000000000000284E-2</v>
      </c>
      <c r="AD28" s="917"/>
      <c r="AE28" s="907" t="s">
        <v>1295</v>
      </c>
      <c r="AF28" s="907" t="s">
        <v>945</v>
      </c>
      <c r="AG28" s="917"/>
      <c r="AH28" s="917"/>
    </row>
    <row r="29" spans="1:34" ht="20.100000000000001" customHeight="1">
      <c r="A29" s="1256">
        <f t="shared" si="9"/>
        <v>24</v>
      </c>
      <c r="B29" s="1137" t="str">
        <f t="shared" si="0"/>
        <v>중(국)2-어천5</v>
      </c>
      <c r="C29" s="1137" t="str">
        <f t="shared" si="1"/>
        <v>M1-129</v>
      </c>
      <c r="D29" s="1137">
        <f>VLOOKUP(C29,'맨홀 평균 높이'!$J$4:$L$513,2,0)</f>
        <v>2.13</v>
      </c>
      <c r="E29" s="1138">
        <f t="shared" si="3"/>
        <v>2.02</v>
      </c>
      <c r="F29" s="1115"/>
      <c r="G29" s="1115"/>
      <c r="H29" s="1115">
        <v>1</v>
      </c>
      <c r="I29" s="1115"/>
      <c r="J29" s="1115"/>
      <c r="K29" s="1115"/>
      <c r="L29" s="1115"/>
      <c r="M29" s="1115"/>
      <c r="N29" s="1115"/>
      <c r="O29" s="1115"/>
      <c r="P29" s="1115"/>
      <c r="Q29" s="1115"/>
      <c r="R29" s="1115">
        <v>1</v>
      </c>
      <c r="S29" s="1115"/>
      <c r="T29" s="1115"/>
      <c r="U29" s="1140">
        <f t="shared" si="4"/>
        <v>2.0000000000000018E-2</v>
      </c>
      <c r="V29" s="1117">
        <f t="shared" si="5"/>
        <v>4</v>
      </c>
      <c r="W29" s="1117">
        <f t="shared" si="6"/>
        <v>2</v>
      </c>
      <c r="X29" s="1117">
        <f t="shared" si="7"/>
        <v>5</v>
      </c>
      <c r="Y29" s="1117" t="str">
        <f t="shared" si="8"/>
        <v>0</v>
      </c>
      <c r="Z29" s="1117"/>
      <c r="AA29" s="1118">
        <f t="shared" si="2"/>
        <v>2</v>
      </c>
      <c r="AB29" s="1119"/>
      <c r="AC29" s="917">
        <v>2.0000000000000018E-2</v>
      </c>
      <c r="AD29" s="917"/>
      <c r="AE29" s="907" t="s">
        <v>1296</v>
      </c>
      <c r="AF29" s="907" t="s">
        <v>430</v>
      </c>
      <c r="AG29" s="917"/>
      <c r="AH29" s="917"/>
    </row>
    <row r="30" spans="1:34" ht="20.100000000000001" customHeight="1">
      <c r="A30" s="1256">
        <f t="shared" si="9"/>
        <v>25</v>
      </c>
      <c r="B30" s="1137" t="str">
        <f t="shared" si="0"/>
        <v>중(국)2-어천5</v>
      </c>
      <c r="C30" s="1137" t="str">
        <f t="shared" si="1"/>
        <v>M1-130</v>
      </c>
      <c r="D30" s="1137">
        <f>VLOOKUP(C30,'맨홀 평균 높이'!$J$4:$L$513,2,0)</f>
        <v>2.19</v>
      </c>
      <c r="E30" s="1138">
        <f t="shared" si="3"/>
        <v>2.08</v>
      </c>
      <c r="F30" s="1115"/>
      <c r="G30" s="1115"/>
      <c r="H30" s="1115">
        <v>1</v>
      </c>
      <c r="I30" s="1115"/>
      <c r="J30" s="1115"/>
      <c r="K30" s="1115"/>
      <c r="L30" s="1115"/>
      <c r="M30" s="1115"/>
      <c r="N30" s="1115"/>
      <c r="O30" s="1115"/>
      <c r="P30" s="1115"/>
      <c r="Q30" s="1115"/>
      <c r="R30" s="1115">
        <v>1</v>
      </c>
      <c r="S30" s="1115"/>
      <c r="T30" s="1115"/>
      <c r="U30" s="1140">
        <f t="shared" si="4"/>
        <v>8.0000000000000071E-2</v>
      </c>
      <c r="V30" s="1117">
        <f t="shared" si="5"/>
        <v>4</v>
      </c>
      <c r="W30" s="1117">
        <f t="shared" si="6"/>
        <v>2</v>
      </c>
      <c r="X30" s="1117">
        <f t="shared" si="7"/>
        <v>5</v>
      </c>
      <c r="Y30" s="1117" t="str">
        <f t="shared" si="8"/>
        <v>0</v>
      </c>
      <c r="Z30" s="1117"/>
      <c r="AA30" s="1118">
        <f t="shared" si="2"/>
        <v>2</v>
      </c>
      <c r="AB30" s="1119"/>
      <c r="AC30" s="917">
        <v>8.0000000000000071E-2</v>
      </c>
      <c r="AD30" s="917"/>
      <c r="AE30" s="907" t="s">
        <v>1296</v>
      </c>
      <c r="AF30" s="907" t="s">
        <v>946</v>
      </c>
      <c r="AG30" s="917"/>
      <c r="AH30" s="917"/>
    </row>
    <row r="31" spans="1:34" ht="20.100000000000001" customHeight="1">
      <c r="A31" s="1256">
        <f t="shared" si="9"/>
        <v>26</v>
      </c>
      <c r="B31" s="1137" t="str">
        <f t="shared" si="0"/>
        <v>중(국)3-어천5</v>
      </c>
      <c r="C31" s="1137" t="str">
        <f t="shared" si="1"/>
        <v>M1-136</v>
      </c>
      <c r="D31" s="1137">
        <f>VLOOKUP(C31,'맨홀 평균 높이'!$J$4:$L$513,2,0)</f>
        <v>3.09</v>
      </c>
      <c r="E31" s="1138">
        <f t="shared" si="3"/>
        <v>2.98</v>
      </c>
      <c r="F31" s="1115"/>
      <c r="G31" s="1115">
        <v>1</v>
      </c>
      <c r="H31" s="1115"/>
      <c r="I31" s="1115"/>
      <c r="J31" s="1115">
        <v>1</v>
      </c>
      <c r="K31" s="1115"/>
      <c r="L31" s="1115"/>
      <c r="M31" s="1115"/>
      <c r="N31" s="1115"/>
      <c r="O31" s="1115"/>
      <c r="P31" s="1115"/>
      <c r="Q31" s="1115"/>
      <c r="R31" s="1115"/>
      <c r="S31" s="1115">
        <v>1</v>
      </c>
      <c r="T31" s="1115"/>
      <c r="U31" s="1140">
        <f t="shared" si="4"/>
        <v>8.0000000000000071E-2</v>
      </c>
      <c r="V31" s="1117">
        <f t="shared" si="5"/>
        <v>8</v>
      </c>
      <c r="W31" s="1117">
        <f t="shared" si="6"/>
        <v>4</v>
      </c>
      <c r="X31" s="1117">
        <f t="shared" si="7"/>
        <v>8</v>
      </c>
      <c r="Y31" s="1117" t="str">
        <f t="shared" si="8"/>
        <v>0</v>
      </c>
      <c r="Z31" s="1117"/>
      <c r="AA31" s="1118">
        <f t="shared" si="2"/>
        <v>2.9</v>
      </c>
      <c r="AB31" s="1119"/>
      <c r="AC31" s="917">
        <v>8.0000000000000071E-2</v>
      </c>
      <c r="AD31" s="917"/>
      <c r="AE31" s="907" t="s">
        <v>1298</v>
      </c>
      <c r="AF31" s="907" t="s">
        <v>1300</v>
      </c>
      <c r="AG31" s="917"/>
      <c r="AH31" s="917"/>
    </row>
    <row r="32" spans="1:34" ht="20.100000000000001" customHeight="1">
      <c r="A32" s="1256">
        <f t="shared" si="9"/>
        <v>27</v>
      </c>
      <c r="B32" s="1137" t="str">
        <f t="shared" si="0"/>
        <v>중(국)3-어천6</v>
      </c>
      <c r="C32" s="1137" t="str">
        <f t="shared" si="1"/>
        <v>M1-140</v>
      </c>
      <c r="D32" s="1137">
        <f>VLOOKUP(C32,'맨홀 평균 높이'!$J$4:$L$513,2,0)</f>
        <v>2.08</v>
      </c>
      <c r="E32" s="1138">
        <f t="shared" si="3"/>
        <v>1.97</v>
      </c>
      <c r="F32" s="1115"/>
      <c r="G32" s="1115"/>
      <c r="H32" s="1115">
        <v>1</v>
      </c>
      <c r="I32" s="1115"/>
      <c r="J32" s="1115"/>
      <c r="K32" s="1115"/>
      <c r="L32" s="1115"/>
      <c r="M32" s="1115"/>
      <c r="N32" s="1115"/>
      <c r="O32" s="1115"/>
      <c r="P32" s="1115"/>
      <c r="Q32" s="1115">
        <v>1</v>
      </c>
      <c r="R32" s="1115"/>
      <c r="S32" s="1115"/>
      <c r="T32" s="1115"/>
      <c r="U32" s="1140">
        <f t="shared" si="4"/>
        <v>7.0000000000000062E-2</v>
      </c>
      <c r="V32" s="1117">
        <f t="shared" si="5"/>
        <v>4</v>
      </c>
      <c r="W32" s="1117">
        <f t="shared" si="6"/>
        <v>2</v>
      </c>
      <c r="X32" s="1117">
        <f t="shared" si="7"/>
        <v>4</v>
      </c>
      <c r="Y32" s="1117" t="str">
        <f t="shared" si="8"/>
        <v>0</v>
      </c>
      <c r="Z32" s="1117"/>
      <c r="AA32" s="1118">
        <f t="shared" si="2"/>
        <v>1.9</v>
      </c>
      <c r="AB32" s="1119"/>
      <c r="AC32" s="917">
        <v>7.0000000000000062E-2</v>
      </c>
      <c r="AD32" s="917"/>
      <c r="AE32" s="907" t="s">
        <v>1299</v>
      </c>
      <c r="AF32" s="907" t="s">
        <v>1303</v>
      </c>
      <c r="AG32" s="917"/>
      <c r="AH32" s="917"/>
    </row>
    <row r="33" spans="1:34" ht="20.100000000000001" customHeight="1">
      <c r="A33" s="1256">
        <f t="shared" si="9"/>
        <v>28</v>
      </c>
      <c r="B33" s="1137" t="str">
        <f t="shared" si="0"/>
        <v>중(집)2-어천4</v>
      </c>
      <c r="C33" s="1137" t="str">
        <f t="shared" si="1"/>
        <v>M1-141</v>
      </c>
      <c r="D33" s="1137">
        <f>VLOOKUP(C33,'맨홀 평균 높이'!$J$4:$L$513,2,0)</f>
        <v>2.0299999999999998</v>
      </c>
      <c r="E33" s="1138">
        <f t="shared" si="3"/>
        <v>1.9199999999999997</v>
      </c>
      <c r="F33" s="1115"/>
      <c r="G33" s="1115"/>
      <c r="H33" s="1115">
        <v>1</v>
      </c>
      <c r="I33" s="1115"/>
      <c r="J33" s="1115"/>
      <c r="K33" s="1115"/>
      <c r="L33" s="1115"/>
      <c r="M33" s="1115"/>
      <c r="N33" s="1115"/>
      <c r="O33" s="1115"/>
      <c r="P33" s="1115"/>
      <c r="Q33" s="1115">
        <v>1</v>
      </c>
      <c r="R33" s="1115"/>
      <c r="S33" s="1115"/>
      <c r="T33" s="1115"/>
      <c r="U33" s="1140">
        <f t="shared" si="4"/>
        <v>1.9999999999999796E-2</v>
      </c>
      <c r="V33" s="1117">
        <f t="shared" si="5"/>
        <v>4</v>
      </c>
      <c r="W33" s="1117">
        <f t="shared" si="6"/>
        <v>2</v>
      </c>
      <c r="X33" s="1117">
        <f t="shared" si="7"/>
        <v>4</v>
      </c>
      <c r="Y33" s="1117" t="str">
        <f t="shared" si="8"/>
        <v>0</v>
      </c>
      <c r="Z33" s="1117"/>
      <c r="AA33" s="1118">
        <f t="shared" si="2"/>
        <v>1.9</v>
      </c>
      <c r="AB33" s="1119"/>
      <c r="AC33" s="917">
        <v>1.9999999999999796E-2</v>
      </c>
      <c r="AD33" s="917"/>
      <c r="AE33" s="907" t="s">
        <v>1302</v>
      </c>
      <c r="AF33" s="907" t="s">
        <v>1305</v>
      </c>
      <c r="AG33" s="917"/>
      <c r="AH33" s="917"/>
    </row>
    <row r="34" spans="1:34" ht="20.100000000000001" customHeight="1">
      <c r="A34" s="1256">
        <f t="shared" si="9"/>
        <v>29</v>
      </c>
      <c r="B34" s="1137" t="str">
        <f t="shared" si="0"/>
        <v>대(집)3-어천1</v>
      </c>
      <c r="C34" s="1137" t="str">
        <f t="shared" si="1"/>
        <v>M1-143</v>
      </c>
      <c r="D34" s="1137">
        <f>VLOOKUP(C34,'맨홀 평균 높이'!$J$4:$L$513,2,0)</f>
        <v>1.99</v>
      </c>
      <c r="E34" s="1138">
        <f t="shared" si="3"/>
        <v>1.88</v>
      </c>
      <c r="F34" s="1115"/>
      <c r="G34" s="1115"/>
      <c r="H34" s="1115">
        <v>1</v>
      </c>
      <c r="I34" s="1115"/>
      <c r="J34" s="1115"/>
      <c r="K34" s="1115"/>
      <c r="L34" s="1115"/>
      <c r="M34" s="1115"/>
      <c r="N34" s="1115"/>
      <c r="O34" s="1115"/>
      <c r="P34" s="1115">
        <v>1</v>
      </c>
      <c r="Q34" s="1115"/>
      <c r="R34" s="1115"/>
      <c r="S34" s="1115"/>
      <c r="T34" s="1115"/>
      <c r="U34" s="1140">
        <f t="shared" si="4"/>
        <v>8.0000000000000071E-2</v>
      </c>
      <c r="V34" s="1117">
        <f t="shared" si="5"/>
        <v>4</v>
      </c>
      <c r="W34" s="1117">
        <f t="shared" si="6"/>
        <v>2</v>
      </c>
      <c r="X34" s="1117">
        <f t="shared" si="7"/>
        <v>4</v>
      </c>
      <c r="Y34" s="1117" t="str">
        <f t="shared" si="8"/>
        <v>0</v>
      </c>
      <c r="Z34" s="1117"/>
      <c r="AA34" s="1118">
        <f t="shared" si="2"/>
        <v>1.7999999999999998</v>
      </c>
      <c r="AB34" s="1119"/>
      <c r="AC34" s="917">
        <v>8.0000000000000071E-2</v>
      </c>
      <c r="AD34" s="917"/>
      <c r="AE34" s="907" t="s">
        <v>1304</v>
      </c>
      <c r="AF34" s="907" t="s">
        <v>540</v>
      </c>
      <c r="AG34" s="917"/>
      <c r="AH34" s="917"/>
    </row>
    <row r="35" spans="1:34" ht="20.100000000000001" customHeight="1">
      <c r="A35" s="1256">
        <f t="shared" si="9"/>
        <v>30</v>
      </c>
      <c r="B35" s="1137" t="str">
        <f t="shared" si="0"/>
        <v>대(집)3-어천1</v>
      </c>
      <c r="C35" s="1137" t="str">
        <f t="shared" si="1"/>
        <v>M1-145</v>
      </c>
      <c r="D35" s="1137">
        <f>VLOOKUP(C35,'맨홀 평균 높이'!$J$4:$L$513,2,0)</f>
        <v>1.99</v>
      </c>
      <c r="E35" s="1138">
        <f t="shared" si="3"/>
        <v>1.88</v>
      </c>
      <c r="F35" s="1115"/>
      <c r="G35" s="1115"/>
      <c r="H35" s="1115">
        <v>1</v>
      </c>
      <c r="I35" s="1115"/>
      <c r="J35" s="1115"/>
      <c r="K35" s="1115"/>
      <c r="L35" s="1115"/>
      <c r="M35" s="1115"/>
      <c r="N35" s="1115"/>
      <c r="O35" s="1115"/>
      <c r="P35" s="1115">
        <v>1</v>
      </c>
      <c r="Q35" s="1115"/>
      <c r="R35" s="1115"/>
      <c r="S35" s="1115"/>
      <c r="T35" s="1115"/>
      <c r="U35" s="1140">
        <f t="shared" si="4"/>
        <v>8.0000000000000071E-2</v>
      </c>
      <c r="V35" s="1117">
        <f t="shared" si="5"/>
        <v>4</v>
      </c>
      <c r="W35" s="1117">
        <f t="shared" si="6"/>
        <v>2</v>
      </c>
      <c r="X35" s="1117">
        <f t="shared" si="7"/>
        <v>4</v>
      </c>
      <c r="Y35" s="1117" t="str">
        <f t="shared" si="8"/>
        <v>0</v>
      </c>
      <c r="Z35" s="1117"/>
      <c r="AA35" s="1118">
        <f t="shared" si="2"/>
        <v>1.7999999999999998</v>
      </c>
      <c r="AB35" s="1119"/>
      <c r="AC35" s="917">
        <v>8.0000000000000071E-2</v>
      </c>
      <c r="AD35" s="917"/>
      <c r="AE35" s="907" t="s">
        <v>1304</v>
      </c>
      <c r="AF35" s="907" t="s">
        <v>541</v>
      </c>
      <c r="AG35" s="917"/>
      <c r="AH35" s="917"/>
    </row>
    <row r="36" spans="1:34" ht="20.100000000000001" customHeight="1">
      <c r="A36" s="1256">
        <f t="shared" si="9"/>
        <v>31</v>
      </c>
      <c r="B36" s="1137" t="str">
        <f t="shared" si="0"/>
        <v>대(집)3-어천1</v>
      </c>
      <c r="C36" s="1137" t="str">
        <f t="shared" si="1"/>
        <v>M1-146(1)</v>
      </c>
      <c r="D36" s="1137">
        <f>VLOOKUP(C36,'맨홀 평균 높이'!$J$4:$L$513,2,0)</f>
        <v>2</v>
      </c>
      <c r="E36" s="1138">
        <f t="shared" si="3"/>
        <v>1.89</v>
      </c>
      <c r="F36" s="1115"/>
      <c r="G36" s="1115"/>
      <c r="H36" s="1115">
        <v>1</v>
      </c>
      <c r="I36" s="1115"/>
      <c r="J36" s="1115"/>
      <c r="K36" s="1115"/>
      <c r="L36" s="1115"/>
      <c r="M36" s="1115"/>
      <c r="N36" s="1115"/>
      <c r="O36" s="1115"/>
      <c r="P36" s="1115">
        <v>1</v>
      </c>
      <c r="Q36" s="1115"/>
      <c r="R36" s="1115"/>
      <c r="S36" s="1115"/>
      <c r="T36" s="1115"/>
      <c r="U36" s="1140">
        <f t="shared" si="4"/>
        <v>9.000000000000008E-2</v>
      </c>
      <c r="V36" s="1117">
        <f t="shared" si="5"/>
        <v>4</v>
      </c>
      <c r="W36" s="1117">
        <f t="shared" si="6"/>
        <v>2</v>
      </c>
      <c r="X36" s="1117">
        <f t="shared" si="7"/>
        <v>4</v>
      </c>
      <c r="Y36" s="1117" t="str">
        <f t="shared" si="8"/>
        <v>0</v>
      </c>
      <c r="Z36" s="1117"/>
      <c r="AA36" s="1118">
        <f t="shared" si="2"/>
        <v>1.7999999999999998</v>
      </c>
      <c r="AB36" s="1119"/>
      <c r="AC36" s="917">
        <v>9.000000000000008E-2</v>
      </c>
      <c r="AD36" s="917"/>
      <c r="AE36" s="907" t="s">
        <v>1304</v>
      </c>
      <c r="AF36" s="907" t="s">
        <v>1438</v>
      </c>
      <c r="AG36" s="917"/>
      <c r="AH36" s="917"/>
    </row>
    <row r="37" spans="1:34" ht="20.100000000000001" customHeight="1">
      <c r="A37" s="1256">
        <f t="shared" si="9"/>
        <v>32</v>
      </c>
      <c r="B37" s="1137" t="str">
        <f t="shared" si="0"/>
        <v>대(집)3-어천1</v>
      </c>
      <c r="C37" s="1137" t="str">
        <f t="shared" si="1"/>
        <v>M1-146(2)</v>
      </c>
      <c r="D37" s="1137">
        <f>VLOOKUP(C37,'맨홀 평균 높이'!$J$4:$L$513,2,0)</f>
        <v>2.17</v>
      </c>
      <c r="E37" s="1138">
        <f t="shared" si="3"/>
        <v>2.06</v>
      </c>
      <c r="F37" s="1115"/>
      <c r="G37" s="1115"/>
      <c r="H37" s="1115">
        <v>1</v>
      </c>
      <c r="I37" s="1115"/>
      <c r="J37" s="1115"/>
      <c r="K37" s="1115"/>
      <c r="L37" s="1115"/>
      <c r="M37" s="1115"/>
      <c r="N37" s="1115"/>
      <c r="O37" s="1115"/>
      <c r="P37" s="1115"/>
      <c r="Q37" s="1115"/>
      <c r="R37" s="1115">
        <v>1</v>
      </c>
      <c r="S37" s="1115"/>
      <c r="T37" s="1115"/>
      <c r="U37" s="1140">
        <f t="shared" si="4"/>
        <v>6.0000000000000053E-2</v>
      </c>
      <c r="V37" s="1117">
        <f t="shared" si="5"/>
        <v>4</v>
      </c>
      <c r="W37" s="1117">
        <f t="shared" si="6"/>
        <v>2</v>
      </c>
      <c r="X37" s="1117">
        <f t="shared" si="7"/>
        <v>5</v>
      </c>
      <c r="Y37" s="1117" t="str">
        <f t="shared" si="8"/>
        <v>0</v>
      </c>
      <c r="Z37" s="1117"/>
      <c r="AA37" s="1118">
        <f t="shared" si="2"/>
        <v>2</v>
      </c>
      <c r="AB37" s="1119"/>
      <c r="AC37" s="917">
        <v>6.0000000000000053E-2</v>
      </c>
      <c r="AD37" s="917"/>
      <c r="AE37" s="907" t="s">
        <v>1304</v>
      </c>
      <c r="AF37" s="907" t="s">
        <v>1439</v>
      </c>
      <c r="AG37" s="917"/>
      <c r="AH37" s="917"/>
    </row>
    <row r="38" spans="1:34" ht="20.100000000000001" customHeight="1">
      <c r="A38" s="1256">
        <f t="shared" si="9"/>
        <v>33</v>
      </c>
      <c r="B38" s="1137" t="str">
        <f t="shared" si="0"/>
        <v>중(보)매송2-4</v>
      </c>
      <c r="C38" s="1137" t="str">
        <f t="shared" si="1"/>
        <v>M1-148</v>
      </c>
      <c r="D38" s="1137">
        <f>VLOOKUP(C38,'맨홀 평균 높이'!$J$4:$L$513,2,0)</f>
        <v>2.72</v>
      </c>
      <c r="E38" s="1138">
        <f t="shared" si="3"/>
        <v>2.6100000000000003</v>
      </c>
      <c r="F38" s="1115"/>
      <c r="G38" s="1115">
        <v>1</v>
      </c>
      <c r="H38" s="1115"/>
      <c r="I38" s="1115"/>
      <c r="J38" s="1115">
        <v>1</v>
      </c>
      <c r="K38" s="1115"/>
      <c r="L38" s="1115"/>
      <c r="M38" s="1115"/>
      <c r="N38" s="1115"/>
      <c r="O38" s="1115"/>
      <c r="P38" s="1115">
        <v>1</v>
      </c>
      <c r="Q38" s="1115"/>
      <c r="R38" s="1115"/>
      <c r="S38" s="1115"/>
      <c r="T38" s="1115"/>
      <c r="U38" s="1140">
        <f t="shared" si="4"/>
        <v>1.0000000000000231E-2</v>
      </c>
      <c r="V38" s="1117">
        <f t="shared" si="5"/>
        <v>8</v>
      </c>
      <c r="W38" s="1117">
        <f t="shared" si="6"/>
        <v>4</v>
      </c>
      <c r="X38" s="1117">
        <f t="shared" si="7"/>
        <v>7</v>
      </c>
      <c r="Y38" s="1117" t="str">
        <f t="shared" si="8"/>
        <v>0</v>
      </c>
      <c r="Z38" s="1117"/>
      <c r="AA38" s="1118">
        <f t="shared" si="2"/>
        <v>2.6</v>
      </c>
      <c r="AB38" s="1119"/>
      <c r="AC38" s="917">
        <v>1.0000000000000231E-2</v>
      </c>
      <c r="AD38" s="917"/>
      <c r="AE38" s="907" t="s">
        <v>1294</v>
      </c>
      <c r="AF38" s="907" t="s">
        <v>948</v>
      </c>
      <c r="AG38" s="917"/>
      <c r="AH38" s="917"/>
    </row>
    <row r="39" spans="1:34" ht="20.100000000000001" customHeight="1">
      <c r="A39" s="1256">
        <f t="shared" si="9"/>
        <v>34</v>
      </c>
      <c r="B39" s="1137" t="str">
        <f t="shared" si="0"/>
        <v>가도_B043</v>
      </c>
      <c r="C39" s="1137" t="str">
        <f t="shared" si="1"/>
        <v>M1-154</v>
      </c>
      <c r="D39" s="1137">
        <f>VLOOKUP(C39,'맨홀 평균 높이'!$J$4:$L$513,2,0)</f>
        <v>1.54</v>
      </c>
      <c r="E39" s="1138">
        <f t="shared" si="3"/>
        <v>1.43</v>
      </c>
      <c r="F39" s="1115"/>
      <c r="G39" s="1115"/>
      <c r="H39" s="1115">
        <v>1</v>
      </c>
      <c r="I39" s="1115"/>
      <c r="J39" s="1115"/>
      <c r="K39" s="1115">
        <v>1</v>
      </c>
      <c r="L39" s="1115"/>
      <c r="M39" s="1115"/>
      <c r="N39" s="1115"/>
      <c r="O39" s="1115"/>
      <c r="P39" s="1115"/>
      <c r="Q39" s="1115"/>
      <c r="R39" s="1115"/>
      <c r="S39" s="1115"/>
      <c r="T39" s="1115"/>
      <c r="U39" s="1140">
        <f t="shared" si="4"/>
        <v>3.0000000000000027E-2</v>
      </c>
      <c r="V39" s="1117">
        <f t="shared" si="5"/>
        <v>4</v>
      </c>
      <c r="W39" s="1117">
        <f t="shared" si="6"/>
        <v>2</v>
      </c>
      <c r="X39" s="1117">
        <f t="shared" si="7"/>
        <v>3</v>
      </c>
      <c r="Y39" s="1117" t="str">
        <f t="shared" si="8"/>
        <v>0</v>
      </c>
      <c r="Z39" s="1117"/>
      <c r="AA39" s="1118">
        <f t="shared" si="2"/>
        <v>1.4</v>
      </c>
      <c r="AB39" s="1119"/>
      <c r="AC39" s="917">
        <v>3.0000000000000027E-2</v>
      </c>
      <c r="AD39" s="917"/>
      <c r="AE39" s="907" t="s">
        <v>1306</v>
      </c>
      <c r="AF39" s="907" t="s">
        <v>542</v>
      </c>
      <c r="AG39" s="917"/>
      <c r="AH39" s="917"/>
    </row>
    <row r="40" spans="1:34" ht="20.100000000000001" customHeight="1">
      <c r="A40" s="1256">
        <f t="shared" si="9"/>
        <v>35</v>
      </c>
      <c r="B40" s="1137" t="str">
        <f t="shared" si="0"/>
        <v>가도_B044</v>
      </c>
      <c r="C40" s="1137" t="str">
        <f t="shared" si="1"/>
        <v>M1-155</v>
      </c>
      <c r="D40" s="1137">
        <f>VLOOKUP(C40,'맨홀 평균 높이'!$J$4:$L$513,2,0)</f>
        <v>3.14</v>
      </c>
      <c r="E40" s="1138">
        <f t="shared" si="3"/>
        <v>3.0300000000000002</v>
      </c>
      <c r="F40" s="1115"/>
      <c r="G40" s="1115">
        <v>1</v>
      </c>
      <c r="H40" s="1115"/>
      <c r="I40" s="1115"/>
      <c r="J40" s="1115">
        <v>1</v>
      </c>
      <c r="K40" s="1115"/>
      <c r="L40" s="1115"/>
      <c r="M40" s="1115"/>
      <c r="N40" s="1115"/>
      <c r="O40" s="1115"/>
      <c r="P40" s="1115"/>
      <c r="Q40" s="1115"/>
      <c r="R40" s="1115"/>
      <c r="S40" s="1115"/>
      <c r="T40" s="1115">
        <v>1</v>
      </c>
      <c r="U40" s="1140">
        <f t="shared" si="4"/>
        <v>3.0000000000000249E-2</v>
      </c>
      <c r="V40" s="1117">
        <f t="shared" si="5"/>
        <v>8</v>
      </c>
      <c r="W40" s="1117">
        <f t="shared" si="6"/>
        <v>4</v>
      </c>
      <c r="X40" s="1117">
        <f t="shared" si="7"/>
        <v>8</v>
      </c>
      <c r="Y40" s="1117" t="str">
        <f t="shared" si="8"/>
        <v>0</v>
      </c>
      <c r="Z40" s="1117"/>
      <c r="AA40" s="1118">
        <f t="shared" si="2"/>
        <v>3</v>
      </c>
      <c r="AB40" s="1119"/>
      <c r="AC40" s="917">
        <v>3.0000000000000249E-2</v>
      </c>
      <c r="AD40" s="917"/>
      <c r="AE40" s="907" t="s">
        <v>1307</v>
      </c>
      <c r="AF40" s="907" t="s">
        <v>1317</v>
      </c>
      <c r="AG40" s="917"/>
      <c r="AH40" s="917"/>
    </row>
    <row r="41" spans="1:34" ht="20.100000000000001" hidden="1" customHeight="1">
      <c r="A41" s="1210"/>
      <c r="B41" s="1113"/>
      <c r="C41" s="1113"/>
      <c r="D41" s="1113"/>
      <c r="E41" s="1114"/>
      <c r="F41" s="1115"/>
      <c r="G41" s="1115"/>
      <c r="H41" s="1115"/>
      <c r="I41" s="1115"/>
      <c r="J41" s="1115"/>
      <c r="K41" s="1115"/>
      <c r="L41" s="1115"/>
      <c r="M41" s="1115"/>
      <c r="N41" s="1115"/>
      <c r="O41" s="1115"/>
      <c r="P41" s="1115"/>
      <c r="Q41" s="1115"/>
      <c r="R41" s="1115"/>
      <c r="S41" s="1115"/>
      <c r="T41" s="1115"/>
      <c r="U41" s="1116"/>
      <c r="V41" s="1117"/>
      <c r="W41" s="1117"/>
      <c r="X41" s="1117"/>
      <c r="Y41" s="1117"/>
      <c r="Z41" s="1117"/>
      <c r="AA41" s="1118"/>
      <c r="AB41" s="1119"/>
      <c r="AC41" s="917"/>
      <c r="AD41" s="917"/>
      <c r="AE41" s="907"/>
      <c r="AF41" s="907"/>
      <c r="AG41" s="917"/>
      <c r="AH41" s="917"/>
    </row>
    <row r="42" spans="1:34" ht="20.100000000000001" hidden="1" customHeight="1">
      <c r="A42" s="1210"/>
      <c r="B42" s="1113"/>
      <c r="C42" s="1113"/>
      <c r="D42" s="1113"/>
      <c r="E42" s="1114"/>
      <c r="F42" s="1115"/>
      <c r="G42" s="1115"/>
      <c r="H42" s="1115"/>
      <c r="I42" s="1115"/>
      <c r="J42" s="1115"/>
      <c r="K42" s="1115"/>
      <c r="L42" s="1115"/>
      <c r="M42" s="1115"/>
      <c r="N42" s="1115"/>
      <c r="O42" s="1115"/>
      <c r="P42" s="1115"/>
      <c r="Q42" s="1115"/>
      <c r="R42" s="1115"/>
      <c r="S42" s="1115"/>
      <c r="T42" s="1115"/>
      <c r="U42" s="1116"/>
      <c r="V42" s="1117"/>
      <c r="W42" s="1117"/>
      <c r="X42" s="1117"/>
      <c r="Y42" s="1117"/>
      <c r="Z42" s="1117"/>
      <c r="AA42" s="1118"/>
      <c r="AB42" s="1119"/>
      <c r="AC42" s="917"/>
      <c r="AD42" s="917"/>
      <c r="AE42" s="907"/>
      <c r="AF42" s="907"/>
      <c r="AG42" s="917"/>
      <c r="AH42" s="917"/>
    </row>
    <row r="43" spans="1:34" ht="20.100000000000001" hidden="1" customHeight="1">
      <c r="A43" s="1210"/>
      <c r="B43" s="1113"/>
      <c r="C43" s="1113"/>
      <c r="D43" s="1113"/>
      <c r="E43" s="1114"/>
      <c r="F43" s="1115"/>
      <c r="G43" s="1115"/>
      <c r="H43" s="1115"/>
      <c r="I43" s="1115"/>
      <c r="J43" s="1115"/>
      <c r="K43" s="1115"/>
      <c r="L43" s="1115"/>
      <c r="M43" s="1115"/>
      <c r="N43" s="1115"/>
      <c r="O43" s="1115"/>
      <c r="P43" s="1115"/>
      <c r="Q43" s="1115"/>
      <c r="R43" s="1115"/>
      <c r="S43" s="1115"/>
      <c r="T43" s="1115"/>
      <c r="U43" s="1116"/>
      <c r="V43" s="1117"/>
      <c r="W43" s="1117"/>
      <c r="X43" s="1117"/>
      <c r="Y43" s="1117"/>
      <c r="Z43" s="1117"/>
      <c r="AA43" s="1118"/>
      <c r="AB43" s="1119"/>
      <c r="AC43" s="917"/>
      <c r="AD43" s="917"/>
      <c r="AE43" s="907"/>
      <c r="AF43" s="907"/>
      <c r="AG43" s="917"/>
      <c r="AH43" s="917"/>
    </row>
    <row r="44" spans="1:34" ht="20.100000000000001" hidden="1" customHeight="1">
      <c r="A44" s="1210"/>
      <c r="B44" s="1113"/>
      <c r="C44" s="1113"/>
      <c r="D44" s="1113"/>
      <c r="E44" s="1114"/>
      <c r="F44" s="1115"/>
      <c r="G44" s="1115"/>
      <c r="H44" s="1115"/>
      <c r="I44" s="1115"/>
      <c r="J44" s="1115"/>
      <c r="K44" s="1115"/>
      <c r="L44" s="1115"/>
      <c r="M44" s="1115"/>
      <c r="N44" s="1115"/>
      <c r="O44" s="1115"/>
      <c r="P44" s="1115"/>
      <c r="Q44" s="1115"/>
      <c r="R44" s="1115"/>
      <c r="S44" s="1115"/>
      <c r="T44" s="1115"/>
      <c r="U44" s="1116"/>
      <c r="V44" s="1117"/>
      <c r="W44" s="1117"/>
      <c r="X44" s="1117"/>
      <c r="Y44" s="1117"/>
      <c r="Z44" s="1117"/>
      <c r="AA44" s="1118"/>
      <c r="AB44" s="1119"/>
      <c r="AC44" s="917"/>
      <c r="AD44" s="917"/>
      <c r="AE44" s="907"/>
      <c r="AF44" s="907"/>
      <c r="AG44" s="917"/>
      <c r="AH44" s="917"/>
    </row>
    <row r="45" spans="1:34" ht="20.100000000000001" hidden="1" customHeight="1">
      <c r="A45" s="1210"/>
      <c r="B45" s="1113"/>
      <c r="C45" s="1113"/>
      <c r="D45" s="1113"/>
      <c r="E45" s="1114"/>
      <c r="F45" s="1115"/>
      <c r="G45" s="1115"/>
      <c r="H45" s="1115"/>
      <c r="I45" s="1115"/>
      <c r="J45" s="1115"/>
      <c r="K45" s="1115"/>
      <c r="L45" s="1115"/>
      <c r="M45" s="1115"/>
      <c r="N45" s="1115"/>
      <c r="O45" s="1115"/>
      <c r="P45" s="1115"/>
      <c r="Q45" s="1115"/>
      <c r="R45" s="1115"/>
      <c r="S45" s="1115"/>
      <c r="T45" s="1115"/>
      <c r="U45" s="1116"/>
      <c r="V45" s="1117"/>
      <c r="W45" s="1117"/>
      <c r="X45" s="1117"/>
      <c r="Y45" s="1117"/>
      <c r="Z45" s="1117"/>
      <c r="AA45" s="1118"/>
      <c r="AB45" s="1119"/>
      <c r="AC45" s="917"/>
      <c r="AD45" s="917"/>
      <c r="AE45" s="910"/>
      <c r="AF45" s="910"/>
      <c r="AG45" s="917"/>
      <c r="AH45" s="917"/>
    </row>
    <row r="46" spans="1:34" ht="20.100000000000001" hidden="1" customHeight="1">
      <c r="A46" s="1120"/>
      <c r="B46" s="1113"/>
      <c r="C46" s="1113"/>
      <c r="D46" s="1113"/>
      <c r="E46" s="1114"/>
      <c r="F46" s="1115"/>
      <c r="G46" s="1115"/>
      <c r="H46" s="1115"/>
      <c r="I46" s="1115"/>
      <c r="J46" s="1115"/>
      <c r="K46" s="1115"/>
      <c r="L46" s="1115"/>
      <c r="M46" s="1115"/>
      <c r="N46" s="1115"/>
      <c r="O46" s="1115"/>
      <c r="P46" s="1115"/>
      <c r="Q46" s="1115"/>
      <c r="R46" s="1115"/>
      <c r="S46" s="1115"/>
      <c r="T46" s="1115"/>
      <c r="U46" s="1116"/>
      <c r="V46" s="1117"/>
      <c r="W46" s="1117"/>
      <c r="X46" s="1117"/>
      <c r="Y46" s="1117"/>
      <c r="Z46" s="1117"/>
      <c r="AA46" s="1118"/>
      <c r="AB46" s="1119"/>
      <c r="AC46" s="917"/>
      <c r="AD46" s="917"/>
      <c r="AE46" s="910"/>
      <c r="AF46" s="910"/>
      <c r="AG46" s="917"/>
      <c r="AH46" s="917"/>
    </row>
    <row r="47" spans="1:34" ht="20.100000000000001" hidden="1" customHeight="1">
      <c r="A47" s="1120"/>
      <c r="B47" s="1113"/>
      <c r="C47" s="1113"/>
      <c r="D47" s="1113"/>
      <c r="E47" s="1114"/>
      <c r="F47" s="1115"/>
      <c r="G47" s="1115"/>
      <c r="H47" s="1115"/>
      <c r="I47" s="1115"/>
      <c r="J47" s="1115"/>
      <c r="K47" s="1115"/>
      <c r="L47" s="1115"/>
      <c r="M47" s="1115"/>
      <c r="N47" s="1115"/>
      <c r="O47" s="1115"/>
      <c r="P47" s="1115"/>
      <c r="Q47" s="1115"/>
      <c r="R47" s="1115"/>
      <c r="S47" s="1115"/>
      <c r="T47" s="1115"/>
      <c r="U47" s="1116"/>
      <c r="V47" s="1117"/>
      <c r="W47" s="1117"/>
      <c r="X47" s="1117"/>
      <c r="Y47" s="1117"/>
      <c r="Z47" s="1117"/>
      <c r="AA47" s="1118"/>
      <c r="AB47" s="1119"/>
      <c r="AC47" s="917"/>
      <c r="AD47" s="917"/>
      <c r="AE47" s="910"/>
      <c r="AF47" s="910"/>
      <c r="AG47" s="917"/>
      <c r="AH47" s="917"/>
    </row>
    <row r="48" spans="1:34" ht="20.100000000000001" hidden="1" customHeight="1">
      <c r="A48" s="1120"/>
      <c r="B48" s="1113"/>
      <c r="C48" s="1113"/>
      <c r="D48" s="1113"/>
      <c r="E48" s="1114"/>
      <c r="F48" s="1115"/>
      <c r="G48" s="1115"/>
      <c r="H48" s="1115"/>
      <c r="I48" s="1115"/>
      <c r="J48" s="1115"/>
      <c r="K48" s="1115"/>
      <c r="L48" s="1115"/>
      <c r="M48" s="1115"/>
      <c r="N48" s="1115"/>
      <c r="O48" s="1115"/>
      <c r="P48" s="1115"/>
      <c r="Q48" s="1115"/>
      <c r="R48" s="1115"/>
      <c r="S48" s="1115"/>
      <c r="T48" s="1115"/>
      <c r="U48" s="1116"/>
      <c r="V48" s="1117"/>
      <c r="W48" s="1117"/>
      <c r="X48" s="1117"/>
      <c r="Y48" s="1117"/>
      <c r="Z48" s="1117"/>
      <c r="AA48" s="1118"/>
      <c r="AB48" s="1119"/>
      <c r="AC48" s="917"/>
      <c r="AD48" s="917"/>
      <c r="AE48" s="910"/>
      <c r="AF48" s="910"/>
      <c r="AG48" s="917"/>
      <c r="AH48" s="917"/>
    </row>
    <row r="49" spans="1:38" ht="20.100000000000001" hidden="1" customHeight="1">
      <c r="A49" s="1120"/>
      <c r="B49" s="1113"/>
      <c r="C49" s="1113"/>
      <c r="D49" s="1113"/>
      <c r="E49" s="1114"/>
      <c r="F49" s="1115"/>
      <c r="G49" s="1115"/>
      <c r="H49" s="1115"/>
      <c r="I49" s="1115"/>
      <c r="J49" s="1115"/>
      <c r="K49" s="1115"/>
      <c r="L49" s="1115"/>
      <c r="M49" s="1115"/>
      <c r="N49" s="1115"/>
      <c r="O49" s="1115"/>
      <c r="P49" s="1115"/>
      <c r="Q49" s="1115"/>
      <c r="R49" s="1115"/>
      <c r="S49" s="1115"/>
      <c r="T49" s="1115"/>
      <c r="U49" s="1116"/>
      <c r="V49" s="1117"/>
      <c r="W49" s="1117"/>
      <c r="X49" s="1117"/>
      <c r="Y49" s="1117"/>
      <c r="Z49" s="1117"/>
      <c r="AA49" s="1118"/>
      <c r="AB49" s="1119"/>
      <c r="AC49" s="917"/>
      <c r="AD49" s="917"/>
      <c r="AE49" s="910"/>
      <c r="AF49" s="910"/>
      <c r="AG49" s="917"/>
      <c r="AH49" s="917"/>
    </row>
    <row r="50" spans="1:38" ht="20.100000000000001" hidden="1" customHeight="1">
      <c r="A50" s="1120"/>
      <c r="B50" s="1113"/>
      <c r="C50" s="1113"/>
      <c r="D50" s="1113"/>
      <c r="E50" s="1114"/>
      <c r="F50" s="1115"/>
      <c r="G50" s="1115"/>
      <c r="H50" s="1115"/>
      <c r="I50" s="1115"/>
      <c r="J50" s="1115"/>
      <c r="K50" s="1115"/>
      <c r="L50" s="1115"/>
      <c r="M50" s="1115"/>
      <c r="N50" s="1115"/>
      <c r="O50" s="1115"/>
      <c r="P50" s="1115"/>
      <c r="Q50" s="1115"/>
      <c r="R50" s="1115"/>
      <c r="S50" s="1115"/>
      <c r="T50" s="1115"/>
      <c r="U50" s="1116"/>
      <c r="V50" s="1117"/>
      <c r="W50" s="1117"/>
      <c r="X50" s="1117"/>
      <c r="Y50" s="1117"/>
      <c r="Z50" s="1117"/>
      <c r="AA50" s="1118"/>
      <c r="AB50" s="1149"/>
      <c r="AC50" s="1150"/>
      <c r="AD50" s="917"/>
      <c r="AE50" s="910"/>
      <c r="AF50" s="910"/>
      <c r="AG50" s="917"/>
      <c r="AH50" s="917"/>
    </row>
    <row r="51" spans="1:38" ht="20.100000000000001" hidden="1" customHeight="1">
      <c r="A51" s="1120"/>
      <c r="B51" s="1113"/>
      <c r="C51" s="1113"/>
      <c r="D51" s="1113"/>
      <c r="E51" s="1114"/>
      <c r="F51" s="1115"/>
      <c r="G51" s="1115"/>
      <c r="H51" s="1115"/>
      <c r="I51" s="1115"/>
      <c r="J51" s="1115"/>
      <c r="K51" s="1115"/>
      <c r="L51" s="1115"/>
      <c r="M51" s="1115"/>
      <c r="N51" s="1115"/>
      <c r="O51" s="1115"/>
      <c r="P51" s="1115"/>
      <c r="Q51" s="1115"/>
      <c r="R51" s="1115"/>
      <c r="S51" s="1115"/>
      <c r="T51" s="1115"/>
      <c r="U51" s="1116"/>
      <c r="V51" s="1117"/>
      <c r="W51" s="1117"/>
      <c r="X51" s="1117"/>
      <c r="Y51" s="1117"/>
      <c r="Z51" s="1117"/>
      <c r="AA51" s="1118"/>
      <c r="AB51" s="1119"/>
      <c r="AC51" s="917"/>
      <c r="AD51" s="917"/>
      <c r="AE51" s="910"/>
      <c r="AF51" s="910"/>
      <c r="AG51" s="917"/>
      <c r="AH51" s="917"/>
    </row>
    <row r="52" spans="1:38" ht="20.100000000000001" hidden="1" customHeight="1">
      <c r="A52" s="1120"/>
      <c r="B52" s="1113"/>
      <c r="C52" s="1113"/>
      <c r="D52" s="1113"/>
      <c r="E52" s="1114"/>
      <c r="F52" s="1115"/>
      <c r="G52" s="1115"/>
      <c r="H52" s="1115"/>
      <c r="I52" s="1115"/>
      <c r="J52" s="1115"/>
      <c r="K52" s="1115"/>
      <c r="L52" s="1115"/>
      <c r="M52" s="1115"/>
      <c r="N52" s="1115"/>
      <c r="O52" s="1115"/>
      <c r="P52" s="1115"/>
      <c r="Q52" s="1115"/>
      <c r="R52" s="1115"/>
      <c r="S52" s="1115"/>
      <c r="T52" s="1115"/>
      <c r="U52" s="1116"/>
      <c r="V52" s="1117"/>
      <c r="W52" s="1117"/>
      <c r="X52" s="1117"/>
      <c r="Y52" s="1117"/>
      <c r="Z52" s="1117"/>
      <c r="AA52" s="1118"/>
      <c r="AB52" s="1119"/>
      <c r="AC52" s="917"/>
      <c r="AD52" s="917"/>
      <c r="AE52" s="910"/>
      <c r="AF52" s="910"/>
      <c r="AG52" s="917"/>
      <c r="AH52" s="917"/>
    </row>
    <row r="53" spans="1:38" ht="20.100000000000001" hidden="1" customHeight="1">
      <c r="A53" s="1120"/>
      <c r="B53" s="1113"/>
      <c r="C53" s="1113"/>
      <c r="D53" s="1113"/>
      <c r="E53" s="1114"/>
      <c r="F53" s="1115"/>
      <c r="G53" s="1115"/>
      <c r="H53" s="1115"/>
      <c r="I53" s="1115"/>
      <c r="J53" s="1115"/>
      <c r="K53" s="1115"/>
      <c r="L53" s="1115"/>
      <c r="M53" s="1115"/>
      <c r="N53" s="1115"/>
      <c r="O53" s="1115"/>
      <c r="P53" s="1115"/>
      <c r="Q53" s="1115"/>
      <c r="R53" s="1115"/>
      <c r="S53" s="1115"/>
      <c r="T53" s="1115"/>
      <c r="U53" s="1116"/>
      <c r="V53" s="1117"/>
      <c r="W53" s="1117"/>
      <c r="X53" s="1117"/>
      <c r="Y53" s="1117"/>
      <c r="Z53" s="1117"/>
      <c r="AA53" s="1118"/>
      <c r="AB53" s="1119"/>
      <c r="AC53" s="917"/>
      <c r="AD53" s="917"/>
      <c r="AE53" s="910"/>
      <c r="AF53" s="910"/>
      <c r="AG53" s="917"/>
      <c r="AH53" s="917"/>
    </row>
    <row r="54" spans="1:38" ht="20.100000000000001" hidden="1" customHeight="1">
      <c r="A54" s="1120"/>
      <c r="B54" s="1113"/>
      <c r="C54" s="1113"/>
      <c r="D54" s="1113"/>
      <c r="E54" s="1114"/>
      <c r="F54" s="1115"/>
      <c r="G54" s="1115"/>
      <c r="H54" s="1115"/>
      <c r="I54" s="1115"/>
      <c r="J54" s="1115"/>
      <c r="K54" s="1115"/>
      <c r="L54" s="1115"/>
      <c r="M54" s="1115"/>
      <c r="N54" s="1115"/>
      <c r="O54" s="1115"/>
      <c r="P54" s="1115"/>
      <c r="Q54" s="1115"/>
      <c r="R54" s="1115"/>
      <c r="S54" s="1115"/>
      <c r="T54" s="1115"/>
      <c r="U54" s="1116"/>
      <c r="V54" s="1117"/>
      <c r="W54" s="1117"/>
      <c r="X54" s="1117"/>
      <c r="Y54" s="1117"/>
      <c r="Z54" s="1117"/>
      <c r="AA54" s="1118"/>
      <c r="AB54" s="1119"/>
      <c r="AC54" s="917"/>
      <c r="AD54" s="917"/>
      <c r="AE54" s="910"/>
      <c r="AF54" s="910"/>
      <c r="AG54" s="917"/>
      <c r="AH54" s="917"/>
    </row>
    <row r="55" spans="1:38" ht="20.100000000000001" hidden="1" customHeight="1">
      <c r="A55" s="1120"/>
      <c r="B55" s="1113"/>
      <c r="C55" s="1113"/>
      <c r="D55" s="1113"/>
      <c r="E55" s="1114"/>
      <c r="F55" s="1115"/>
      <c r="G55" s="1115"/>
      <c r="H55" s="1115"/>
      <c r="I55" s="1115"/>
      <c r="J55" s="1115"/>
      <c r="K55" s="1115"/>
      <c r="L55" s="1115"/>
      <c r="M55" s="1115"/>
      <c r="N55" s="1115"/>
      <c r="O55" s="1115"/>
      <c r="P55" s="1115"/>
      <c r="Q55" s="1115"/>
      <c r="R55" s="1115"/>
      <c r="S55" s="1115"/>
      <c r="T55" s="1115"/>
      <c r="U55" s="1116"/>
      <c r="V55" s="1117"/>
      <c r="W55" s="1117"/>
      <c r="X55" s="1117"/>
      <c r="Y55" s="1117"/>
      <c r="Z55" s="1117"/>
      <c r="AA55" s="1118"/>
      <c r="AB55" s="1119"/>
      <c r="AC55" s="917"/>
      <c r="AD55" s="917"/>
      <c r="AE55" s="910"/>
      <c r="AF55" s="910"/>
      <c r="AG55" s="917"/>
      <c r="AH55" s="917"/>
    </row>
    <row r="56" spans="1:38" ht="20.100000000000001" hidden="1" customHeight="1">
      <c r="A56" s="1120"/>
      <c r="B56" s="1113"/>
      <c r="C56" s="1113"/>
      <c r="D56" s="1113"/>
      <c r="E56" s="1114"/>
      <c r="F56" s="1115"/>
      <c r="G56" s="1115"/>
      <c r="H56" s="1115"/>
      <c r="I56" s="1115"/>
      <c r="J56" s="1115"/>
      <c r="K56" s="1115"/>
      <c r="L56" s="1115"/>
      <c r="M56" s="1115"/>
      <c r="N56" s="1115"/>
      <c r="O56" s="1115"/>
      <c r="P56" s="1115"/>
      <c r="Q56" s="1115"/>
      <c r="R56" s="1115"/>
      <c r="S56" s="1115"/>
      <c r="T56" s="1115"/>
      <c r="U56" s="1116"/>
      <c r="V56" s="1117"/>
      <c r="W56" s="1117"/>
      <c r="X56" s="1117"/>
      <c r="Y56" s="1117"/>
      <c r="Z56" s="1117"/>
      <c r="AA56" s="1118"/>
      <c r="AB56" s="1119"/>
      <c r="AC56" s="917"/>
      <c r="AD56" s="917"/>
      <c r="AE56" s="910"/>
      <c r="AF56" s="910"/>
      <c r="AG56" s="917"/>
      <c r="AH56" s="917"/>
    </row>
    <row r="57" spans="1:38" ht="20.100000000000001" hidden="1" customHeight="1">
      <c r="A57" s="1120"/>
      <c r="B57" s="1113"/>
      <c r="C57" s="1113"/>
      <c r="D57" s="1113"/>
      <c r="E57" s="1114"/>
      <c r="F57" s="1115"/>
      <c r="G57" s="1115"/>
      <c r="H57" s="1115"/>
      <c r="I57" s="1115"/>
      <c r="J57" s="1115"/>
      <c r="K57" s="1115"/>
      <c r="L57" s="1115"/>
      <c r="M57" s="1115"/>
      <c r="N57" s="1115"/>
      <c r="O57" s="1115"/>
      <c r="P57" s="1115"/>
      <c r="Q57" s="1115"/>
      <c r="R57" s="1115"/>
      <c r="S57" s="1115"/>
      <c r="T57" s="1115"/>
      <c r="U57" s="1116"/>
      <c r="V57" s="1117"/>
      <c r="W57" s="1117"/>
      <c r="X57" s="1117"/>
      <c r="Y57" s="1117"/>
      <c r="Z57" s="1117"/>
      <c r="AA57" s="1118"/>
      <c r="AB57" s="1119"/>
      <c r="AC57" s="917"/>
      <c r="AD57" s="917"/>
      <c r="AE57" s="910"/>
      <c r="AF57" s="910"/>
      <c r="AG57" s="917"/>
      <c r="AH57" s="917"/>
    </row>
    <row r="58" spans="1:38" ht="20.100000000000001" hidden="1" customHeight="1">
      <c r="A58" s="1120"/>
      <c r="B58" s="1113"/>
      <c r="C58" s="1113"/>
      <c r="D58" s="1113"/>
      <c r="E58" s="1114"/>
      <c r="F58" s="1115"/>
      <c r="G58" s="1115"/>
      <c r="H58" s="1115"/>
      <c r="I58" s="1115"/>
      <c r="J58" s="1115"/>
      <c r="K58" s="1115"/>
      <c r="L58" s="1115"/>
      <c r="M58" s="1115"/>
      <c r="N58" s="1115"/>
      <c r="O58" s="1115"/>
      <c r="P58" s="1115"/>
      <c r="Q58" s="1115"/>
      <c r="R58" s="1115"/>
      <c r="S58" s="1115"/>
      <c r="T58" s="1115"/>
      <c r="U58" s="1116"/>
      <c r="V58" s="1117"/>
      <c r="W58" s="1117"/>
      <c r="X58" s="1117"/>
      <c r="Y58" s="1117"/>
      <c r="Z58" s="1117"/>
      <c r="AA58" s="1118"/>
      <c r="AB58" s="1119"/>
      <c r="AC58" s="917"/>
      <c r="AD58" s="917"/>
      <c r="AE58" s="910"/>
      <c r="AF58" s="910"/>
      <c r="AG58" s="917"/>
      <c r="AH58" s="917"/>
    </row>
    <row r="59" spans="1:38" ht="20.100000000000001" hidden="1" customHeight="1">
      <c r="A59" s="1120"/>
      <c r="B59" s="1113"/>
      <c r="C59" s="1113"/>
      <c r="D59" s="1113"/>
      <c r="E59" s="1114"/>
      <c r="F59" s="1115"/>
      <c r="G59" s="1115"/>
      <c r="H59" s="1115"/>
      <c r="I59" s="1115"/>
      <c r="J59" s="1115"/>
      <c r="K59" s="1115"/>
      <c r="L59" s="1115"/>
      <c r="M59" s="1115"/>
      <c r="N59" s="1115"/>
      <c r="O59" s="1115"/>
      <c r="P59" s="1115"/>
      <c r="Q59" s="1115"/>
      <c r="R59" s="1115"/>
      <c r="S59" s="1115"/>
      <c r="T59" s="1115"/>
      <c r="U59" s="1116"/>
      <c r="V59" s="1117"/>
      <c r="W59" s="1117"/>
      <c r="X59" s="1117"/>
      <c r="Y59" s="1117"/>
      <c r="Z59" s="1117"/>
      <c r="AA59" s="1118"/>
      <c r="AB59" s="1119"/>
      <c r="AC59" s="917"/>
      <c r="AD59" s="917"/>
      <c r="AE59" s="910"/>
      <c r="AF59" s="910"/>
      <c r="AG59" s="917"/>
      <c r="AH59" s="917"/>
    </row>
    <row r="60" spans="1:38" ht="20.100000000000001" hidden="1" customHeight="1">
      <c r="A60" s="1120"/>
      <c r="B60" s="1122"/>
      <c r="C60" s="1122"/>
      <c r="D60" s="1122"/>
      <c r="E60" s="1123"/>
      <c r="F60" s="1124"/>
      <c r="G60" s="1124"/>
      <c r="H60" s="1124"/>
      <c r="I60" s="1124"/>
      <c r="J60" s="1124"/>
      <c r="K60" s="1124"/>
      <c r="L60" s="1124"/>
      <c r="M60" s="1124"/>
      <c r="N60" s="1124"/>
      <c r="O60" s="1124"/>
      <c r="P60" s="1124"/>
      <c r="Q60" s="1124"/>
      <c r="R60" s="1124"/>
      <c r="S60" s="1124"/>
      <c r="T60" s="1124"/>
      <c r="U60" s="1125"/>
      <c r="V60" s="1126"/>
      <c r="W60" s="1126"/>
      <c r="X60" s="1126"/>
      <c r="Y60" s="1126"/>
      <c r="Z60" s="1126"/>
      <c r="AA60" s="1118"/>
      <c r="AB60" s="1119"/>
      <c r="AC60" s="917"/>
      <c r="AD60" s="917"/>
      <c r="AE60" s="917"/>
      <c r="AF60" s="917"/>
      <c r="AG60" s="917"/>
      <c r="AH60" s="917"/>
    </row>
    <row r="61" spans="1:38" s="1104" customFormat="1" ht="20.100000000000001" customHeight="1">
      <c r="A61" s="1369" t="s">
        <v>351</v>
      </c>
      <c r="B61" s="1370"/>
      <c r="C61" s="1127">
        <f>COUNTA(C6:C60)</f>
        <v>35</v>
      </c>
      <c r="D61" s="1128">
        <f>SUM(D6:D60)</f>
        <v>91.09</v>
      </c>
      <c r="E61" s="1128"/>
      <c r="F61" s="1129">
        <f t="shared" ref="F61:T61" si="10">SUM(F6:F60)</f>
        <v>3</v>
      </c>
      <c r="G61" s="1129">
        <f t="shared" si="10"/>
        <v>16</v>
      </c>
      <c r="H61" s="1129">
        <f t="shared" si="10"/>
        <v>16</v>
      </c>
      <c r="I61" s="1129">
        <f t="shared" si="10"/>
        <v>3</v>
      </c>
      <c r="J61" s="1129">
        <f t="shared" si="10"/>
        <v>25</v>
      </c>
      <c r="K61" s="1129">
        <f t="shared" si="10"/>
        <v>1</v>
      </c>
      <c r="L61" s="1129">
        <f t="shared" si="10"/>
        <v>4</v>
      </c>
      <c r="M61" s="1129">
        <f t="shared" si="10"/>
        <v>7</v>
      </c>
      <c r="N61" s="1129">
        <f t="shared" si="10"/>
        <v>1</v>
      </c>
      <c r="O61" s="1129">
        <f t="shared" si="10"/>
        <v>0</v>
      </c>
      <c r="P61" s="1129">
        <f t="shared" si="10"/>
        <v>5</v>
      </c>
      <c r="Q61" s="1129">
        <f t="shared" si="10"/>
        <v>2</v>
      </c>
      <c r="R61" s="1129">
        <f t="shared" si="10"/>
        <v>5</v>
      </c>
      <c r="S61" s="1129">
        <f t="shared" si="10"/>
        <v>6</v>
      </c>
      <c r="T61" s="1129">
        <f t="shared" si="10"/>
        <v>4</v>
      </c>
      <c r="U61" s="1128">
        <f>SUM(U6:U60)/C61</f>
        <v>4.6857142857142792E-2</v>
      </c>
      <c r="V61" s="1147">
        <f>SUM(V6:V60)</f>
        <v>252</v>
      </c>
      <c r="W61" s="1147">
        <f>SUM(W6:W60)</f>
        <v>126</v>
      </c>
      <c r="X61" s="1147">
        <f>SUM(X6:X60)</f>
        <v>217</v>
      </c>
      <c r="Y61" s="1147">
        <f>SUM(Y6:Y60)</f>
        <v>4</v>
      </c>
      <c r="Z61" s="1130"/>
      <c r="AA61" s="1118"/>
    </row>
    <row r="62" spans="1:38" s="1104" customFormat="1" ht="20.100000000000001" customHeight="1">
      <c r="A62" s="1148"/>
      <c r="B62" s="1148"/>
      <c r="C62" s="1361" t="s">
        <v>352</v>
      </c>
      <c r="D62" s="1361"/>
      <c r="E62" s="1132">
        <f>D61/C61</f>
        <v>2.6025714285714288</v>
      </c>
      <c r="F62" s="1141"/>
      <c r="G62" s="1141"/>
      <c r="H62" s="1141"/>
      <c r="I62" s="1141"/>
      <c r="J62" s="1141"/>
      <c r="K62" s="1141"/>
      <c r="L62" s="1141"/>
      <c r="M62" s="1141"/>
      <c r="N62" s="1141"/>
      <c r="O62" s="1141"/>
      <c r="P62" s="1141"/>
      <c r="Q62" s="1141"/>
      <c r="R62" s="1141"/>
      <c r="S62" s="1141"/>
      <c r="T62" s="1141"/>
      <c r="U62" s="1141"/>
      <c r="V62" s="1112"/>
      <c r="W62" s="1112"/>
      <c r="X62" s="1112"/>
      <c r="Y62" s="1112"/>
      <c r="Z62" s="1112"/>
      <c r="AC62" s="1103"/>
      <c r="AD62" s="1103"/>
      <c r="AG62" s="1103"/>
      <c r="AH62" s="1103"/>
      <c r="AI62" s="1103"/>
    </row>
    <row r="63" spans="1:38" ht="20.100000000000001" customHeight="1">
      <c r="A63" s="1131"/>
      <c r="B63" s="1131"/>
      <c r="C63" s="1131"/>
      <c r="D63" s="1133"/>
      <c r="E63" s="1133"/>
      <c r="F63" s="1131"/>
      <c r="G63" s="1131"/>
      <c r="H63" s="1131"/>
      <c r="I63" s="1131"/>
      <c r="J63" s="1131"/>
      <c r="K63" s="1131"/>
      <c r="L63" s="1131"/>
      <c r="M63" s="1131"/>
      <c r="N63" s="1131"/>
      <c r="O63" s="1131"/>
      <c r="P63" s="1131"/>
      <c r="Q63" s="1131"/>
      <c r="R63" s="1131"/>
      <c r="S63" s="1131"/>
      <c r="T63" s="1131"/>
      <c r="U63" s="1131"/>
      <c r="V63" s="1131"/>
      <c r="W63" s="1131"/>
      <c r="X63" s="1131"/>
      <c r="Y63" s="1131"/>
      <c r="Z63" s="1131"/>
      <c r="AC63" s="1104"/>
      <c r="AD63" s="1104"/>
      <c r="AE63" s="1104"/>
      <c r="AF63" s="1104"/>
      <c r="AG63" s="1104"/>
      <c r="AH63" s="1104"/>
      <c r="AI63" s="1104"/>
      <c r="AJ63" s="1104"/>
      <c r="AK63" s="1104"/>
      <c r="AL63" s="1104"/>
    </row>
    <row r="64" spans="1:38" ht="20.100000000000001" customHeight="1">
      <c r="A64" s="1131"/>
      <c r="B64" s="1131"/>
      <c r="C64" s="1131"/>
      <c r="D64" s="1133"/>
      <c r="E64" s="1133"/>
      <c r="F64" s="1131"/>
      <c r="G64" s="1134"/>
      <c r="H64" s="1134">
        <f>SUM(F61:H61)</f>
        <v>35</v>
      </c>
      <c r="I64" s="1131"/>
      <c r="J64" s="1131"/>
      <c r="K64" s="1131"/>
      <c r="L64" s="1131"/>
      <c r="M64" s="1131"/>
      <c r="N64" s="1131"/>
      <c r="O64" s="1134"/>
      <c r="P64" s="1131"/>
      <c r="Q64" s="1131"/>
      <c r="R64" s="1131"/>
      <c r="S64" s="1134"/>
      <c r="T64" s="1134">
        <f>SUM(K61:T61)</f>
        <v>35</v>
      </c>
      <c r="U64" s="1131"/>
      <c r="V64" s="1131"/>
      <c r="W64" s="1131"/>
      <c r="X64" s="1131"/>
      <c r="Y64" s="1131"/>
      <c r="Z64" s="1131"/>
      <c r="AJ64" s="1104"/>
      <c r="AK64" s="1104"/>
      <c r="AL64" s="1104"/>
    </row>
    <row r="65" spans="1:26" ht="20.100000000000001" customHeight="1">
      <c r="A65" s="1131"/>
      <c r="B65" s="1131"/>
      <c r="C65" s="1131"/>
      <c r="D65" s="1133"/>
      <c r="E65" s="1133"/>
      <c r="F65" s="1131"/>
      <c r="G65" s="1131"/>
      <c r="H65" s="1131"/>
      <c r="I65" s="1131"/>
      <c r="J65" s="1131"/>
      <c r="K65" s="1131"/>
      <c r="L65" s="1131"/>
      <c r="M65" s="1131"/>
      <c r="N65" s="1131"/>
      <c r="O65" s="1131"/>
      <c r="P65" s="1131"/>
      <c r="Q65" s="1131"/>
      <c r="R65" s="1131"/>
      <c r="S65" s="1131"/>
      <c r="T65" s="1131"/>
      <c r="U65" s="1131"/>
      <c r="V65" s="1131"/>
      <c r="W65" s="1131"/>
      <c r="X65" s="1131"/>
      <c r="Y65" s="1131"/>
      <c r="Z65" s="1131"/>
    </row>
    <row r="66" spans="1:26" ht="20.100000000000001" customHeight="1">
      <c r="A66" s="1131"/>
      <c r="B66" s="1131"/>
      <c r="C66" s="1131"/>
      <c r="D66" s="1133"/>
      <c r="E66" s="1133"/>
      <c r="F66" s="1131"/>
      <c r="G66" s="1131"/>
      <c r="H66" s="1131"/>
      <c r="I66" s="1131"/>
      <c r="J66" s="1131"/>
      <c r="K66" s="1131"/>
      <c r="L66" s="1131"/>
      <c r="M66" s="1131"/>
      <c r="N66" s="1131"/>
      <c r="O66" s="1131"/>
      <c r="P66" s="1131"/>
      <c r="Q66" s="1131"/>
      <c r="R66" s="1131"/>
      <c r="S66" s="1131"/>
      <c r="T66" s="1131"/>
      <c r="U66" s="1131"/>
      <c r="V66" s="1131"/>
      <c r="W66" s="1131"/>
      <c r="X66" s="1131"/>
      <c r="Y66" s="1131"/>
      <c r="Z66" s="1131"/>
    </row>
    <row r="67" spans="1:26" ht="20.100000000000001" customHeight="1">
      <c r="A67" s="1131"/>
      <c r="B67" s="1131"/>
      <c r="C67" s="1131"/>
      <c r="D67" s="1133"/>
      <c r="E67" s="1133"/>
      <c r="F67" s="1131"/>
      <c r="G67" s="1131"/>
      <c r="H67" s="1131"/>
      <c r="I67" s="1131"/>
      <c r="J67" s="1131"/>
      <c r="K67" s="1131"/>
      <c r="L67" s="1131"/>
      <c r="M67" s="1131"/>
      <c r="N67" s="1131"/>
      <c r="O67" s="1131"/>
      <c r="P67" s="1131"/>
      <c r="Q67" s="1131"/>
      <c r="R67" s="1131"/>
      <c r="S67" s="1131"/>
      <c r="T67" s="1131"/>
      <c r="U67" s="1131"/>
      <c r="V67" s="1131"/>
      <c r="W67" s="1131"/>
      <c r="X67" s="1131"/>
      <c r="Y67" s="1131"/>
      <c r="Z67" s="1131"/>
    </row>
    <row r="68" spans="1:26" ht="20.100000000000001" customHeight="1">
      <c r="A68" s="1131"/>
      <c r="B68" s="1131"/>
      <c r="C68" s="1131"/>
      <c r="D68" s="1133"/>
      <c r="E68" s="1133"/>
      <c r="F68" s="1131"/>
      <c r="G68" s="1131"/>
      <c r="H68" s="1131"/>
      <c r="I68" s="1131"/>
      <c r="J68" s="1131"/>
      <c r="K68" s="1131"/>
      <c r="L68" s="1131"/>
      <c r="M68" s="1131"/>
      <c r="N68" s="1131"/>
      <c r="O68" s="1131"/>
      <c r="P68" s="1131"/>
      <c r="Q68" s="1131"/>
      <c r="R68" s="1131"/>
      <c r="S68" s="1131"/>
      <c r="T68" s="1131"/>
      <c r="U68" s="1131"/>
      <c r="V68" s="1131"/>
      <c r="W68" s="1131"/>
      <c r="X68" s="1131"/>
      <c r="Y68" s="1131"/>
      <c r="Z68" s="1131"/>
    </row>
    <row r="69" spans="1:26" ht="20.100000000000001" customHeight="1">
      <c r="A69" s="1131"/>
      <c r="B69" s="1131"/>
      <c r="C69" s="1131"/>
      <c r="D69" s="1133"/>
      <c r="E69" s="1133"/>
      <c r="F69" s="1131"/>
      <c r="G69" s="1131"/>
      <c r="H69" s="1131"/>
      <c r="I69" s="1131"/>
      <c r="J69" s="1131"/>
      <c r="K69" s="1131"/>
      <c r="L69" s="1131"/>
      <c r="M69" s="1131"/>
      <c r="N69" s="1131"/>
      <c r="O69" s="1131"/>
      <c r="P69" s="1131"/>
      <c r="Q69" s="1131"/>
      <c r="R69" s="1131"/>
      <c r="S69" s="1131"/>
      <c r="T69" s="1131"/>
      <c r="U69" s="1131"/>
      <c r="V69" s="1131"/>
      <c r="W69" s="1131"/>
      <c r="X69" s="1131"/>
      <c r="Y69" s="1131"/>
      <c r="Z69" s="1131"/>
    </row>
    <row r="70" spans="1:26" ht="20.100000000000001" customHeight="1">
      <c r="A70" s="1131"/>
      <c r="B70" s="1131"/>
      <c r="C70" s="1131"/>
      <c r="D70" s="1133"/>
      <c r="E70" s="1133"/>
      <c r="F70" s="1131"/>
      <c r="G70" s="1131"/>
      <c r="H70" s="1131"/>
      <c r="I70" s="1131"/>
      <c r="J70" s="1131"/>
      <c r="K70" s="1131"/>
      <c r="L70" s="1131"/>
      <c r="M70" s="1131"/>
      <c r="N70" s="1131"/>
      <c r="O70" s="1131"/>
      <c r="P70" s="1131"/>
      <c r="Q70" s="1131"/>
      <c r="R70" s="1131"/>
      <c r="S70" s="1131"/>
      <c r="T70" s="1131"/>
      <c r="U70" s="1131"/>
      <c r="V70" s="1131"/>
      <c r="W70" s="1131"/>
      <c r="X70" s="1131"/>
      <c r="Y70" s="1131"/>
      <c r="Z70" s="1131"/>
    </row>
    <row r="71" spans="1:26" ht="20.100000000000001" customHeight="1">
      <c r="A71" s="1131"/>
      <c r="B71" s="1131"/>
      <c r="C71" s="1131"/>
      <c r="D71" s="1133"/>
      <c r="E71" s="1133"/>
      <c r="F71" s="1131"/>
      <c r="G71" s="1131"/>
      <c r="H71" s="1131"/>
      <c r="I71" s="1131"/>
      <c r="J71" s="1131"/>
      <c r="K71" s="1131"/>
      <c r="L71" s="1131"/>
      <c r="M71" s="1131"/>
      <c r="N71" s="1131"/>
      <c r="O71" s="1131"/>
      <c r="P71" s="1131"/>
      <c r="Q71" s="1131"/>
      <c r="R71" s="1131"/>
      <c r="S71" s="1131"/>
      <c r="T71" s="1131"/>
      <c r="U71" s="1131"/>
      <c r="V71" s="1131"/>
      <c r="W71" s="1131"/>
      <c r="X71" s="1131"/>
      <c r="Y71" s="1131"/>
      <c r="Z71" s="1131"/>
    </row>
    <row r="72" spans="1:26" ht="20.100000000000001" customHeight="1">
      <c r="A72" s="1131"/>
      <c r="B72" s="1131"/>
      <c r="C72" s="1131"/>
      <c r="D72" s="1133"/>
      <c r="E72" s="1133"/>
      <c r="F72" s="1131"/>
      <c r="G72" s="1131"/>
      <c r="H72" s="1131"/>
      <c r="I72" s="1131"/>
      <c r="J72" s="1131"/>
      <c r="K72" s="1131"/>
      <c r="L72" s="1131"/>
      <c r="M72" s="1131"/>
      <c r="N72" s="1131"/>
      <c r="O72" s="1131"/>
      <c r="P72" s="1131"/>
      <c r="Q72" s="1131"/>
      <c r="R72" s="1131"/>
      <c r="S72" s="1131"/>
      <c r="T72" s="1131"/>
      <c r="U72" s="1131"/>
      <c r="V72" s="1131"/>
      <c r="W72" s="1131"/>
      <c r="X72" s="1131"/>
      <c r="Y72" s="1131"/>
      <c r="Z72" s="1131"/>
    </row>
    <row r="73" spans="1:26" ht="20.100000000000001" customHeight="1">
      <c r="A73" s="1131"/>
      <c r="B73" s="1131"/>
      <c r="C73" s="1131"/>
      <c r="D73" s="1133"/>
      <c r="E73" s="1133"/>
      <c r="F73" s="1131"/>
      <c r="G73" s="1131"/>
      <c r="H73" s="1131"/>
      <c r="I73" s="1131"/>
      <c r="J73" s="1131"/>
      <c r="K73" s="1131"/>
      <c r="L73" s="1131"/>
      <c r="M73" s="1131"/>
      <c r="N73" s="1131"/>
      <c r="O73" s="1131"/>
      <c r="P73" s="1131"/>
      <c r="Q73" s="1131"/>
      <c r="R73" s="1131"/>
      <c r="S73" s="1131"/>
      <c r="T73" s="1131"/>
      <c r="U73" s="1131"/>
      <c r="V73" s="1131"/>
      <c r="W73" s="1131"/>
      <c r="X73" s="1131"/>
      <c r="Y73" s="1131"/>
      <c r="Z73" s="1131"/>
    </row>
    <row r="74" spans="1:26" ht="20.100000000000001" customHeight="1">
      <c r="A74" s="1131"/>
      <c r="B74" s="1131"/>
      <c r="C74" s="1131"/>
      <c r="D74" s="1133"/>
      <c r="E74" s="1133"/>
      <c r="F74" s="1131"/>
      <c r="G74" s="1131"/>
      <c r="H74" s="1131"/>
      <c r="I74" s="1131"/>
      <c r="J74" s="1131"/>
      <c r="K74" s="1131"/>
      <c r="L74" s="1131"/>
      <c r="M74" s="1131"/>
      <c r="N74" s="1131"/>
      <c r="O74" s="1131"/>
      <c r="P74" s="1131"/>
      <c r="Q74" s="1131"/>
      <c r="R74" s="1131"/>
      <c r="S74" s="1131"/>
      <c r="T74" s="1131"/>
      <c r="U74" s="1131"/>
      <c r="V74" s="1131"/>
      <c r="W74" s="1131"/>
      <c r="X74" s="1131"/>
      <c r="Y74" s="1131"/>
      <c r="Z74" s="1131"/>
    </row>
    <row r="75" spans="1:26" ht="20.100000000000001" customHeight="1">
      <c r="A75" s="1131"/>
      <c r="B75" s="1131"/>
      <c r="C75" s="1131"/>
      <c r="D75" s="1133"/>
      <c r="E75" s="1133"/>
      <c r="F75" s="1131"/>
      <c r="G75" s="1131"/>
      <c r="H75" s="1131"/>
      <c r="I75" s="1131"/>
      <c r="J75" s="1131"/>
      <c r="K75" s="1131"/>
      <c r="L75" s="1131"/>
      <c r="M75" s="1131"/>
      <c r="N75" s="1131"/>
      <c r="O75" s="1131"/>
      <c r="P75" s="1131"/>
      <c r="Q75" s="1131"/>
      <c r="R75" s="1131"/>
      <c r="S75" s="1131"/>
      <c r="T75" s="1131"/>
      <c r="U75" s="1131"/>
      <c r="V75" s="1131"/>
      <c r="W75" s="1131"/>
      <c r="X75" s="1131"/>
      <c r="Y75" s="1131"/>
      <c r="Z75" s="1131"/>
    </row>
    <row r="76" spans="1:26" ht="20.100000000000001" customHeight="1">
      <c r="A76" s="1131"/>
      <c r="B76" s="1131"/>
      <c r="C76" s="1131"/>
      <c r="D76" s="1133"/>
      <c r="E76" s="1133"/>
      <c r="F76" s="1131"/>
      <c r="G76" s="1131"/>
      <c r="H76" s="1131"/>
      <c r="I76" s="1131"/>
      <c r="J76" s="1131"/>
      <c r="K76" s="1131"/>
      <c r="L76" s="1131"/>
      <c r="M76" s="1131"/>
      <c r="N76" s="1131"/>
      <c r="O76" s="1131"/>
      <c r="P76" s="1131"/>
      <c r="Q76" s="1131"/>
      <c r="R76" s="1131"/>
      <c r="S76" s="1131"/>
      <c r="T76" s="1131"/>
      <c r="U76" s="1131"/>
      <c r="V76" s="1131"/>
      <c r="W76" s="1131"/>
      <c r="X76" s="1131"/>
      <c r="Y76" s="1131"/>
      <c r="Z76" s="1131"/>
    </row>
    <row r="77" spans="1:26" ht="20.100000000000001" customHeight="1">
      <c r="A77" s="1131"/>
      <c r="B77" s="1131"/>
      <c r="C77" s="1131"/>
      <c r="D77" s="1133"/>
      <c r="E77" s="1133"/>
      <c r="F77" s="1131"/>
      <c r="G77" s="1131"/>
      <c r="H77" s="1131"/>
      <c r="I77" s="1131"/>
      <c r="J77" s="1131"/>
      <c r="K77" s="1131"/>
      <c r="L77" s="1131"/>
      <c r="M77" s="1131"/>
      <c r="N77" s="1131"/>
      <c r="O77" s="1131"/>
      <c r="P77" s="1131"/>
      <c r="Q77" s="1131"/>
      <c r="R77" s="1131"/>
      <c r="S77" s="1131"/>
      <c r="T77" s="1131"/>
      <c r="U77" s="1131"/>
      <c r="V77" s="1131"/>
      <c r="W77" s="1131"/>
      <c r="X77" s="1131"/>
      <c r="Y77" s="1131"/>
      <c r="Z77" s="1131"/>
    </row>
    <row r="78" spans="1:26" ht="20.100000000000001" customHeight="1">
      <c r="A78" s="1131"/>
      <c r="B78" s="1131"/>
      <c r="D78" s="1133"/>
      <c r="E78" s="1133"/>
      <c r="F78" s="1131"/>
      <c r="G78" s="1131"/>
      <c r="H78" s="1131"/>
      <c r="I78" s="1131"/>
      <c r="J78" s="1131"/>
      <c r="K78" s="1131"/>
      <c r="L78" s="1131"/>
      <c r="M78" s="1131"/>
      <c r="N78" s="1131"/>
      <c r="O78" s="1131"/>
      <c r="P78" s="1131"/>
      <c r="Q78" s="1131"/>
      <c r="R78" s="1131"/>
      <c r="S78" s="1131"/>
      <c r="T78" s="1131"/>
      <c r="U78" s="1131"/>
      <c r="V78" s="1131"/>
      <c r="W78" s="1131"/>
      <c r="X78" s="1131"/>
      <c r="Y78" s="1131"/>
      <c r="Z78" s="1131"/>
    </row>
    <row r="79" spans="1:26" ht="20.100000000000001" customHeight="1">
      <c r="A79" s="1103"/>
      <c r="B79" s="1103"/>
    </row>
    <row r="80" spans="1:26" ht="20.100000000000001" customHeight="1">
      <c r="A80" s="1103"/>
      <c r="B80" s="1103"/>
    </row>
    <row r="81" spans="1:2" ht="20.100000000000001" customHeight="1">
      <c r="A81" s="1103"/>
      <c r="B81" s="1103"/>
    </row>
    <row r="82" spans="1:2" ht="20.100000000000001" customHeight="1">
      <c r="A82" s="1103"/>
      <c r="B82" s="1103"/>
    </row>
    <row r="83" spans="1:2" ht="20.100000000000001" customHeight="1">
      <c r="A83" s="1103"/>
      <c r="B83" s="1103"/>
    </row>
    <row r="84" spans="1:2" ht="20.100000000000001" customHeight="1">
      <c r="A84" s="1103"/>
      <c r="B84" s="1103"/>
    </row>
    <row r="85" spans="1:2" ht="20.100000000000001" customHeight="1">
      <c r="A85" s="1103"/>
      <c r="B85" s="1103"/>
    </row>
    <row r="86" spans="1:2" ht="20.100000000000001" customHeight="1">
      <c r="A86" s="1103"/>
      <c r="B86" s="1103"/>
    </row>
    <row r="87" spans="1:2" ht="20.100000000000001" customHeight="1">
      <c r="A87" s="1103"/>
      <c r="B87" s="1103"/>
    </row>
    <row r="88" spans="1:2" ht="20.100000000000001" customHeight="1">
      <c r="A88" s="1103"/>
      <c r="B88" s="1103"/>
    </row>
    <row r="89" spans="1:2" ht="20.100000000000001" customHeight="1">
      <c r="A89" s="1103"/>
      <c r="B89" s="1103"/>
    </row>
    <row r="90" spans="1:2" ht="20.100000000000001" customHeight="1">
      <c r="A90" s="1103"/>
      <c r="B90" s="1103"/>
    </row>
    <row r="91" spans="1:2" ht="20.100000000000001" customHeight="1">
      <c r="A91" s="1103"/>
      <c r="B91" s="1103"/>
    </row>
    <row r="92" spans="1:2" ht="20.100000000000001" customHeight="1">
      <c r="A92" s="1103"/>
      <c r="B92" s="1103"/>
    </row>
    <row r="93" spans="1:2" ht="20.100000000000001" customHeight="1">
      <c r="A93" s="1103"/>
      <c r="B93" s="1103"/>
    </row>
    <row r="94" spans="1:2" ht="20.100000000000001" customHeight="1">
      <c r="A94" s="1103"/>
      <c r="B94" s="1103"/>
    </row>
    <row r="95" spans="1:2" ht="20.100000000000001" customHeight="1">
      <c r="A95" s="1103"/>
      <c r="B95" s="1103"/>
    </row>
    <row r="96" spans="1:2" ht="20.100000000000001" customHeight="1">
      <c r="A96" s="1103"/>
      <c r="B96" s="1103"/>
    </row>
    <row r="97" spans="1:32" ht="20.100000000000001" customHeight="1">
      <c r="A97" s="1103"/>
      <c r="B97" s="1103"/>
    </row>
    <row r="98" spans="1:32" ht="20.100000000000001" customHeight="1">
      <c r="A98" s="1103"/>
      <c r="B98" s="1103"/>
    </row>
    <row r="99" spans="1:32" ht="20.100000000000001" customHeight="1">
      <c r="A99" s="1103"/>
      <c r="B99" s="1103"/>
    </row>
    <row r="100" spans="1:32" ht="20.100000000000001" customHeight="1">
      <c r="A100" s="1103"/>
      <c r="B100" s="1103"/>
    </row>
    <row r="101" spans="1:32" ht="20.100000000000001" customHeight="1">
      <c r="A101" s="1103"/>
      <c r="B101" s="1103"/>
      <c r="AE101" s="1104"/>
      <c r="AF101" s="1104"/>
    </row>
    <row r="102" spans="1:32" ht="20.100000000000001" customHeight="1">
      <c r="A102" s="1103"/>
      <c r="B102" s="1103"/>
      <c r="AE102" s="1104"/>
      <c r="AF102" s="1104"/>
    </row>
    <row r="103" spans="1:32" ht="20.100000000000001" customHeight="1">
      <c r="A103" s="1103"/>
      <c r="B103" s="1103"/>
      <c r="AE103" s="1104"/>
      <c r="AF103" s="1104"/>
    </row>
    <row r="104" spans="1:32" ht="20.100000000000001" customHeight="1">
      <c r="A104" s="1103"/>
      <c r="B104" s="1103"/>
    </row>
    <row r="105" spans="1:32" ht="20.100000000000001" customHeight="1">
      <c r="A105" s="1103"/>
      <c r="B105" s="1103"/>
    </row>
    <row r="106" spans="1:32" ht="20.100000000000001" customHeight="1">
      <c r="A106" s="1103"/>
      <c r="B106" s="1103"/>
    </row>
    <row r="107" spans="1:32" ht="20.100000000000001" customHeight="1">
      <c r="A107" s="1103"/>
      <c r="B107" s="1103"/>
    </row>
    <row r="108" spans="1:32" ht="20.100000000000001" customHeight="1">
      <c r="A108" s="1103"/>
      <c r="B108" s="1103"/>
    </row>
    <row r="109" spans="1:32" ht="20.100000000000001" customHeight="1">
      <c r="A109" s="1103"/>
      <c r="B109" s="1103"/>
    </row>
    <row r="110" spans="1:32" ht="20.100000000000001" customHeight="1">
      <c r="A110" s="1103"/>
      <c r="B110" s="1103"/>
    </row>
    <row r="111" spans="1:32" ht="20.100000000000001" customHeight="1">
      <c r="A111" s="1103"/>
      <c r="B111" s="1103"/>
    </row>
    <row r="112" spans="1:32" ht="20.100000000000001" customHeight="1">
      <c r="A112" s="1103"/>
      <c r="B112" s="1103"/>
    </row>
    <row r="113" spans="1:38" ht="20.100000000000001" customHeight="1">
      <c r="A113" s="1103"/>
      <c r="B113" s="1103"/>
      <c r="AE113" s="1104"/>
      <c r="AF113" s="1104"/>
      <c r="AJ113" s="1104"/>
      <c r="AK113" s="1104"/>
      <c r="AL113" s="1104"/>
    </row>
    <row r="114" spans="1:38" ht="20.100000000000001" customHeight="1">
      <c r="A114" s="1103"/>
      <c r="B114" s="1103"/>
      <c r="AE114" s="1104"/>
      <c r="AF114" s="1104"/>
      <c r="AJ114" s="1104"/>
      <c r="AK114" s="1104"/>
      <c r="AL114" s="1104"/>
    </row>
    <row r="115" spans="1:38" ht="20.100000000000001" customHeight="1">
      <c r="A115" s="1103"/>
      <c r="B115" s="1103"/>
    </row>
    <row r="116" spans="1:38" ht="20.100000000000001" customHeight="1">
      <c r="A116" s="1103"/>
      <c r="B116" s="1103"/>
    </row>
    <row r="117" spans="1:38" ht="20.100000000000001" customHeight="1">
      <c r="A117" s="1103"/>
      <c r="B117" s="1103"/>
    </row>
    <row r="118" spans="1:38" ht="20.100000000000001" customHeight="1">
      <c r="A118" s="1103"/>
      <c r="B118" s="1103"/>
    </row>
    <row r="119" spans="1:38" ht="20.100000000000001" customHeight="1">
      <c r="A119" s="1103"/>
      <c r="B119" s="1103"/>
    </row>
    <row r="120" spans="1:38" ht="20.100000000000001" customHeight="1">
      <c r="A120" s="1103"/>
      <c r="B120" s="1103"/>
    </row>
    <row r="121" spans="1:38" ht="20.100000000000001" customHeight="1">
      <c r="A121" s="1103"/>
      <c r="B121" s="1103"/>
    </row>
    <row r="122" spans="1:38" ht="20.100000000000001" customHeight="1">
      <c r="A122" s="1103"/>
      <c r="B122" s="1103"/>
    </row>
    <row r="123" spans="1:38" ht="20.100000000000001" customHeight="1">
      <c r="A123" s="1103"/>
      <c r="B123" s="1103"/>
    </row>
    <row r="124" spans="1:38" ht="20.100000000000001" customHeight="1">
      <c r="A124" s="1103"/>
      <c r="B124" s="1103"/>
    </row>
    <row r="125" spans="1:38" ht="20.100000000000001" customHeight="1">
      <c r="A125" s="1103"/>
      <c r="B125" s="1103"/>
    </row>
    <row r="126" spans="1:38" ht="20.100000000000001" customHeight="1">
      <c r="A126" s="1103"/>
      <c r="B126" s="1103"/>
    </row>
    <row r="127" spans="1:38" ht="20.100000000000001" customHeight="1">
      <c r="A127" s="1103"/>
      <c r="B127" s="1103"/>
    </row>
    <row r="128" spans="1:38" ht="20.100000000000001" customHeight="1">
      <c r="A128" s="1103"/>
      <c r="B128" s="1103"/>
    </row>
    <row r="129" spans="1:2" ht="20.100000000000001" customHeight="1">
      <c r="A129" s="1103"/>
      <c r="B129" s="1103"/>
    </row>
    <row r="130" spans="1:2" ht="20.100000000000001" customHeight="1">
      <c r="A130" s="1103"/>
      <c r="B130" s="1103"/>
    </row>
    <row r="131" spans="1:2" ht="20.100000000000001" customHeight="1">
      <c r="A131" s="1103"/>
      <c r="B131" s="1103"/>
    </row>
    <row r="132" spans="1:2" ht="20.100000000000001" customHeight="1">
      <c r="A132" s="1103"/>
      <c r="B132" s="1103"/>
    </row>
    <row r="133" spans="1:2" ht="20.100000000000001" customHeight="1">
      <c r="A133" s="1103"/>
      <c r="B133" s="1103"/>
    </row>
    <row r="134" spans="1:2" ht="20.100000000000001" customHeight="1">
      <c r="A134" s="1103"/>
      <c r="B134" s="1103"/>
    </row>
    <row r="135" spans="1:2" ht="20.100000000000001" customHeight="1">
      <c r="A135" s="1103"/>
      <c r="B135" s="1103"/>
    </row>
    <row r="136" spans="1:2" ht="20.100000000000001" customHeight="1">
      <c r="A136" s="1103"/>
      <c r="B136" s="1103"/>
    </row>
    <row r="137" spans="1:2" ht="20.100000000000001" customHeight="1">
      <c r="A137" s="1103"/>
      <c r="B137" s="1103"/>
    </row>
    <row r="138" spans="1:2" ht="20.100000000000001" customHeight="1">
      <c r="A138" s="1103"/>
      <c r="B138" s="1103"/>
    </row>
    <row r="139" spans="1:2" ht="20.100000000000001" customHeight="1">
      <c r="A139" s="1103"/>
      <c r="B139" s="1103"/>
    </row>
    <row r="140" spans="1:2" ht="20.100000000000001" customHeight="1">
      <c r="A140" s="1103"/>
      <c r="B140" s="1103"/>
    </row>
    <row r="141" spans="1:2" ht="20.100000000000001" customHeight="1">
      <c r="A141" s="1103"/>
      <c r="B141" s="1103"/>
    </row>
    <row r="142" spans="1:2" ht="20.100000000000001" customHeight="1">
      <c r="A142" s="1103"/>
      <c r="B142" s="1103"/>
    </row>
    <row r="143" spans="1:2" ht="20.100000000000001" customHeight="1">
      <c r="A143" s="1103"/>
      <c r="B143" s="1103"/>
    </row>
    <row r="144" spans="1:2" ht="20.100000000000001" customHeight="1">
      <c r="A144" s="1103"/>
      <c r="B144" s="1103"/>
    </row>
    <row r="145" spans="1:2" ht="20.100000000000001" customHeight="1">
      <c r="A145" s="1103"/>
      <c r="B145" s="1103"/>
    </row>
    <row r="146" spans="1:2" ht="20.100000000000001" customHeight="1">
      <c r="A146" s="1103"/>
      <c r="B146" s="1103"/>
    </row>
    <row r="147" spans="1:2" ht="20.100000000000001" customHeight="1">
      <c r="A147" s="1103"/>
      <c r="B147" s="1103"/>
    </row>
    <row r="148" spans="1:2" ht="20.100000000000001" customHeight="1">
      <c r="A148" s="1103"/>
      <c r="B148" s="1103"/>
    </row>
  </sheetData>
  <autoFilter ref="A5:WWM62" xr:uid="{00000000-0009-0000-0000-000005000000}"/>
  <mergeCells count="17">
    <mergeCell ref="Z2:Z5"/>
    <mergeCell ref="A61:B61"/>
    <mergeCell ref="A1:Z1"/>
    <mergeCell ref="A2:A5"/>
    <mergeCell ref="B2:B5"/>
    <mergeCell ref="C2:C5"/>
    <mergeCell ref="D2:D5"/>
    <mergeCell ref="E2:E5"/>
    <mergeCell ref="F2:H2"/>
    <mergeCell ref="I2:J2"/>
    <mergeCell ref="K2:T2"/>
    <mergeCell ref="U2:U3"/>
    <mergeCell ref="C62:D62"/>
    <mergeCell ref="V2:V5"/>
    <mergeCell ref="W2:W5"/>
    <mergeCell ref="X2:X5"/>
    <mergeCell ref="Y2:Y5"/>
  </mergeCells>
  <phoneticPr fontId="13" type="noConversion"/>
  <conditionalFormatting sqref="U42:U43 U46:U1048576 U1:U5">
    <cfRule type="cellIs" dxfId="25" priority="7" operator="greaterThan">
      <formula>0.095</formula>
    </cfRule>
  </conditionalFormatting>
  <conditionalFormatting sqref="U41">
    <cfRule type="cellIs" dxfId="24" priority="6" operator="greaterThan">
      <formula>0.095</formula>
    </cfRule>
  </conditionalFormatting>
  <conditionalFormatting sqref="U44">
    <cfRule type="cellIs" dxfId="23" priority="3" operator="greaterThan">
      <formula>0.095</formula>
    </cfRule>
  </conditionalFormatting>
  <conditionalFormatting sqref="U45">
    <cfRule type="cellIs" dxfId="22" priority="2" operator="greaterThan">
      <formula>0.095</formula>
    </cfRule>
  </conditionalFormatting>
  <conditionalFormatting sqref="U6:U40">
    <cfRule type="cellIs" dxfId="21" priority="1" operator="greaterThan">
      <formula>0.1</formula>
    </cfRule>
  </conditionalFormatting>
  <printOptions horizontalCentered="1" gridLines="1"/>
  <pageMargins left="0.43307086614173229" right="0.31496062992125984" top="0.98425196850393704" bottom="0.78740157480314965" header="0.51181102362204722" footer="0.51181102362204722"/>
  <pageSetup paperSize="9" scale="56" orientation="landscape" blackAndWhite="1" r:id="rId1"/>
  <headerFooter alignWithMargins="0">
    <oddHeader>&amp;C&amp;"돋움,굵게"&amp;14오수원형1호맨홀 수량산출근거-차도측(&amp;P/&amp;N)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6">
    <tabColor rgb="FFFFC000"/>
  </sheetPr>
  <dimension ref="A1:AL252"/>
  <sheetViews>
    <sheetView view="pageBreakPreview" zoomScale="55" zoomScaleNormal="40" zoomScaleSheetLayoutView="55" workbookViewId="0">
      <selection activeCell="P30" sqref="P30"/>
    </sheetView>
  </sheetViews>
  <sheetFormatPr defaultRowHeight="20.100000000000001" customHeight="1"/>
  <cols>
    <col min="1" max="1" width="4.109375" style="1104" customWidth="1"/>
    <col min="2" max="2" width="9.77734375" style="1104" customWidth="1"/>
    <col min="3" max="3" width="8.77734375" style="1103" customWidth="1"/>
    <col min="4" max="4" width="8.77734375" style="1119" customWidth="1"/>
    <col min="5" max="5" width="8.88671875" style="1119"/>
    <col min="6" max="20" width="8.77734375" style="1103" customWidth="1"/>
    <col min="21" max="21" width="9" style="1103" bestFit="1" customWidth="1"/>
    <col min="22" max="26" width="6.77734375" style="1103" customWidth="1"/>
    <col min="27" max="27" width="8.88671875" style="1103"/>
    <col min="28" max="28" width="13.109375" style="1103" bestFit="1" customWidth="1"/>
    <col min="29" max="30" width="8.88671875" style="1103"/>
    <col min="31" max="31" width="11.77734375" style="1103" customWidth="1"/>
    <col min="32" max="266" width="8.88671875" style="1103"/>
    <col min="267" max="267" width="4.109375" style="1103" bestFit="1" customWidth="1"/>
    <col min="268" max="268" width="9.5546875" style="1103" bestFit="1" customWidth="1"/>
    <col min="269" max="269" width="6.6640625" style="1103" bestFit="1" customWidth="1"/>
    <col min="270" max="270" width="7" style="1103" bestFit="1" customWidth="1"/>
    <col min="271" max="271" width="8.88671875" style="1103"/>
    <col min="272" max="272" width="8.88671875" style="1103" customWidth="1"/>
    <col min="273" max="280" width="6.33203125" style="1103" customWidth="1"/>
    <col min="281" max="281" width="4.77734375" style="1103" customWidth="1"/>
    <col min="282" max="282" width="8.88671875" style="1103"/>
    <col min="283" max="283" width="13.109375" style="1103" bestFit="1" customWidth="1"/>
    <col min="284" max="286" width="8.88671875" style="1103"/>
    <col min="287" max="287" width="11.77734375" style="1103" customWidth="1"/>
    <col min="288" max="522" width="8.88671875" style="1103"/>
    <col min="523" max="523" width="4.109375" style="1103" bestFit="1" customWidth="1"/>
    <col min="524" max="524" width="9.5546875" style="1103" bestFit="1" customWidth="1"/>
    <col min="525" max="525" width="6.6640625" style="1103" bestFit="1" customWidth="1"/>
    <col min="526" max="526" width="7" style="1103" bestFit="1" customWidth="1"/>
    <col min="527" max="527" width="8.88671875" style="1103"/>
    <col min="528" max="528" width="8.88671875" style="1103" customWidth="1"/>
    <col min="529" max="536" width="6.33203125" style="1103" customWidth="1"/>
    <col min="537" max="537" width="4.77734375" style="1103" customWidth="1"/>
    <col min="538" max="538" width="8.88671875" style="1103"/>
    <col min="539" max="539" width="13.109375" style="1103" bestFit="1" customWidth="1"/>
    <col min="540" max="542" width="8.88671875" style="1103"/>
    <col min="543" max="543" width="11.77734375" style="1103" customWidth="1"/>
    <col min="544" max="778" width="8.88671875" style="1103"/>
    <col min="779" max="779" width="4.109375" style="1103" bestFit="1" customWidth="1"/>
    <col min="780" max="780" width="9.5546875" style="1103" bestFit="1" customWidth="1"/>
    <col min="781" max="781" width="6.6640625" style="1103" bestFit="1" customWidth="1"/>
    <col min="782" max="782" width="7" style="1103" bestFit="1" customWidth="1"/>
    <col min="783" max="783" width="8.88671875" style="1103"/>
    <col min="784" max="784" width="8.88671875" style="1103" customWidth="1"/>
    <col min="785" max="792" width="6.33203125" style="1103" customWidth="1"/>
    <col min="793" max="793" width="4.77734375" style="1103" customWidth="1"/>
    <col min="794" max="794" width="8.88671875" style="1103"/>
    <col min="795" max="795" width="13.109375" style="1103" bestFit="1" customWidth="1"/>
    <col min="796" max="798" width="8.88671875" style="1103"/>
    <col min="799" max="799" width="11.77734375" style="1103" customWidth="1"/>
    <col min="800" max="1034" width="8.88671875" style="1103"/>
    <col min="1035" max="1035" width="4.109375" style="1103" bestFit="1" customWidth="1"/>
    <col min="1036" max="1036" width="9.5546875" style="1103" bestFit="1" customWidth="1"/>
    <col min="1037" max="1037" width="6.6640625" style="1103" bestFit="1" customWidth="1"/>
    <col min="1038" max="1038" width="7" style="1103" bestFit="1" customWidth="1"/>
    <col min="1039" max="1039" width="8.88671875" style="1103"/>
    <col min="1040" max="1040" width="8.88671875" style="1103" customWidth="1"/>
    <col min="1041" max="1048" width="6.33203125" style="1103" customWidth="1"/>
    <col min="1049" max="1049" width="4.77734375" style="1103" customWidth="1"/>
    <col min="1050" max="1050" width="8.88671875" style="1103"/>
    <col min="1051" max="1051" width="13.109375" style="1103" bestFit="1" customWidth="1"/>
    <col min="1052" max="1054" width="8.88671875" style="1103"/>
    <col min="1055" max="1055" width="11.77734375" style="1103" customWidth="1"/>
    <col min="1056" max="1290" width="8.88671875" style="1103"/>
    <col min="1291" max="1291" width="4.109375" style="1103" bestFit="1" customWidth="1"/>
    <col min="1292" max="1292" width="9.5546875" style="1103" bestFit="1" customWidth="1"/>
    <col min="1293" max="1293" width="6.6640625" style="1103" bestFit="1" customWidth="1"/>
    <col min="1294" max="1294" width="7" style="1103" bestFit="1" customWidth="1"/>
    <col min="1295" max="1295" width="8.88671875" style="1103"/>
    <col min="1296" max="1296" width="8.88671875" style="1103" customWidth="1"/>
    <col min="1297" max="1304" width="6.33203125" style="1103" customWidth="1"/>
    <col min="1305" max="1305" width="4.77734375" style="1103" customWidth="1"/>
    <col min="1306" max="1306" width="8.88671875" style="1103"/>
    <col min="1307" max="1307" width="13.109375" style="1103" bestFit="1" customWidth="1"/>
    <col min="1308" max="1310" width="8.88671875" style="1103"/>
    <col min="1311" max="1311" width="11.77734375" style="1103" customWidth="1"/>
    <col min="1312" max="1546" width="8.88671875" style="1103"/>
    <col min="1547" max="1547" width="4.109375" style="1103" bestFit="1" customWidth="1"/>
    <col min="1548" max="1548" width="9.5546875" style="1103" bestFit="1" customWidth="1"/>
    <col min="1549" max="1549" width="6.6640625" style="1103" bestFit="1" customWidth="1"/>
    <col min="1550" max="1550" width="7" style="1103" bestFit="1" customWidth="1"/>
    <col min="1551" max="1551" width="8.88671875" style="1103"/>
    <col min="1552" max="1552" width="8.88671875" style="1103" customWidth="1"/>
    <col min="1553" max="1560" width="6.33203125" style="1103" customWidth="1"/>
    <col min="1561" max="1561" width="4.77734375" style="1103" customWidth="1"/>
    <col min="1562" max="1562" width="8.88671875" style="1103"/>
    <col min="1563" max="1563" width="13.109375" style="1103" bestFit="1" customWidth="1"/>
    <col min="1564" max="1566" width="8.88671875" style="1103"/>
    <col min="1567" max="1567" width="11.77734375" style="1103" customWidth="1"/>
    <col min="1568" max="1802" width="8.88671875" style="1103"/>
    <col min="1803" max="1803" width="4.109375" style="1103" bestFit="1" customWidth="1"/>
    <col min="1804" max="1804" width="9.5546875" style="1103" bestFit="1" customWidth="1"/>
    <col min="1805" max="1805" width="6.6640625" style="1103" bestFit="1" customWidth="1"/>
    <col min="1806" max="1806" width="7" style="1103" bestFit="1" customWidth="1"/>
    <col min="1807" max="1807" width="8.88671875" style="1103"/>
    <col min="1808" max="1808" width="8.88671875" style="1103" customWidth="1"/>
    <col min="1809" max="1816" width="6.33203125" style="1103" customWidth="1"/>
    <col min="1817" max="1817" width="4.77734375" style="1103" customWidth="1"/>
    <col min="1818" max="1818" width="8.88671875" style="1103"/>
    <col min="1819" max="1819" width="13.109375" style="1103" bestFit="1" customWidth="1"/>
    <col min="1820" max="1822" width="8.88671875" style="1103"/>
    <col min="1823" max="1823" width="11.77734375" style="1103" customWidth="1"/>
    <col min="1824" max="2058" width="8.88671875" style="1103"/>
    <col min="2059" max="2059" width="4.109375" style="1103" bestFit="1" customWidth="1"/>
    <col min="2060" max="2060" width="9.5546875" style="1103" bestFit="1" customWidth="1"/>
    <col min="2061" max="2061" width="6.6640625" style="1103" bestFit="1" customWidth="1"/>
    <col min="2062" max="2062" width="7" style="1103" bestFit="1" customWidth="1"/>
    <col min="2063" max="2063" width="8.88671875" style="1103"/>
    <col min="2064" max="2064" width="8.88671875" style="1103" customWidth="1"/>
    <col min="2065" max="2072" width="6.33203125" style="1103" customWidth="1"/>
    <col min="2073" max="2073" width="4.77734375" style="1103" customWidth="1"/>
    <col min="2074" max="2074" width="8.88671875" style="1103"/>
    <col min="2075" max="2075" width="13.109375" style="1103" bestFit="1" customWidth="1"/>
    <col min="2076" max="2078" width="8.88671875" style="1103"/>
    <col min="2079" max="2079" width="11.77734375" style="1103" customWidth="1"/>
    <col min="2080" max="2314" width="8.88671875" style="1103"/>
    <col min="2315" max="2315" width="4.109375" style="1103" bestFit="1" customWidth="1"/>
    <col min="2316" max="2316" width="9.5546875" style="1103" bestFit="1" customWidth="1"/>
    <col min="2317" max="2317" width="6.6640625" style="1103" bestFit="1" customWidth="1"/>
    <col min="2318" max="2318" width="7" style="1103" bestFit="1" customWidth="1"/>
    <col min="2319" max="2319" width="8.88671875" style="1103"/>
    <col min="2320" max="2320" width="8.88671875" style="1103" customWidth="1"/>
    <col min="2321" max="2328" width="6.33203125" style="1103" customWidth="1"/>
    <col min="2329" max="2329" width="4.77734375" style="1103" customWidth="1"/>
    <col min="2330" max="2330" width="8.88671875" style="1103"/>
    <col min="2331" max="2331" width="13.109375" style="1103" bestFit="1" customWidth="1"/>
    <col min="2332" max="2334" width="8.88671875" style="1103"/>
    <col min="2335" max="2335" width="11.77734375" style="1103" customWidth="1"/>
    <col min="2336" max="2570" width="8.88671875" style="1103"/>
    <col min="2571" max="2571" width="4.109375" style="1103" bestFit="1" customWidth="1"/>
    <col min="2572" max="2572" width="9.5546875" style="1103" bestFit="1" customWidth="1"/>
    <col min="2573" max="2573" width="6.6640625" style="1103" bestFit="1" customWidth="1"/>
    <col min="2574" max="2574" width="7" style="1103" bestFit="1" customWidth="1"/>
    <col min="2575" max="2575" width="8.88671875" style="1103"/>
    <col min="2576" max="2576" width="8.88671875" style="1103" customWidth="1"/>
    <col min="2577" max="2584" width="6.33203125" style="1103" customWidth="1"/>
    <col min="2585" max="2585" width="4.77734375" style="1103" customWidth="1"/>
    <col min="2586" max="2586" width="8.88671875" style="1103"/>
    <col min="2587" max="2587" width="13.109375" style="1103" bestFit="1" customWidth="1"/>
    <col min="2588" max="2590" width="8.88671875" style="1103"/>
    <col min="2591" max="2591" width="11.77734375" style="1103" customWidth="1"/>
    <col min="2592" max="2826" width="8.88671875" style="1103"/>
    <col min="2827" max="2827" width="4.109375" style="1103" bestFit="1" customWidth="1"/>
    <col min="2828" max="2828" width="9.5546875" style="1103" bestFit="1" customWidth="1"/>
    <col min="2829" max="2829" width="6.6640625" style="1103" bestFit="1" customWidth="1"/>
    <col min="2830" max="2830" width="7" style="1103" bestFit="1" customWidth="1"/>
    <col min="2831" max="2831" width="8.88671875" style="1103"/>
    <col min="2832" max="2832" width="8.88671875" style="1103" customWidth="1"/>
    <col min="2833" max="2840" width="6.33203125" style="1103" customWidth="1"/>
    <col min="2841" max="2841" width="4.77734375" style="1103" customWidth="1"/>
    <col min="2842" max="2842" width="8.88671875" style="1103"/>
    <col min="2843" max="2843" width="13.109375" style="1103" bestFit="1" customWidth="1"/>
    <col min="2844" max="2846" width="8.88671875" style="1103"/>
    <col min="2847" max="2847" width="11.77734375" style="1103" customWidth="1"/>
    <col min="2848" max="3082" width="8.88671875" style="1103"/>
    <col min="3083" max="3083" width="4.109375" style="1103" bestFit="1" customWidth="1"/>
    <col min="3084" max="3084" width="9.5546875" style="1103" bestFit="1" customWidth="1"/>
    <col min="3085" max="3085" width="6.6640625" style="1103" bestFit="1" customWidth="1"/>
    <col min="3086" max="3086" width="7" style="1103" bestFit="1" customWidth="1"/>
    <col min="3087" max="3087" width="8.88671875" style="1103"/>
    <col min="3088" max="3088" width="8.88671875" style="1103" customWidth="1"/>
    <col min="3089" max="3096" width="6.33203125" style="1103" customWidth="1"/>
    <col min="3097" max="3097" width="4.77734375" style="1103" customWidth="1"/>
    <col min="3098" max="3098" width="8.88671875" style="1103"/>
    <col min="3099" max="3099" width="13.109375" style="1103" bestFit="1" customWidth="1"/>
    <col min="3100" max="3102" width="8.88671875" style="1103"/>
    <col min="3103" max="3103" width="11.77734375" style="1103" customWidth="1"/>
    <col min="3104" max="3338" width="8.88671875" style="1103"/>
    <col min="3339" max="3339" width="4.109375" style="1103" bestFit="1" customWidth="1"/>
    <col min="3340" max="3340" width="9.5546875" style="1103" bestFit="1" customWidth="1"/>
    <col min="3341" max="3341" width="6.6640625" style="1103" bestFit="1" customWidth="1"/>
    <col min="3342" max="3342" width="7" style="1103" bestFit="1" customWidth="1"/>
    <col min="3343" max="3343" width="8.88671875" style="1103"/>
    <col min="3344" max="3344" width="8.88671875" style="1103" customWidth="1"/>
    <col min="3345" max="3352" width="6.33203125" style="1103" customWidth="1"/>
    <col min="3353" max="3353" width="4.77734375" style="1103" customWidth="1"/>
    <col min="3354" max="3354" width="8.88671875" style="1103"/>
    <col min="3355" max="3355" width="13.109375" style="1103" bestFit="1" customWidth="1"/>
    <col min="3356" max="3358" width="8.88671875" style="1103"/>
    <col min="3359" max="3359" width="11.77734375" style="1103" customWidth="1"/>
    <col min="3360" max="3594" width="8.88671875" style="1103"/>
    <col min="3595" max="3595" width="4.109375" style="1103" bestFit="1" customWidth="1"/>
    <col min="3596" max="3596" width="9.5546875" style="1103" bestFit="1" customWidth="1"/>
    <col min="3597" max="3597" width="6.6640625" style="1103" bestFit="1" customWidth="1"/>
    <col min="3598" max="3598" width="7" style="1103" bestFit="1" customWidth="1"/>
    <col min="3599" max="3599" width="8.88671875" style="1103"/>
    <col min="3600" max="3600" width="8.88671875" style="1103" customWidth="1"/>
    <col min="3601" max="3608" width="6.33203125" style="1103" customWidth="1"/>
    <col min="3609" max="3609" width="4.77734375" style="1103" customWidth="1"/>
    <col min="3610" max="3610" width="8.88671875" style="1103"/>
    <col min="3611" max="3611" width="13.109375" style="1103" bestFit="1" customWidth="1"/>
    <col min="3612" max="3614" width="8.88671875" style="1103"/>
    <col min="3615" max="3615" width="11.77734375" style="1103" customWidth="1"/>
    <col min="3616" max="3850" width="8.88671875" style="1103"/>
    <col min="3851" max="3851" width="4.109375" style="1103" bestFit="1" customWidth="1"/>
    <col min="3852" max="3852" width="9.5546875" style="1103" bestFit="1" customWidth="1"/>
    <col min="3853" max="3853" width="6.6640625" style="1103" bestFit="1" customWidth="1"/>
    <col min="3854" max="3854" width="7" style="1103" bestFit="1" customWidth="1"/>
    <col min="3855" max="3855" width="8.88671875" style="1103"/>
    <col min="3856" max="3856" width="8.88671875" style="1103" customWidth="1"/>
    <col min="3857" max="3864" width="6.33203125" style="1103" customWidth="1"/>
    <col min="3865" max="3865" width="4.77734375" style="1103" customWidth="1"/>
    <col min="3866" max="3866" width="8.88671875" style="1103"/>
    <col min="3867" max="3867" width="13.109375" style="1103" bestFit="1" customWidth="1"/>
    <col min="3868" max="3870" width="8.88671875" style="1103"/>
    <col min="3871" max="3871" width="11.77734375" style="1103" customWidth="1"/>
    <col min="3872" max="4106" width="8.88671875" style="1103"/>
    <col min="4107" max="4107" width="4.109375" style="1103" bestFit="1" customWidth="1"/>
    <col min="4108" max="4108" width="9.5546875" style="1103" bestFit="1" customWidth="1"/>
    <col min="4109" max="4109" width="6.6640625" style="1103" bestFit="1" customWidth="1"/>
    <col min="4110" max="4110" width="7" style="1103" bestFit="1" customWidth="1"/>
    <col min="4111" max="4111" width="8.88671875" style="1103"/>
    <col min="4112" max="4112" width="8.88671875" style="1103" customWidth="1"/>
    <col min="4113" max="4120" width="6.33203125" style="1103" customWidth="1"/>
    <col min="4121" max="4121" width="4.77734375" style="1103" customWidth="1"/>
    <col min="4122" max="4122" width="8.88671875" style="1103"/>
    <col min="4123" max="4123" width="13.109375" style="1103" bestFit="1" customWidth="1"/>
    <col min="4124" max="4126" width="8.88671875" style="1103"/>
    <col min="4127" max="4127" width="11.77734375" style="1103" customWidth="1"/>
    <col min="4128" max="4362" width="8.88671875" style="1103"/>
    <col min="4363" max="4363" width="4.109375" style="1103" bestFit="1" customWidth="1"/>
    <col min="4364" max="4364" width="9.5546875" style="1103" bestFit="1" customWidth="1"/>
    <col min="4365" max="4365" width="6.6640625" style="1103" bestFit="1" customWidth="1"/>
    <col min="4366" max="4366" width="7" style="1103" bestFit="1" customWidth="1"/>
    <col min="4367" max="4367" width="8.88671875" style="1103"/>
    <col min="4368" max="4368" width="8.88671875" style="1103" customWidth="1"/>
    <col min="4369" max="4376" width="6.33203125" style="1103" customWidth="1"/>
    <col min="4377" max="4377" width="4.77734375" style="1103" customWidth="1"/>
    <col min="4378" max="4378" width="8.88671875" style="1103"/>
    <col min="4379" max="4379" width="13.109375" style="1103" bestFit="1" customWidth="1"/>
    <col min="4380" max="4382" width="8.88671875" style="1103"/>
    <col min="4383" max="4383" width="11.77734375" style="1103" customWidth="1"/>
    <col min="4384" max="4618" width="8.88671875" style="1103"/>
    <col min="4619" max="4619" width="4.109375" style="1103" bestFit="1" customWidth="1"/>
    <col min="4620" max="4620" width="9.5546875" style="1103" bestFit="1" customWidth="1"/>
    <col min="4621" max="4621" width="6.6640625" style="1103" bestFit="1" customWidth="1"/>
    <col min="4622" max="4622" width="7" style="1103" bestFit="1" customWidth="1"/>
    <col min="4623" max="4623" width="8.88671875" style="1103"/>
    <col min="4624" max="4624" width="8.88671875" style="1103" customWidth="1"/>
    <col min="4625" max="4632" width="6.33203125" style="1103" customWidth="1"/>
    <col min="4633" max="4633" width="4.77734375" style="1103" customWidth="1"/>
    <col min="4634" max="4634" width="8.88671875" style="1103"/>
    <col min="4635" max="4635" width="13.109375" style="1103" bestFit="1" customWidth="1"/>
    <col min="4636" max="4638" width="8.88671875" style="1103"/>
    <col min="4639" max="4639" width="11.77734375" style="1103" customWidth="1"/>
    <col min="4640" max="4874" width="8.88671875" style="1103"/>
    <col min="4875" max="4875" width="4.109375" style="1103" bestFit="1" customWidth="1"/>
    <col min="4876" max="4876" width="9.5546875" style="1103" bestFit="1" customWidth="1"/>
    <col min="4877" max="4877" width="6.6640625" style="1103" bestFit="1" customWidth="1"/>
    <col min="4878" max="4878" width="7" style="1103" bestFit="1" customWidth="1"/>
    <col min="4879" max="4879" width="8.88671875" style="1103"/>
    <col min="4880" max="4880" width="8.88671875" style="1103" customWidth="1"/>
    <col min="4881" max="4888" width="6.33203125" style="1103" customWidth="1"/>
    <col min="4889" max="4889" width="4.77734375" style="1103" customWidth="1"/>
    <col min="4890" max="4890" width="8.88671875" style="1103"/>
    <col min="4891" max="4891" width="13.109375" style="1103" bestFit="1" customWidth="1"/>
    <col min="4892" max="4894" width="8.88671875" style="1103"/>
    <col min="4895" max="4895" width="11.77734375" style="1103" customWidth="1"/>
    <col min="4896" max="5130" width="8.88671875" style="1103"/>
    <col min="5131" max="5131" width="4.109375" style="1103" bestFit="1" customWidth="1"/>
    <col min="5132" max="5132" width="9.5546875" style="1103" bestFit="1" customWidth="1"/>
    <col min="5133" max="5133" width="6.6640625" style="1103" bestFit="1" customWidth="1"/>
    <col min="5134" max="5134" width="7" style="1103" bestFit="1" customWidth="1"/>
    <col min="5135" max="5135" width="8.88671875" style="1103"/>
    <col min="5136" max="5136" width="8.88671875" style="1103" customWidth="1"/>
    <col min="5137" max="5144" width="6.33203125" style="1103" customWidth="1"/>
    <col min="5145" max="5145" width="4.77734375" style="1103" customWidth="1"/>
    <col min="5146" max="5146" width="8.88671875" style="1103"/>
    <col min="5147" max="5147" width="13.109375" style="1103" bestFit="1" customWidth="1"/>
    <col min="5148" max="5150" width="8.88671875" style="1103"/>
    <col min="5151" max="5151" width="11.77734375" style="1103" customWidth="1"/>
    <col min="5152" max="5386" width="8.88671875" style="1103"/>
    <col min="5387" max="5387" width="4.109375" style="1103" bestFit="1" customWidth="1"/>
    <col min="5388" max="5388" width="9.5546875" style="1103" bestFit="1" customWidth="1"/>
    <col min="5389" max="5389" width="6.6640625" style="1103" bestFit="1" customWidth="1"/>
    <col min="5390" max="5390" width="7" style="1103" bestFit="1" customWidth="1"/>
    <col min="5391" max="5391" width="8.88671875" style="1103"/>
    <col min="5392" max="5392" width="8.88671875" style="1103" customWidth="1"/>
    <col min="5393" max="5400" width="6.33203125" style="1103" customWidth="1"/>
    <col min="5401" max="5401" width="4.77734375" style="1103" customWidth="1"/>
    <col min="5402" max="5402" width="8.88671875" style="1103"/>
    <col min="5403" max="5403" width="13.109375" style="1103" bestFit="1" customWidth="1"/>
    <col min="5404" max="5406" width="8.88671875" style="1103"/>
    <col min="5407" max="5407" width="11.77734375" style="1103" customWidth="1"/>
    <col min="5408" max="5642" width="8.88671875" style="1103"/>
    <col min="5643" max="5643" width="4.109375" style="1103" bestFit="1" customWidth="1"/>
    <col min="5644" max="5644" width="9.5546875" style="1103" bestFit="1" customWidth="1"/>
    <col min="5645" max="5645" width="6.6640625" style="1103" bestFit="1" customWidth="1"/>
    <col min="5646" max="5646" width="7" style="1103" bestFit="1" customWidth="1"/>
    <col min="5647" max="5647" width="8.88671875" style="1103"/>
    <col min="5648" max="5648" width="8.88671875" style="1103" customWidth="1"/>
    <col min="5649" max="5656" width="6.33203125" style="1103" customWidth="1"/>
    <col min="5657" max="5657" width="4.77734375" style="1103" customWidth="1"/>
    <col min="5658" max="5658" width="8.88671875" style="1103"/>
    <col min="5659" max="5659" width="13.109375" style="1103" bestFit="1" customWidth="1"/>
    <col min="5660" max="5662" width="8.88671875" style="1103"/>
    <col min="5663" max="5663" width="11.77734375" style="1103" customWidth="1"/>
    <col min="5664" max="5898" width="8.88671875" style="1103"/>
    <col min="5899" max="5899" width="4.109375" style="1103" bestFit="1" customWidth="1"/>
    <col min="5900" max="5900" width="9.5546875" style="1103" bestFit="1" customWidth="1"/>
    <col min="5901" max="5901" width="6.6640625" style="1103" bestFit="1" customWidth="1"/>
    <col min="5902" max="5902" width="7" style="1103" bestFit="1" customWidth="1"/>
    <col min="5903" max="5903" width="8.88671875" style="1103"/>
    <col min="5904" max="5904" width="8.88671875" style="1103" customWidth="1"/>
    <col min="5905" max="5912" width="6.33203125" style="1103" customWidth="1"/>
    <col min="5913" max="5913" width="4.77734375" style="1103" customWidth="1"/>
    <col min="5914" max="5914" width="8.88671875" style="1103"/>
    <col min="5915" max="5915" width="13.109375" style="1103" bestFit="1" customWidth="1"/>
    <col min="5916" max="5918" width="8.88671875" style="1103"/>
    <col min="5919" max="5919" width="11.77734375" style="1103" customWidth="1"/>
    <col min="5920" max="6154" width="8.88671875" style="1103"/>
    <col min="6155" max="6155" width="4.109375" style="1103" bestFit="1" customWidth="1"/>
    <col min="6156" max="6156" width="9.5546875" style="1103" bestFit="1" customWidth="1"/>
    <col min="6157" max="6157" width="6.6640625" style="1103" bestFit="1" customWidth="1"/>
    <col min="6158" max="6158" width="7" style="1103" bestFit="1" customWidth="1"/>
    <col min="6159" max="6159" width="8.88671875" style="1103"/>
    <col min="6160" max="6160" width="8.88671875" style="1103" customWidth="1"/>
    <col min="6161" max="6168" width="6.33203125" style="1103" customWidth="1"/>
    <col min="6169" max="6169" width="4.77734375" style="1103" customWidth="1"/>
    <col min="6170" max="6170" width="8.88671875" style="1103"/>
    <col min="6171" max="6171" width="13.109375" style="1103" bestFit="1" customWidth="1"/>
    <col min="6172" max="6174" width="8.88671875" style="1103"/>
    <col min="6175" max="6175" width="11.77734375" style="1103" customWidth="1"/>
    <col min="6176" max="6410" width="8.88671875" style="1103"/>
    <col min="6411" max="6411" width="4.109375" style="1103" bestFit="1" customWidth="1"/>
    <col min="6412" max="6412" width="9.5546875" style="1103" bestFit="1" customWidth="1"/>
    <col min="6413" max="6413" width="6.6640625" style="1103" bestFit="1" customWidth="1"/>
    <col min="6414" max="6414" width="7" style="1103" bestFit="1" customWidth="1"/>
    <col min="6415" max="6415" width="8.88671875" style="1103"/>
    <col min="6416" max="6416" width="8.88671875" style="1103" customWidth="1"/>
    <col min="6417" max="6424" width="6.33203125" style="1103" customWidth="1"/>
    <col min="6425" max="6425" width="4.77734375" style="1103" customWidth="1"/>
    <col min="6426" max="6426" width="8.88671875" style="1103"/>
    <col min="6427" max="6427" width="13.109375" style="1103" bestFit="1" customWidth="1"/>
    <col min="6428" max="6430" width="8.88671875" style="1103"/>
    <col min="6431" max="6431" width="11.77734375" style="1103" customWidth="1"/>
    <col min="6432" max="6666" width="8.88671875" style="1103"/>
    <col min="6667" max="6667" width="4.109375" style="1103" bestFit="1" customWidth="1"/>
    <col min="6668" max="6668" width="9.5546875" style="1103" bestFit="1" customWidth="1"/>
    <col min="6669" max="6669" width="6.6640625" style="1103" bestFit="1" customWidth="1"/>
    <col min="6670" max="6670" width="7" style="1103" bestFit="1" customWidth="1"/>
    <col min="6671" max="6671" width="8.88671875" style="1103"/>
    <col min="6672" max="6672" width="8.88671875" style="1103" customWidth="1"/>
    <col min="6673" max="6680" width="6.33203125" style="1103" customWidth="1"/>
    <col min="6681" max="6681" width="4.77734375" style="1103" customWidth="1"/>
    <col min="6682" max="6682" width="8.88671875" style="1103"/>
    <col min="6683" max="6683" width="13.109375" style="1103" bestFit="1" customWidth="1"/>
    <col min="6684" max="6686" width="8.88671875" style="1103"/>
    <col min="6687" max="6687" width="11.77734375" style="1103" customWidth="1"/>
    <col min="6688" max="6922" width="8.88671875" style="1103"/>
    <col min="6923" max="6923" width="4.109375" style="1103" bestFit="1" customWidth="1"/>
    <col min="6924" max="6924" width="9.5546875" style="1103" bestFit="1" customWidth="1"/>
    <col min="6925" max="6925" width="6.6640625" style="1103" bestFit="1" customWidth="1"/>
    <col min="6926" max="6926" width="7" style="1103" bestFit="1" customWidth="1"/>
    <col min="6927" max="6927" width="8.88671875" style="1103"/>
    <col min="6928" max="6928" width="8.88671875" style="1103" customWidth="1"/>
    <col min="6929" max="6936" width="6.33203125" style="1103" customWidth="1"/>
    <col min="6937" max="6937" width="4.77734375" style="1103" customWidth="1"/>
    <col min="6938" max="6938" width="8.88671875" style="1103"/>
    <col min="6939" max="6939" width="13.109375" style="1103" bestFit="1" customWidth="1"/>
    <col min="6940" max="6942" width="8.88671875" style="1103"/>
    <col min="6943" max="6943" width="11.77734375" style="1103" customWidth="1"/>
    <col min="6944" max="7178" width="8.88671875" style="1103"/>
    <col min="7179" max="7179" width="4.109375" style="1103" bestFit="1" customWidth="1"/>
    <col min="7180" max="7180" width="9.5546875" style="1103" bestFit="1" customWidth="1"/>
    <col min="7181" max="7181" width="6.6640625" style="1103" bestFit="1" customWidth="1"/>
    <col min="7182" max="7182" width="7" style="1103" bestFit="1" customWidth="1"/>
    <col min="7183" max="7183" width="8.88671875" style="1103"/>
    <col min="7184" max="7184" width="8.88671875" style="1103" customWidth="1"/>
    <col min="7185" max="7192" width="6.33203125" style="1103" customWidth="1"/>
    <col min="7193" max="7193" width="4.77734375" style="1103" customWidth="1"/>
    <col min="7194" max="7194" width="8.88671875" style="1103"/>
    <col min="7195" max="7195" width="13.109375" style="1103" bestFit="1" customWidth="1"/>
    <col min="7196" max="7198" width="8.88671875" style="1103"/>
    <col min="7199" max="7199" width="11.77734375" style="1103" customWidth="1"/>
    <col min="7200" max="7434" width="8.88671875" style="1103"/>
    <col min="7435" max="7435" width="4.109375" style="1103" bestFit="1" customWidth="1"/>
    <col min="7436" max="7436" width="9.5546875" style="1103" bestFit="1" customWidth="1"/>
    <col min="7437" max="7437" width="6.6640625" style="1103" bestFit="1" customWidth="1"/>
    <col min="7438" max="7438" width="7" style="1103" bestFit="1" customWidth="1"/>
    <col min="7439" max="7439" width="8.88671875" style="1103"/>
    <col min="7440" max="7440" width="8.88671875" style="1103" customWidth="1"/>
    <col min="7441" max="7448" width="6.33203125" style="1103" customWidth="1"/>
    <col min="7449" max="7449" width="4.77734375" style="1103" customWidth="1"/>
    <col min="7450" max="7450" width="8.88671875" style="1103"/>
    <col min="7451" max="7451" width="13.109375" style="1103" bestFit="1" customWidth="1"/>
    <col min="7452" max="7454" width="8.88671875" style="1103"/>
    <col min="7455" max="7455" width="11.77734375" style="1103" customWidth="1"/>
    <col min="7456" max="7690" width="8.88671875" style="1103"/>
    <col min="7691" max="7691" width="4.109375" style="1103" bestFit="1" customWidth="1"/>
    <col min="7692" max="7692" width="9.5546875" style="1103" bestFit="1" customWidth="1"/>
    <col min="7693" max="7693" width="6.6640625" style="1103" bestFit="1" customWidth="1"/>
    <col min="7694" max="7694" width="7" style="1103" bestFit="1" customWidth="1"/>
    <col min="7695" max="7695" width="8.88671875" style="1103"/>
    <col min="7696" max="7696" width="8.88671875" style="1103" customWidth="1"/>
    <col min="7697" max="7704" width="6.33203125" style="1103" customWidth="1"/>
    <col min="7705" max="7705" width="4.77734375" style="1103" customWidth="1"/>
    <col min="7706" max="7706" width="8.88671875" style="1103"/>
    <col min="7707" max="7707" width="13.109375" style="1103" bestFit="1" customWidth="1"/>
    <col min="7708" max="7710" width="8.88671875" style="1103"/>
    <col min="7711" max="7711" width="11.77734375" style="1103" customWidth="1"/>
    <col min="7712" max="7946" width="8.88671875" style="1103"/>
    <col min="7947" max="7947" width="4.109375" style="1103" bestFit="1" customWidth="1"/>
    <col min="7948" max="7948" width="9.5546875" style="1103" bestFit="1" customWidth="1"/>
    <col min="7949" max="7949" width="6.6640625" style="1103" bestFit="1" customWidth="1"/>
    <col min="7950" max="7950" width="7" style="1103" bestFit="1" customWidth="1"/>
    <col min="7951" max="7951" width="8.88671875" style="1103"/>
    <col min="7952" max="7952" width="8.88671875" style="1103" customWidth="1"/>
    <col min="7953" max="7960" width="6.33203125" style="1103" customWidth="1"/>
    <col min="7961" max="7961" width="4.77734375" style="1103" customWidth="1"/>
    <col min="7962" max="7962" width="8.88671875" style="1103"/>
    <col min="7963" max="7963" width="13.109375" style="1103" bestFit="1" customWidth="1"/>
    <col min="7964" max="7966" width="8.88671875" style="1103"/>
    <col min="7967" max="7967" width="11.77734375" style="1103" customWidth="1"/>
    <col min="7968" max="8202" width="8.88671875" style="1103"/>
    <col min="8203" max="8203" width="4.109375" style="1103" bestFit="1" customWidth="1"/>
    <col min="8204" max="8204" width="9.5546875" style="1103" bestFit="1" customWidth="1"/>
    <col min="8205" max="8205" width="6.6640625" style="1103" bestFit="1" customWidth="1"/>
    <col min="8206" max="8206" width="7" style="1103" bestFit="1" customWidth="1"/>
    <col min="8207" max="8207" width="8.88671875" style="1103"/>
    <col min="8208" max="8208" width="8.88671875" style="1103" customWidth="1"/>
    <col min="8209" max="8216" width="6.33203125" style="1103" customWidth="1"/>
    <col min="8217" max="8217" width="4.77734375" style="1103" customWidth="1"/>
    <col min="8218" max="8218" width="8.88671875" style="1103"/>
    <col min="8219" max="8219" width="13.109375" style="1103" bestFit="1" customWidth="1"/>
    <col min="8220" max="8222" width="8.88671875" style="1103"/>
    <col min="8223" max="8223" width="11.77734375" style="1103" customWidth="1"/>
    <col min="8224" max="8458" width="8.88671875" style="1103"/>
    <col min="8459" max="8459" width="4.109375" style="1103" bestFit="1" customWidth="1"/>
    <col min="8460" max="8460" width="9.5546875" style="1103" bestFit="1" customWidth="1"/>
    <col min="8461" max="8461" width="6.6640625" style="1103" bestFit="1" customWidth="1"/>
    <col min="8462" max="8462" width="7" style="1103" bestFit="1" customWidth="1"/>
    <col min="8463" max="8463" width="8.88671875" style="1103"/>
    <col min="8464" max="8464" width="8.88671875" style="1103" customWidth="1"/>
    <col min="8465" max="8472" width="6.33203125" style="1103" customWidth="1"/>
    <col min="8473" max="8473" width="4.77734375" style="1103" customWidth="1"/>
    <col min="8474" max="8474" width="8.88671875" style="1103"/>
    <col min="8475" max="8475" width="13.109375" style="1103" bestFit="1" customWidth="1"/>
    <col min="8476" max="8478" width="8.88671875" style="1103"/>
    <col min="8479" max="8479" width="11.77734375" style="1103" customWidth="1"/>
    <col min="8480" max="8714" width="8.88671875" style="1103"/>
    <col min="8715" max="8715" width="4.109375" style="1103" bestFit="1" customWidth="1"/>
    <col min="8716" max="8716" width="9.5546875" style="1103" bestFit="1" customWidth="1"/>
    <col min="8717" max="8717" width="6.6640625" style="1103" bestFit="1" customWidth="1"/>
    <col min="8718" max="8718" width="7" style="1103" bestFit="1" customWidth="1"/>
    <col min="8719" max="8719" width="8.88671875" style="1103"/>
    <col min="8720" max="8720" width="8.88671875" style="1103" customWidth="1"/>
    <col min="8721" max="8728" width="6.33203125" style="1103" customWidth="1"/>
    <col min="8729" max="8729" width="4.77734375" style="1103" customWidth="1"/>
    <col min="8730" max="8730" width="8.88671875" style="1103"/>
    <col min="8731" max="8731" width="13.109375" style="1103" bestFit="1" customWidth="1"/>
    <col min="8732" max="8734" width="8.88671875" style="1103"/>
    <col min="8735" max="8735" width="11.77734375" style="1103" customWidth="1"/>
    <col min="8736" max="8970" width="8.88671875" style="1103"/>
    <col min="8971" max="8971" width="4.109375" style="1103" bestFit="1" customWidth="1"/>
    <col min="8972" max="8972" width="9.5546875" style="1103" bestFit="1" customWidth="1"/>
    <col min="8973" max="8973" width="6.6640625" style="1103" bestFit="1" customWidth="1"/>
    <col min="8974" max="8974" width="7" style="1103" bestFit="1" customWidth="1"/>
    <col min="8975" max="8975" width="8.88671875" style="1103"/>
    <col min="8976" max="8976" width="8.88671875" style="1103" customWidth="1"/>
    <col min="8977" max="8984" width="6.33203125" style="1103" customWidth="1"/>
    <col min="8985" max="8985" width="4.77734375" style="1103" customWidth="1"/>
    <col min="8986" max="8986" width="8.88671875" style="1103"/>
    <col min="8987" max="8987" width="13.109375" style="1103" bestFit="1" customWidth="1"/>
    <col min="8988" max="8990" width="8.88671875" style="1103"/>
    <col min="8991" max="8991" width="11.77734375" style="1103" customWidth="1"/>
    <col min="8992" max="9226" width="8.88671875" style="1103"/>
    <col min="9227" max="9227" width="4.109375" style="1103" bestFit="1" customWidth="1"/>
    <col min="9228" max="9228" width="9.5546875" style="1103" bestFit="1" customWidth="1"/>
    <col min="9229" max="9229" width="6.6640625" style="1103" bestFit="1" customWidth="1"/>
    <col min="9230" max="9230" width="7" style="1103" bestFit="1" customWidth="1"/>
    <col min="9231" max="9231" width="8.88671875" style="1103"/>
    <col min="9232" max="9232" width="8.88671875" style="1103" customWidth="1"/>
    <col min="9233" max="9240" width="6.33203125" style="1103" customWidth="1"/>
    <col min="9241" max="9241" width="4.77734375" style="1103" customWidth="1"/>
    <col min="9242" max="9242" width="8.88671875" style="1103"/>
    <col min="9243" max="9243" width="13.109375" style="1103" bestFit="1" customWidth="1"/>
    <col min="9244" max="9246" width="8.88671875" style="1103"/>
    <col min="9247" max="9247" width="11.77734375" style="1103" customWidth="1"/>
    <col min="9248" max="9482" width="8.88671875" style="1103"/>
    <col min="9483" max="9483" width="4.109375" style="1103" bestFit="1" customWidth="1"/>
    <col min="9484" max="9484" width="9.5546875" style="1103" bestFit="1" customWidth="1"/>
    <col min="9485" max="9485" width="6.6640625" style="1103" bestFit="1" customWidth="1"/>
    <col min="9486" max="9486" width="7" style="1103" bestFit="1" customWidth="1"/>
    <col min="9487" max="9487" width="8.88671875" style="1103"/>
    <col min="9488" max="9488" width="8.88671875" style="1103" customWidth="1"/>
    <col min="9489" max="9496" width="6.33203125" style="1103" customWidth="1"/>
    <col min="9497" max="9497" width="4.77734375" style="1103" customWidth="1"/>
    <col min="9498" max="9498" width="8.88671875" style="1103"/>
    <col min="9499" max="9499" width="13.109375" style="1103" bestFit="1" customWidth="1"/>
    <col min="9500" max="9502" width="8.88671875" style="1103"/>
    <col min="9503" max="9503" width="11.77734375" style="1103" customWidth="1"/>
    <col min="9504" max="9738" width="8.88671875" style="1103"/>
    <col min="9739" max="9739" width="4.109375" style="1103" bestFit="1" customWidth="1"/>
    <col min="9740" max="9740" width="9.5546875" style="1103" bestFit="1" customWidth="1"/>
    <col min="9741" max="9741" width="6.6640625" style="1103" bestFit="1" customWidth="1"/>
    <col min="9742" max="9742" width="7" style="1103" bestFit="1" customWidth="1"/>
    <col min="9743" max="9743" width="8.88671875" style="1103"/>
    <col min="9744" max="9744" width="8.88671875" style="1103" customWidth="1"/>
    <col min="9745" max="9752" width="6.33203125" style="1103" customWidth="1"/>
    <col min="9753" max="9753" width="4.77734375" style="1103" customWidth="1"/>
    <col min="9754" max="9754" width="8.88671875" style="1103"/>
    <col min="9755" max="9755" width="13.109375" style="1103" bestFit="1" customWidth="1"/>
    <col min="9756" max="9758" width="8.88671875" style="1103"/>
    <col min="9759" max="9759" width="11.77734375" style="1103" customWidth="1"/>
    <col min="9760" max="9994" width="8.88671875" style="1103"/>
    <col min="9995" max="9995" width="4.109375" style="1103" bestFit="1" customWidth="1"/>
    <col min="9996" max="9996" width="9.5546875" style="1103" bestFit="1" customWidth="1"/>
    <col min="9997" max="9997" width="6.6640625" style="1103" bestFit="1" customWidth="1"/>
    <col min="9998" max="9998" width="7" style="1103" bestFit="1" customWidth="1"/>
    <col min="9999" max="9999" width="8.88671875" style="1103"/>
    <col min="10000" max="10000" width="8.88671875" style="1103" customWidth="1"/>
    <col min="10001" max="10008" width="6.33203125" style="1103" customWidth="1"/>
    <col min="10009" max="10009" width="4.77734375" style="1103" customWidth="1"/>
    <col min="10010" max="10010" width="8.88671875" style="1103"/>
    <col min="10011" max="10011" width="13.109375" style="1103" bestFit="1" customWidth="1"/>
    <col min="10012" max="10014" width="8.88671875" style="1103"/>
    <col min="10015" max="10015" width="11.77734375" style="1103" customWidth="1"/>
    <col min="10016" max="10250" width="8.88671875" style="1103"/>
    <col min="10251" max="10251" width="4.109375" style="1103" bestFit="1" customWidth="1"/>
    <col min="10252" max="10252" width="9.5546875" style="1103" bestFit="1" customWidth="1"/>
    <col min="10253" max="10253" width="6.6640625" style="1103" bestFit="1" customWidth="1"/>
    <col min="10254" max="10254" width="7" style="1103" bestFit="1" customWidth="1"/>
    <col min="10255" max="10255" width="8.88671875" style="1103"/>
    <col min="10256" max="10256" width="8.88671875" style="1103" customWidth="1"/>
    <col min="10257" max="10264" width="6.33203125" style="1103" customWidth="1"/>
    <col min="10265" max="10265" width="4.77734375" style="1103" customWidth="1"/>
    <col min="10266" max="10266" width="8.88671875" style="1103"/>
    <col min="10267" max="10267" width="13.109375" style="1103" bestFit="1" customWidth="1"/>
    <col min="10268" max="10270" width="8.88671875" style="1103"/>
    <col min="10271" max="10271" width="11.77734375" style="1103" customWidth="1"/>
    <col min="10272" max="10506" width="8.88671875" style="1103"/>
    <col min="10507" max="10507" width="4.109375" style="1103" bestFit="1" customWidth="1"/>
    <col min="10508" max="10508" width="9.5546875" style="1103" bestFit="1" customWidth="1"/>
    <col min="10509" max="10509" width="6.6640625" style="1103" bestFit="1" customWidth="1"/>
    <col min="10510" max="10510" width="7" style="1103" bestFit="1" customWidth="1"/>
    <col min="10511" max="10511" width="8.88671875" style="1103"/>
    <col min="10512" max="10512" width="8.88671875" style="1103" customWidth="1"/>
    <col min="10513" max="10520" width="6.33203125" style="1103" customWidth="1"/>
    <col min="10521" max="10521" width="4.77734375" style="1103" customWidth="1"/>
    <col min="10522" max="10522" width="8.88671875" style="1103"/>
    <col min="10523" max="10523" width="13.109375" style="1103" bestFit="1" customWidth="1"/>
    <col min="10524" max="10526" width="8.88671875" style="1103"/>
    <col min="10527" max="10527" width="11.77734375" style="1103" customWidth="1"/>
    <col min="10528" max="10762" width="8.88671875" style="1103"/>
    <col min="10763" max="10763" width="4.109375" style="1103" bestFit="1" customWidth="1"/>
    <col min="10764" max="10764" width="9.5546875" style="1103" bestFit="1" customWidth="1"/>
    <col min="10765" max="10765" width="6.6640625" style="1103" bestFit="1" customWidth="1"/>
    <col min="10766" max="10766" width="7" style="1103" bestFit="1" customWidth="1"/>
    <col min="10767" max="10767" width="8.88671875" style="1103"/>
    <col min="10768" max="10768" width="8.88671875" style="1103" customWidth="1"/>
    <col min="10769" max="10776" width="6.33203125" style="1103" customWidth="1"/>
    <col min="10777" max="10777" width="4.77734375" style="1103" customWidth="1"/>
    <col min="10778" max="10778" width="8.88671875" style="1103"/>
    <col min="10779" max="10779" width="13.109375" style="1103" bestFit="1" customWidth="1"/>
    <col min="10780" max="10782" width="8.88671875" style="1103"/>
    <col min="10783" max="10783" width="11.77734375" style="1103" customWidth="1"/>
    <col min="10784" max="11018" width="8.88671875" style="1103"/>
    <col min="11019" max="11019" width="4.109375" style="1103" bestFit="1" customWidth="1"/>
    <col min="11020" max="11020" width="9.5546875" style="1103" bestFit="1" customWidth="1"/>
    <col min="11021" max="11021" width="6.6640625" style="1103" bestFit="1" customWidth="1"/>
    <col min="11022" max="11022" width="7" style="1103" bestFit="1" customWidth="1"/>
    <col min="11023" max="11023" width="8.88671875" style="1103"/>
    <col min="11024" max="11024" width="8.88671875" style="1103" customWidth="1"/>
    <col min="11025" max="11032" width="6.33203125" style="1103" customWidth="1"/>
    <col min="11033" max="11033" width="4.77734375" style="1103" customWidth="1"/>
    <col min="11034" max="11034" width="8.88671875" style="1103"/>
    <col min="11035" max="11035" width="13.109375" style="1103" bestFit="1" customWidth="1"/>
    <col min="11036" max="11038" width="8.88671875" style="1103"/>
    <col min="11039" max="11039" width="11.77734375" style="1103" customWidth="1"/>
    <col min="11040" max="11274" width="8.88671875" style="1103"/>
    <col min="11275" max="11275" width="4.109375" style="1103" bestFit="1" customWidth="1"/>
    <col min="11276" max="11276" width="9.5546875" style="1103" bestFit="1" customWidth="1"/>
    <col min="11277" max="11277" width="6.6640625" style="1103" bestFit="1" customWidth="1"/>
    <col min="11278" max="11278" width="7" style="1103" bestFit="1" customWidth="1"/>
    <col min="11279" max="11279" width="8.88671875" style="1103"/>
    <col min="11280" max="11280" width="8.88671875" style="1103" customWidth="1"/>
    <col min="11281" max="11288" width="6.33203125" style="1103" customWidth="1"/>
    <col min="11289" max="11289" width="4.77734375" style="1103" customWidth="1"/>
    <col min="11290" max="11290" width="8.88671875" style="1103"/>
    <col min="11291" max="11291" width="13.109375" style="1103" bestFit="1" customWidth="1"/>
    <col min="11292" max="11294" width="8.88671875" style="1103"/>
    <col min="11295" max="11295" width="11.77734375" style="1103" customWidth="1"/>
    <col min="11296" max="11530" width="8.88671875" style="1103"/>
    <col min="11531" max="11531" width="4.109375" style="1103" bestFit="1" customWidth="1"/>
    <col min="11532" max="11532" width="9.5546875" style="1103" bestFit="1" customWidth="1"/>
    <col min="11533" max="11533" width="6.6640625" style="1103" bestFit="1" customWidth="1"/>
    <col min="11534" max="11534" width="7" style="1103" bestFit="1" customWidth="1"/>
    <col min="11535" max="11535" width="8.88671875" style="1103"/>
    <col min="11536" max="11536" width="8.88671875" style="1103" customWidth="1"/>
    <col min="11537" max="11544" width="6.33203125" style="1103" customWidth="1"/>
    <col min="11545" max="11545" width="4.77734375" style="1103" customWidth="1"/>
    <col min="11546" max="11546" width="8.88671875" style="1103"/>
    <col min="11547" max="11547" width="13.109375" style="1103" bestFit="1" customWidth="1"/>
    <col min="11548" max="11550" width="8.88671875" style="1103"/>
    <col min="11551" max="11551" width="11.77734375" style="1103" customWidth="1"/>
    <col min="11552" max="11786" width="8.88671875" style="1103"/>
    <col min="11787" max="11787" width="4.109375" style="1103" bestFit="1" customWidth="1"/>
    <col min="11788" max="11788" width="9.5546875" style="1103" bestFit="1" customWidth="1"/>
    <col min="11789" max="11789" width="6.6640625" style="1103" bestFit="1" customWidth="1"/>
    <col min="11790" max="11790" width="7" style="1103" bestFit="1" customWidth="1"/>
    <col min="11791" max="11791" width="8.88671875" style="1103"/>
    <col min="11792" max="11792" width="8.88671875" style="1103" customWidth="1"/>
    <col min="11793" max="11800" width="6.33203125" style="1103" customWidth="1"/>
    <col min="11801" max="11801" width="4.77734375" style="1103" customWidth="1"/>
    <col min="11802" max="11802" width="8.88671875" style="1103"/>
    <col min="11803" max="11803" width="13.109375" style="1103" bestFit="1" customWidth="1"/>
    <col min="11804" max="11806" width="8.88671875" style="1103"/>
    <col min="11807" max="11807" width="11.77734375" style="1103" customWidth="1"/>
    <col min="11808" max="12042" width="8.88671875" style="1103"/>
    <col min="12043" max="12043" width="4.109375" style="1103" bestFit="1" customWidth="1"/>
    <col min="12044" max="12044" width="9.5546875" style="1103" bestFit="1" customWidth="1"/>
    <col min="12045" max="12045" width="6.6640625" style="1103" bestFit="1" customWidth="1"/>
    <col min="12046" max="12046" width="7" style="1103" bestFit="1" customWidth="1"/>
    <col min="12047" max="12047" width="8.88671875" style="1103"/>
    <col min="12048" max="12048" width="8.88671875" style="1103" customWidth="1"/>
    <col min="12049" max="12056" width="6.33203125" style="1103" customWidth="1"/>
    <col min="12057" max="12057" width="4.77734375" style="1103" customWidth="1"/>
    <col min="12058" max="12058" width="8.88671875" style="1103"/>
    <col min="12059" max="12059" width="13.109375" style="1103" bestFit="1" customWidth="1"/>
    <col min="12060" max="12062" width="8.88671875" style="1103"/>
    <col min="12063" max="12063" width="11.77734375" style="1103" customWidth="1"/>
    <col min="12064" max="12298" width="8.88671875" style="1103"/>
    <col min="12299" max="12299" width="4.109375" style="1103" bestFit="1" customWidth="1"/>
    <col min="12300" max="12300" width="9.5546875" style="1103" bestFit="1" customWidth="1"/>
    <col min="12301" max="12301" width="6.6640625" style="1103" bestFit="1" customWidth="1"/>
    <col min="12302" max="12302" width="7" style="1103" bestFit="1" customWidth="1"/>
    <col min="12303" max="12303" width="8.88671875" style="1103"/>
    <col min="12304" max="12304" width="8.88671875" style="1103" customWidth="1"/>
    <col min="12305" max="12312" width="6.33203125" style="1103" customWidth="1"/>
    <col min="12313" max="12313" width="4.77734375" style="1103" customWidth="1"/>
    <col min="12314" max="12314" width="8.88671875" style="1103"/>
    <col min="12315" max="12315" width="13.109375" style="1103" bestFit="1" customWidth="1"/>
    <col min="12316" max="12318" width="8.88671875" style="1103"/>
    <col min="12319" max="12319" width="11.77734375" style="1103" customWidth="1"/>
    <col min="12320" max="12554" width="8.88671875" style="1103"/>
    <col min="12555" max="12555" width="4.109375" style="1103" bestFit="1" customWidth="1"/>
    <col min="12556" max="12556" width="9.5546875" style="1103" bestFit="1" customWidth="1"/>
    <col min="12557" max="12557" width="6.6640625" style="1103" bestFit="1" customWidth="1"/>
    <col min="12558" max="12558" width="7" style="1103" bestFit="1" customWidth="1"/>
    <col min="12559" max="12559" width="8.88671875" style="1103"/>
    <col min="12560" max="12560" width="8.88671875" style="1103" customWidth="1"/>
    <col min="12561" max="12568" width="6.33203125" style="1103" customWidth="1"/>
    <col min="12569" max="12569" width="4.77734375" style="1103" customWidth="1"/>
    <col min="12570" max="12570" width="8.88671875" style="1103"/>
    <col min="12571" max="12571" width="13.109375" style="1103" bestFit="1" customWidth="1"/>
    <col min="12572" max="12574" width="8.88671875" style="1103"/>
    <col min="12575" max="12575" width="11.77734375" style="1103" customWidth="1"/>
    <col min="12576" max="12810" width="8.88671875" style="1103"/>
    <col min="12811" max="12811" width="4.109375" style="1103" bestFit="1" customWidth="1"/>
    <col min="12812" max="12812" width="9.5546875" style="1103" bestFit="1" customWidth="1"/>
    <col min="12813" max="12813" width="6.6640625" style="1103" bestFit="1" customWidth="1"/>
    <col min="12814" max="12814" width="7" style="1103" bestFit="1" customWidth="1"/>
    <col min="12815" max="12815" width="8.88671875" style="1103"/>
    <col min="12816" max="12816" width="8.88671875" style="1103" customWidth="1"/>
    <col min="12817" max="12824" width="6.33203125" style="1103" customWidth="1"/>
    <col min="12825" max="12825" width="4.77734375" style="1103" customWidth="1"/>
    <col min="12826" max="12826" width="8.88671875" style="1103"/>
    <col min="12827" max="12827" width="13.109375" style="1103" bestFit="1" customWidth="1"/>
    <col min="12828" max="12830" width="8.88671875" style="1103"/>
    <col min="12831" max="12831" width="11.77734375" style="1103" customWidth="1"/>
    <col min="12832" max="13066" width="8.88671875" style="1103"/>
    <col min="13067" max="13067" width="4.109375" style="1103" bestFit="1" customWidth="1"/>
    <col min="13068" max="13068" width="9.5546875" style="1103" bestFit="1" customWidth="1"/>
    <col min="13069" max="13069" width="6.6640625" style="1103" bestFit="1" customWidth="1"/>
    <col min="13070" max="13070" width="7" style="1103" bestFit="1" customWidth="1"/>
    <col min="13071" max="13071" width="8.88671875" style="1103"/>
    <col min="13072" max="13072" width="8.88671875" style="1103" customWidth="1"/>
    <col min="13073" max="13080" width="6.33203125" style="1103" customWidth="1"/>
    <col min="13081" max="13081" width="4.77734375" style="1103" customWidth="1"/>
    <col min="13082" max="13082" width="8.88671875" style="1103"/>
    <col min="13083" max="13083" width="13.109375" style="1103" bestFit="1" customWidth="1"/>
    <col min="13084" max="13086" width="8.88671875" style="1103"/>
    <col min="13087" max="13087" width="11.77734375" style="1103" customWidth="1"/>
    <col min="13088" max="13322" width="8.88671875" style="1103"/>
    <col min="13323" max="13323" width="4.109375" style="1103" bestFit="1" customWidth="1"/>
    <col min="13324" max="13324" width="9.5546875" style="1103" bestFit="1" customWidth="1"/>
    <col min="13325" max="13325" width="6.6640625" style="1103" bestFit="1" customWidth="1"/>
    <col min="13326" max="13326" width="7" style="1103" bestFit="1" customWidth="1"/>
    <col min="13327" max="13327" width="8.88671875" style="1103"/>
    <col min="13328" max="13328" width="8.88671875" style="1103" customWidth="1"/>
    <col min="13329" max="13336" width="6.33203125" style="1103" customWidth="1"/>
    <col min="13337" max="13337" width="4.77734375" style="1103" customWidth="1"/>
    <col min="13338" max="13338" width="8.88671875" style="1103"/>
    <col min="13339" max="13339" width="13.109375" style="1103" bestFit="1" customWidth="1"/>
    <col min="13340" max="13342" width="8.88671875" style="1103"/>
    <col min="13343" max="13343" width="11.77734375" style="1103" customWidth="1"/>
    <col min="13344" max="13578" width="8.88671875" style="1103"/>
    <col min="13579" max="13579" width="4.109375" style="1103" bestFit="1" customWidth="1"/>
    <col min="13580" max="13580" width="9.5546875" style="1103" bestFit="1" customWidth="1"/>
    <col min="13581" max="13581" width="6.6640625" style="1103" bestFit="1" customWidth="1"/>
    <col min="13582" max="13582" width="7" style="1103" bestFit="1" customWidth="1"/>
    <col min="13583" max="13583" width="8.88671875" style="1103"/>
    <col min="13584" max="13584" width="8.88671875" style="1103" customWidth="1"/>
    <col min="13585" max="13592" width="6.33203125" style="1103" customWidth="1"/>
    <col min="13593" max="13593" width="4.77734375" style="1103" customWidth="1"/>
    <col min="13594" max="13594" width="8.88671875" style="1103"/>
    <col min="13595" max="13595" width="13.109375" style="1103" bestFit="1" customWidth="1"/>
    <col min="13596" max="13598" width="8.88671875" style="1103"/>
    <col min="13599" max="13599" width="11.77734375" style="1103" customWidth="1"/>
    <col min="13600" max="13834" width="8.88671875" style="1103"/>
    <col min="13835" max="13835" width="4.109375" style="1103" bestFit="1" customWidth="1"/>
    <col min="13836" max="13836" width="9.5546875" style="1103" bestFit="1" customWidth="1"/>
    <col min="13837" max="13837" width="6.6640625" style="1103" bestFit="1" customWidth="1"/>
    <col min="13838" max="13838" width="7" style="1103" bestFit="1" customWidth="1"/>
    <col min="13839" max="13839" width="8.88671875" style="1103"/>
    <col min="13840" max="13840" width="8.88671875" style="1103" customWidth="1"/>
    <col min="13841" max="13848" width="6.33203125" style="1103" customWidth="1"/>
    <col min="13849" max="13849" width="4.77734375" style="1103" customWidth="1"/>
    <col min="13850" max="13850" width="8.88671875" style="1103"/>
    <col min="13851" max="13851" width="13.109375" style="1103" bestFit="1" customWidth="1"/>
    <col min="13852" max="13854" width="8.88671875" style="1103"/>
    <col min="13855" max="13855" width="11.77734375" style="1103" customWidth="1"/>
    <col min="13856" max="14090" width="8.88671875" style="1103"/>
    <col min="14091" max="14091" width="4.109375" style="1103" bestFit="1" customWidth="1"/>
    <col min="14092" max="14092" width="9.5546875" style="1103" bestFit="1" customWidth="1"/>
    <col min="14093" max="14093" width="6.6640625" style="1103" bestFit="1" customWidth="1"/>
    <col min="14094" max="14094" width="7" style="1103" bestFit="1" customWidth="1"/>
    <col min="14095" max="14095" width="8.88671875" style="1103"/>
    <col min="14096" max="14096" width="8.88671875" style="1103" customWidth="1"/>
    <col min="14097" max="14104" width="6.33203125" style="1103" customWidth="1"/>
    <col min="14105" max="14105" width="4.77734375" style="1103" customWidth="1"/>
    <col min="14106" max="14106" width="8.88671875" style="1103"/>
    <col min="14107" max="14107" width="13.109375" style="1103" bestFit="1" customWidth="1"/>
    <col min="14108" max="14110" width="8.88671875" style="1103"/>
    <col min="14111" max="14111" width="11.77734375" style="1103" customWidth="1"/>
    <col min="14112" max="14346" width="8.88671875" style="1103"/>
    <col min="14347" max="14347" width="4.109375" style="1103" bestFit="1" customWidth="1"/>
    <col min="14348" max="14348" width="9.5546875" style="1103" bestFit="1" customWidth="1"/>
    <col min="14349" max="14349" width="6.6640625" style="1103" bestFit="1" customWidth="1"/>
    <col min="14350" max="14350" width="7" style="1103" bestFit="1" customWidth="1"/>
    <col min="14351" max="14351" width="8.88671875" style="1103"/>
    <col min="14352" max="14352" width="8.88671875" style="1103" customWidth="1"/>
    <col min="14353" max="14360" width="6.33203125" style="1103" customWidth="1"/>
    <col min="14361" max="14361" width="4.77734375" style="1103" customWidth="1"/>
    <col min="14362" max="14362" width="8.88671875" style="1103"/>
    <col min="14363" max="14363" width="13.109375" style="1103" bestFit="1" customWidth="1"/>
    <col min="14364" max="14366" width="8.88671875" style="1103"/>
    <col min="14367" max="14367" width="11.77734375" style="1103" customWidth="1"/>
    <col min="14368" max="14602" width="8.88671875" style="1103"/>
    <col min="14603" max="14603" width="4.109375" style="1103" bestFit="1" customWidth="1"/>
    <col min="14604" max="14604" width="9.5546875" style="1103" bestFit="1" customWidth="1"/>
    <col min="14605" max="14605" width="6.6640625" style="1103" bestFit="1" customWidth="1"/>
    <col min="14606" max="14606" width="7" style="1103" bestFit="1" customWidth="1"/>
    <col min="14607" max="14607" width="8.88671875" style="1103"/>
    <col min="14608" max="14608" width="8.88671875" style="1103" customWidth="1"/>
    <col min="14609" max="14616" width="6.33203125" style="1103" customWidth="1"/>
    <col min="14617" max="14617" width="4.77734375" style="1103" customWidth="1"/>
    <col min="14618" max="14618" width="8.88671875" style="1103"/>
    <col min="14619" max="14619" width="13.109375" style="1103" bestFit="1" customWidth="1"/>
    <col min="14620" max="14622" width="8.88671875" style="1103"/>
    <col min="14623" max="14623" width="11.77734375" style="1103" customWidth="1"/>
    <col min="14624" max="14858" width="8.88671875" style="1103"/>
    <col min="14859" max="14859" width="4.109375" style="1103" bestFit="1" customWidth="1"/>
    <col min="14860" max="14860" width="9.5546875" style="1103" bestFit="1" customWidth="1"/>
    <col min="14861" max="14861" width="6.6640625" style="1103" bestFit="1" customWidth="1"/>
    <col min="14862" max="14862" width="7" style="1103" bestFit="1" customWidth="1"/>
    <col min="14863" max="14863" width="8.88671875" style="1103"/>
    <col min="14864" max="14864" width="8.88671875" style="1103" customWidth="1"/>
    <col min="14865" max="14872" width="6.33203125" style="1103" customWidth="1"/>
    <col min="14873" max="14873" width="4.77734375" style="1103" customWidth="1"/>
    <col min="14874" max="14874" width="8.88671875" style="1103"/>
    <col min="14875" max="14875" width="13.109375" style="1103" bestFit="1" customWidth="1"/>
    <col min="14876" max="14878" width="8.88671875" style="1103"/>
    <col min="14879" max="14879" width="11.77734375" style="1103" customWidth="1"/>
    <col min="14880" max="15114" width="8.88671875" style="1103"/>
    <col min="15115" max="15115" width="4.109375" style="1103" bestFit="1" customWidth="1"/>
    <col min="15116" max="15116" width="9.5546875" style="1103" bestFit="1" customWidth="1"/>
    <col min="15117" max="15117" width="6.6640625" style="1103" bestFit="1" customWidth="1"/>
    <col min="15118" max="15118" width="7" style="1103" bestFit="1" customWidth="1"/>
    <col min="15119" max="15119" width="8.88671875" style="1103"/>
    <col min="15120" max="15120" width="8.88671875" style="1103" customWidth="1"/>
    <col min="15121" max="15128" width="6.33203125" style="1103" customWidth="1"/>
    <col min="15129" max="15129" width="4.77734375" style="1103" customWidth="1"/>
    <col min="15130" max="15130" width="8.88671875" style="1103"/>
    <col min="15131" max="15131" width="13.109375" style="1103" bestFit="1" customWidth="1"/>
    <col min="15132" max="15134" width="8.88671875" style="1103"/>
    <col min="15135" max="15135" width="11.77734375" style="1103" customWidth="1"/>
    <col min="15136" max="15370" width="8.88671875" style="1103"/>
    <col min="15371" max="15371" width="4.109375" style="1103" bestFit="1" customWidth="1"/>
    <col min="15372" max="15372" width="9.5546875" style="1103" bestFit="1" customWidth="1"/>
    <col min="15373" max="15373" width="6.6640625" style="1103" bestFit="1" customWidth="1"/>
    <col min="15374" max="15374" width="7" style="1103" bestFit="1" customWidth="1"/>
    <col min="15375" max="15375" width="8.88671875" style="1103"/>
    <col min="15376" max="15376" width="8.88671875" style="1103" customWidth="1"/>
    <col min="15377" max="15384" width="6.33203125" style="1103" customWidth="1"/>
    <col min="15385" max="15385" width="4.77734375" style="1103" customWidth="1"/>
    <col min="15386" max="15386" width="8.88671875" style="1103"/>
    <col min="15387" max="15387" width="13.109375" style="1103" bestFit="1" customWidth="1"/>
    <col min="15388" max="15390" width="8.88671875" style="1103"/>
    <col min="15391" max="15391" width="11.77734375" style="1103" customWidth="1"/>
    <col min="15392" max="15626" width="8.88671875" style="1103"/>
    <col min="15627" max="15627" width="4.109375" style="1103" bestFit="1" customWidth="1"/>
    <col min="15628" max="15628" width="9.5546875" style="1103" bestFit="1" customWidth="1"/>
    <col min="15629" max="15629" width="6.6640625" style="1103" bestFit="1" customWidth="1"/>
    <col min="15630" max="15630" width="7" style="1103" bestFit="1" customWidth="1"/>
    <col min="15631" max="15631" width="8.88671875" style="1103"/>
    <col min="15632" max="15632" width="8.88671875" style="1103" customWidth="1"/>
    <col min="15633" max="15640" width="6.33203125" style="1103" customWidth="1"/>
    <col min="15641" max="15641" width="4.77734375" style="1103" customWidth="1"/>
    <col min="15642" max="15642" width="8.88671875" style="1103"/>
    <col min="15643" max="15643" width="13.109375" style="1103" bestFit="1" customWidth="1"/>
    <col min="15644" max="15646" width="8.88671875" style="1103"/>
    <col min="15647" max="15647" width="11.77734375" style="1103" customWidth="1"/>
    <col min="15648" max="15882" width="8.88671875" style="1103"/>
    <col min="15883" max="15883" width="4.109375" style="1103" bestFit="1" customWidth="1"/>
    <col min="15884" max="15884" width="9.5546875" style="1103" bestFit="1" customWidth="1"/>
    <col min="15885" max="15885" width="6.6640625" style="1103" bestFit="1" customWidth="1"/>
    <col min="15886" max="15886" width="7" style="1103" bestFit="1" customWidth="1"/>
    <col min="15887" max="15887" width="8.88671875" style="1103"/>
    <col min="15888" max="15888" width="8.88671875" style="1103" customWidth="1"/>
    <col min="15889" max="15896" width="6.33203125" style="1103" customWidth="1"/>
    <col min="15897" max="15897" width="4.77734375" style="1103" customWidth="1"/>
    <col min="15898" max="15898" width="8.88671875" style="1103"/>
    <col min="15899" max="15899" width="13.109375" style="1103" bestFit="1" customWidth="1"/>
    <col min="15900" max="15902" width="8.88671875" style="1103"/>
    <col min="15903" max="15903" width="11.77734375" style="1103" customWidth="1"/>
    <col min="15904" max="16138" width="8.88671875" style="1103"/>
    <col min="16139" max="16139" width="4.109375" style="1103" bestFit="1" customWidth="1"/>
    <col min="16140" max="16140" width="9.5546875" style="1103" bestFit="1" customWidth="1"/>
    <col min="16141" max="16141" width="6.6640625" style="1103" bestFit="1" customWidth="1"/>
    <col min="16142" max="16142" width="7" style="1103" bestFit="1" customWidth="1"/>
    <col min="16143" max="16143" width="8.88671875" style="1103"/>
    <col min="16144" max="16144" width="8.88671875" style="1103" customWidth="1"/>
    <col min="16145" max="16152" width="6.33203125" style="1103" customWidth="1"/>
    <col min="16153" max="16153" width="4.77734375" style="1103" customWidth="1"/>
    <col min="16154" max="16154" width="8.88671875" style="1103"/>
    <col min="16155" max="16155" width="13.109375" style="1103" bestFit="1" customWidth="1"/>
    <col min="16156" max="16158" width="8.88671875" style="1103"/>
    <col min="16159" max="16159" width="11.77734375" style="1103" customWidth="1"/>
    <col min="16160" max="16384" width="8.88671875" style="1103"/>
  </cols>
  <sheetData>
    <row r="1" spans="1:34" ht="20.100000000000001" customHeight="1">
      <c r="A1" s="1371" t="s">
        <v>356</v>
      </c>
      <c r="B1" s="1371"/>
      <c r="C1" s="1371"/>
      <c r="D1" s="1371"/>
      <c r="E1" s="1371"/>
      <c r="F1" s="1371"/>
      <c r="G1" s="1371"/>
      <c r="H1" s="1371"/>
      <c r="I1" s="1371"/>
      <c r="J1" s="1371"/>
      <c r="K1" s="1371"/>
      <c r="L1" s="1371"/>
      <c r="M1" s="1371"/>
      <c r="N1" s="1371"/>
      <c r="O1" s="1371"/>
      <c r="P1" s="1371"/>
      <c r="Q1" s="1371"/>
      <c r="R1" s="1371"/>
      <c r="S1" s="1371"/>
      <c r="T1" s="1371"/>
      <c r="U1" s="1371"/>
      <c r="V1" s="1371"/>
      <c r="W1" s="1371"/>
      <c r="X1" s="1371"/>
      <c r="Y1" s="1371"/>
      <c r="Z1" s="1371"/>
    </row>
    <row r="2" spans="1:34" s="1104" customFormat="1" ht="20.100000000000001" customHeight="1">
      <c r="A2" s="1372" t="s">
        <v>342</v>
      </c>
      <c r="B2" s="1375" t="s">
        <v>31</v>
      </c>
      <c r="C2" s="1375" t="s">
        <v>343</v>
      </c>
      <c r="D2" s="1376" t="s">
        <v>344</v>
      </c>
      <c r="E2" s="1376" t="s">
        <v>357</v>
      </c>
      <c r="F2" s="1362" t="s">
        <v>358</v>
      </c>
      <c r="G2" s="1362"/>
      <c r="H2" s="1362"/>
      <c r="I2" s="1362" t="s">
        <v>359</v>
      </c>
      <c r="J2" s="1362"/>
      <c r="K2" s="1379" t="s">
        <v>360</v>
      </c>
      <c r="L2" s="1380"/>
      <c r="M2" s="1380"/>
      <c r="N2" s="1380"/>
      <c r="O2" s="1380"/>
      <c r="P2" s="1380"/>
      <c r="Q2" s="1380"/>
      <c r="R2" s="1380"/>
      <c r="S2" s="1380"/>
      <c r="T2" s="1381"/>
      <c r="U2" s="1382" t="s">
        <v>437</v>
      </c>
      <c r="V2" s="1362" t="s">
        <v>1003</v>
      </c>
      <c r="W2" s="1362" t="s">
        <v>1002</v>
      </c>
      <c r="X2" s="1362" t="s">
        <v>822</v>
      </c>
      <c r="Y2" s="1362" t="s">
        <v>1021</v>
      </c>
      <c r="Z2" s="1366" t="s">
        <v>361</v>
      </c>
      <c r="AB2" s="1105" t="s">
        <v>435</v>
      </c>
    </row>
    <row r="3" spans="1:34" s="1104" customFormat="1" ht="20.100000000000001" customHeight="1">
      <c r="A3" s="1373"/>
      <c r="B3" s="1364"/>
      <c r="C3" s="1364"/>
      <c r="D3" s="1377"/>
      <c r="E3" s="1377"/>
      <c r="F3" s="1109" t="s">
        <v>817</v>
      </c>
      <c r="G3" s="1109" t="s">
        <v>1343</v>
      </c>
      <c r="H3" s="1109" t="s">
        <v>1358</v>
      </c>
      <c r="I3" s="1109" t="s">
        <v>1359</v>
      </c>
      <c r="J3" s="1109" t="s">
        <v>1352</v>
      </c>
      <c r="K3" s="1109" t="s">
        <v>819</v>
      </c>
      <c r="L3" s="1109" t="s">
        <v>1360</v>
      </c>
      <c r="M3" s="1109" t="s">
        <v>820</v>
      </c>
      <c r="N3" s="1109" t="s">
        <v>821</v>
      </c>
      <c r="O3" s="1109" t="s">
        <v>825</v>
      </c>
      <c r="P3" s="1109" t="s">
        <v>826</v>
      </c>
      <c r="Q3" s="1109" t="s">
        <v>827</v>
      </c>
      <c r="R3" s="1109" t="s">
        <v>828</v>
      </c>
      <c r="S3" s="1109" t="s">
        <v>829</v>
      </c>
      <c r="T3" s="1109" t="s">
        <v>1361</v>
      </c>
      <c r="U3" s="1383"/>
      <c r="V3" s="1363"/>
      <c r="W3" s="1363"/>
      <c r="X3" s="1363"/>
      <c r="Y3" s="1363"/>
      <c r="Z3" s="1367"/>
      <c r="AB3" s="1105"/>
    </row>
    <row r="4" spans="1:34" s="1104" customFormat="1" ht="20.100000000000001" customHeight="1">
      <c r="A4" s="1373"/>
      <c r="B4" s="1364"/>
      <c r="C4" s="1364"/>
      <c r="D4" s="1377"/>
      <c r="E4" s="1377"/>
      <c r="F4" s="1135">
        <v>0.8</v>
      </c>
      <c r="G4" s="1135">
        <v>1</v>
      </c>
      <c r="H4" s="1135">
        <v>1.2</v>
      </c>
      <c r="I4" s="1135">
        <v>0.5</v>
      </c>
      <c r="J4" s="1135">
        <v>1</v>
      </c>
      <c r="K4" s="1136">
        <v>0.2</v>
      </c>
      <c r="L4" s="1136">
        <v>0.25</v>
      </c>
      <c r="M4" s="1136">
        <v>0.3</v>
      </c>
      <c r="N4" s="1136">
        <v>0.4</v>
      </c>
      <c r="O4" s="1136">
        <v>0.5</v>
      </c>
      <c r="P4" s="1136">
        <v>0.6</v>
      </c>
      <c r="Q4" s="1136">
        <v>0.7</v>
      </c>
      <c r="R4" s="1136">
        <v>0.8</v>
      </c>
      <c r="S4" s="1136">
        <v>0.9</v>
      </c>
      <c r="T4" s="1136">
        <v>1</v>
      </c>
      <c r="U4" s="1109" t="s">
        <v>362</v>
      </c>
      <c r="V4" s="1364"/>
      <c r="W4" s="1364"/>
      <c r="X4" s="1364"/>
      <c r="Y4" s="1364"/>
      <c r="Z4" s="1367"/>
      <c r="AB4" s="1105">
        <f>0.06</f>
        <v>0.06</v>
      </c>
      <c r="AE4" s="1104" t="s">
        <v>954</v>
      </c>
    </row>
    <row r="5" spans="1:34" s="1111" customFormat="1" ht="20.100000000000001" customHeight="1">
      <c r="A5" s="1374"/>
      <c r="B5" s="1365"/>
      <c r="C5" s="1365"/>
      <c r="D5" s="1378"/>
      <c r="E5" s="1378"/>
      <c r="F5" s="1110" t="s">
        <v>363</v>
      </c>
      <c r="G5" s="1110" t="s">
        <v>5</v>
      </c>
      <c r="H5" s="1110" t="s">
        <v>363</v>
      </c>
      <c r="I5" s="1110" t="s">
        <v>363</v>
      </c>
      <c r="J5" s="1110" t="s">
        <v>363</v>
      </c>
      <c r="K5" s="1110" t="s">
        <v>363</v>
      </c>
      <c r="L5" s="1110" t="s">
        <v>363</v>
      </c>
      <c r="M5" s="1110" t="s">
        <v>363</v>
      </c>
      <c r="N5" s="1110" t="s">
        <v>5</v>
      </c>
      <c r="O5" s="1110" t="s">
        <v>5</v>
      </c>
      <c r="P5" s="1110" t="s">
        <v>5</v>
      </c>
      <c r="Q5" s="1110" t="s">
        <v>5</v>
      </c>
      <c r="R5" s="1110" t="s">
        <v>5</v>
      </c>
      <c r="S5" s="1110" t="s">
        <v>5</v>
      </c>
      <c r="T5" s="1110" t="s">
        <v>5</v>
      </c>
      <c r="U5" s="1110" t="s">
        <v>364</v>
      </c>
      <c r="V5" s="1365"/>
      <c r="W5" s="1365"/>
      <c r="X5" s="1365"/>
      <c r="Y5" s="1365"/>
      <c r="Z5" s="1368"/>
      <c r="AE5" s="1111" t="s">
        <v>952</v>
      </c>
      <c r="AF5" s="1111" t="s">
        <v>953</v>
      </c>
    </row>
    <row r="6" spans="1:34" ht="20.100000000000001" customHeight="1">
      <c r="A6" s="1112">
        <v>1</v>
      </c>
      <c r="B6" s="1137" t="str">
        <f>AE6</f>
        <v>소(국)2-어천4</v>
      </c>
      <c r="C6" s="1137" t="str">
        <f>AF6</f>
        <v>M1-002</v>
      </c>
      <c r="D6" s="1137">
        <f>VLOOKUP(C6,'맨홀 평균 높이'!$J$4:$L$513,2,0)</f>
        <v>2.1</v>
      </c>
      <c r="E6" s="1138">
        <f>D6-$AB$4</f>
        <v>2.04</v>
      </c>
      <c r="F6" s="1139"/>
      <c r="G6" s="1139"/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1140">
        <f>E6-AA6</f>
        <v>2.04</v>
      </c>
      <c r="V6" s="1141">
        <f>SUM(F6:J6)*4</f>
        <v>0</v>
      </c>
      <c r="W6" s="1141">
        <f>SUM(F6:J6)*2</f>
        <v>0</v>
      </c>
      <c r="X6" s="1117">
        <f t="shared" ref="X6" si="0">ROUND(((E6-U6)-0.6)/0.3,0)</f>
        <v>-2</v>
      </c>
      <c r="Y6" s="1141" t="str">
        <f>IF(AA6&gt;=4,ROUND(((E6-U6)-0.6)/4,0),"0")</f>
        <v>0</v>
      </c>
      <c r="Z6" s="1141"/>
      <c r="AA6" s="1118">
        <f>($F$4*F6)+($G$4*G6)+($H$4*H6)+($I$4*I6)+($J$4*J6)+($K$4*K6)+($L$4*L6)+($M$4*M6)+($N$4*N6)+($O$4*O6)+($P$4*P6)+($Q$4*Q6)+($R$4*R6)+($S$4*S6)+($T$4*T6)</f>
        <v>0</v>
      </c>
      <c r="AB6" s="1119"/>
      <c r="AC6" s="1142">
        <v>4.0000000000000036E-2</v>
      </c>
      <c r="AD6" s="917"/>
      <c r="AE6" s="907" t="s">
        <v>1230</v>
      </c>
      <c r="AF6" s="907" t="s">
        <v>1232</v>
      </c>
      <c r="AG6" s="917"/>
      <c r="AH6" s="917"/>
    </row>
    <row r="7" spans="1:34" ht="20.100000000000001" customHeight="1">
      <c r="A7" s="1120">
        <f>A6+1</f>
        <v>2</v>
      </c>
      <c r="B7" s="1137" t="str">
        <f t="shared" ref="B7:B68" si="1">AE7</f>
        <v>A004~A008(2)</v>
      </c>
      <c r="C7" s="1137" t="str">
        <f t="shared" ref="C7:C68" si="2">AF7</f>
        <v>M1-005</v>
      </c>
      <c r="D7" s="1137">
        <f>VLOOKUP(C7,'맨홀 평균 높이'!$J$4:$L$513,2,0)</f>
        <v>1.34</v>
      </c>
      <c r="E7" s="1138">
        <f t="shared" ref="E7:E68" si="3">D7-$AB$4</f>
        <v>1.28</v>
      </c>
      <c r="F7" s="1115"/>
      <c r="G7" s="1115"/>
      <c r="H7" s="1115"/>
      <c r="I7" s="1115"/>
      <c r="J7" s="1115"/>
      <c r="K7" s="1115"/>
      <c r="L7" s="1115"/>
      <c r="M7" s="1115"/>
      <c r="N7" s="1115"/>
      <c r="O7" s="1115"/>
      <c r="P7" s="1115"/>
      <c r="Q7" s="1115"/>
      <c r="R7" s="1115"/>
      <c r="S7" s="1115"/>
      <c r="T7" s="1115"/>
      <c r="U7" s="1140">
        <f t="shared" ref="U7:U68" si="4">E7-AA7</f>
        <v>1.28</v>
      </c>
      <c r="V7" s="1141">
        <f t="shared" ref="V7:V68" si="5">SUM(F7:J7)*4</f>
        <v>0</v>
      </c>
      <c r="W7" s="1141">
        <f t="shared" ref="W7:W68" si="6">SUM(F7:J7)*2</f>
        <v>0</v>
      </c>
      <c r="X7" s="1117">
        <f t="shared" ref="X7:X68" si="7">ROUND(((E7-U7)-0.6)/0.3,0)</f>
        <v>-2</v>
      </c>
      <c r="Y7" s="1141" t="str">
        <f t="shared" ref="Y7:Y68" si="8">IF(AA7&gt;=4,ROUND(((E7-U7)-0.6)/4,0),"0")</f>
        <v>0</v>
      </c>
      <c r="Z7" s="1117"/>
      <c r="AA7" s="1118">
        <f t="shared" ref="AA7:AA56" si="9">($F$4*F7)+($G$4*G7)+($H$4*H7)+($I$4*I7)+($J$4*J7)+($K$4*K7)+($L$4*L7)+($M$4*M7)+($N$4*N7)+($O$4*O7)+($P$4*P7)+($Q$4*Q7)+($R$4*R7)+($S$4*S7)+($T$4*T7)</f>
        <v>0</v>
      </c>
      <c r="AB7" s="1119"/>
      <c r="AC7" s="1142">
        <v>3.0000000000000027E-2</v>
      </c>
      <c r="AD7" s="917"/>
      <c r="AE7" s="907" t="s">
        <v>1334</v>
      </c>
      <c r="AF7" s="907" t="s">
        <v>1335</v>
      </c>
      <c r="AG7" s="917"/>
      <c r="AH7" s="917"/>
    </row>
    <row r="8" spans="1:34" ht="20.100000000000001" customHeight="1">
      <c r="A8" s="1256">
        <f t="shared" ref="A8:A71" si="10">A7+1</f>
        <v>3</v>
      </c>
      <c r="B8" s="1137" t="str">
        <f t="shared" si="1"/>
        <v>A004~A008(2)</v>
      </c>
      <c r="C8" s="1137" t="str">
        <f t="shared" si="2"/>
        <v>M1-006</v>
      </c>
      <c r="D8" s="1137">
        <f>VLOOKUP(C8,'맨홀 평균 높이'!$J$4:$L$513,2,0)</f>
        <v>5.95</v>
      </c>
      <c r="E8" s="1138">
        <f t="shared" si="3"/>
        <v>5.8900000000000006</v>
      </c>
      <c r="F8" s="1115"/>
      <c r="G8" s="1115"/>
      <c r="H8" s="1115"/>
      <c r="I8" s="1115"/>
      <c r="J8" s="1115"/>
      <c r="K8" s="1115"/>
      <c r="L8" s="1115"/>
      <c r="M8" s="1115"/>
      <c r="N8" s="1115"/>
      <c r="O8" s="1115"/>
      <c r="P8" s="1115"/>
      <c r="Q8" s="1115"/>
      <c r="R8" s="1115"/>
      <c r="S8" s="1115"/>
      <c r="T8" s="1115"/>
      <c r="U8" s="1140">
        <f t="shared" si="4"/>
        <v>5.8900000000000006</v>
      </c>
      <c r="V8" s="1141">
        <f t="shared" si="5"/>
        <v>0</v>
      </c>
      <c r="W8" s="1141">
        <f t="shared" si="6"/>
        <v>0</v>
      </c>
      <c r="X8" s="1117">
        <f t="shared" si="7"/>
        <v>-2</v>
      </c>
      <c r="Y8" s="1141" t="str">
        <f t="shared" si="8"/>
        <v>0</v>
      </c>
      <c r="Z8" s="1117"/>
      <c r="AA8" s="1118">
        <f t="shared" si="9"/>
        <v>0</v>
      </c>
      <c r="AB8" s="1119"/>
      <c r="AC8" s="1142">
        <v>9.0000000000000746E-2</v>
      </c>
      <c r="AD8" s="917"/>
      <c r="AE8" s="907" t="s">
        <v>1334</v>
      </c>
      <c r="AF8" s="907" t="s">
        <v>1233</v>
      </c>
      <c r="AG8" s="917"/>
      <c r="AH8" s="917"/>
    </row>
    <row r="9" spans="1:34" ht="20.100000000000001" customHeight="1">
      <c r="A9" s="1256">
        <f t="shared" si="10"/>
        <v>4</v>
      </c>
      <c r="B9" s="1137" t="str">
        <f t="shared" si="1"/>
        <v>중(집)2-어천1</v>
      </c>
      <c r="C9" s="1137" t="str">
        <f t="shared" si="2"/>
        <v>M1-010</v>
      </c>
      <c r="D9" s="1137">
        <f>VLOOKUP(C9,'맨홀 평균 높이'!$J$4:$L$513,2,0)</f>
        <v>6.79</v>
      </c>
      <c r="E9" s="1138">
        <f t="shared" si="3"/>
        <v>6.73</v>
      </c>
      <c r="F9" s="1115"/>
      <c r="G9" s="1115"/>
      <c r="H9" s="1115"/>
      <c r="I9" s="1115"/>
      <c r="J9" s="1115"/>
      <c r="K9" s="1115"/>
      <c r="L9" s="1115"/>
      <c r="M9" s="1115"/>
      <c r="N9" s="1115"/>
      <c r="O9" s="1115"/>
      <c r="P9" s="1115"/>
      <c r="Q9" s="1115"/>
      <c r="R9" s="1115"/>
      <c r="S9" s="1115"/>
      <c r="T9" s="1115"/>
      <c r="U9" s="1140">
        <f t="shared" si="4"/>
        <v>6.73</v>
      </c>
      <c r="V9" s="1141">
        <f t="shared" si="5"/>
        <v>0</v>
      </c>
      <c r="W9" s="1141">
        <f t="shared" si="6"/>
        <v>0</v>
      </c>
      <c r="X9" s="1117">
        <f t="shared" si="7"/>
        <v>-2</v>
      </c>
      <c r="Y9" s="1141" t="str">
        <f t="shared" si="8"/>
        <v>0</v>
      </c>
      <c r="Z9" s="1117"/>
      <c r="AA9" s="1118">
        <f t="shared" si="9"/>
        <v>0</v>
      </c>
      <c r="AB9" s="1119"/>
      <c r="AC9" s="1142">
        <v>3.0000000000000249E-2</v>
      </c>
      <c r="AD9" s="917"/>
      <c r="AE9" s="907" t="s">
        <v>1234</v>
      </c>
      <c r="AF9" s="907" t="s">
        <v>1235</v>
      </c>
      <c r="AG9" s="917"/>
      <c r="AH9" s="917"/>
    </row>
    <row r="10" spans="1:34" ht="20.100000000000001" customHeight="1">
      <c r="A10" s="1256">
        <f t="shared" si="10"/>
        <v>5</v>
      </c>
      <c r="B10" s="1137" t="str">
        <f t="shared" si="1"/>
        <v>중(집)2-어천1</v>
      </c>
      <c r="C10" s="1137" t="str">
        <f t="shared" si="2"/>
        <v>M1-011</v>
      </c>
      <c r="D10" s="1137">
        <f>VLOOKUP(C10,'맨홀 평균 높이'!$J$4:$L$513,2,0)</f>
        <v>6.4</v>
      </c>
      <c r="E10" s="1138">
        <f t="shared" si="3"/>
        <v>6.3400000000000007</v>
      </c>
      <c r="F10" s="1115"/>
      <c r="G10" s="1115"/>
      <c r="H10" s="1115"/>
      <c r="I10" s="1115"/>
      <c r="J10" s="1115"/>
      <c r="K10" s="1115"/>
      <c r="L10" s="1115"/>
      <c r="M10" s="1115"/>
      <c r="N10" s="1115"/>
      <c r="O10" s="1115"/>
      <c r="P10" s="1115"/>
      <c r="Q10" s="1115"/>
      <c r="R10" s="1115"/>
      <c r="S10" s="1115"/>
      <c r="T10" s="1115"/>
      <c r="U10" s="1140">
        <f t="shared" si="4"/>
        <v>6.3400000000000007</v>
      </c>
      <c r="V10" s="1141">
        <f t="shared" si="5"/>
        <v>0</v>
      </c>
      <c r="W10" s="1141">
        <f t="shared" si="6"/>
        <v>0</v>
      </c>
      <c r="X10" s="1117">
        <f t="shared" si="7"/>
        <v>-2</v>
      </c>
      <c r="Y10" s="1141" t="str">
        <f t="shared" si="8"/>
        <v>0</v>
      </c>
      <c r="Z10" s="1117"/>
      <c r="AA10" s="1118">
        <f t="shared" si="9"/>
        <v>0</v>
      </c>
      <c r="AB10" s="1119"/>
      <c r="AC10" s="1142">
        <v>4.0000000000000924E-2</v>
      </c>
      <c r="AD10" s="917"/>
      <c r="AE10" s="907" t="s">
        <v>1234</v>
      </c>
      <c r="AF10" s="907" t="s">
        <v>1236</v>
      </c>
      <c r="AG10" s="917"/>
      <c r="AH10" s="917"/>
    </row>
    <row r="11" spans="1:34" ht="20.100000000000001" customHeight="1">
      <c r="A11" s="1256">
        <f t="shared" si="10"/>
        <v>6</v>
      </c>
      <c r="B11" s="1137" t="str">
        <f t="shared" si="1"/>
        <v>중(집)2-어천1</v>
      </c>
      <c r="C11" s="1137" t="str">
        <f t="shared" si="2"/>
        <v>M1-012</v>
      </c>
      <c r="D11" s="1137">
        <f>VLOOKUP(C11,'맨홀 평균 높이'!$J$4:$L$513,2,0)</f>
        <v>6.44</v>
      </c>
      <c r="E11" s="1138">
        <f t="shared" si="3"/>
        <v>6.3800000000000008</v>
      </c>
      <c r="F11" s="1115"/>
      <c r="G11" s="1115"/>
      <c r="H11" s="1115"/>
      <c r="I11" s="1115"/>
      <c r="J11" s="1115"/>
      <c r="K11" s="1115"/>
      <c r="L11" s="1115"/>
      <c r="M11" s="1115"/>
      <c r="N11" s="1115"/>
      <c r="O11" s="1115"/>
      <c r="P11" s="1115"/>
      <c r="Q11" s="1115"/>
      <c r="R11" s="1115"/>
      <c r="S11" s="1115"/>
      <c r="T11" s="1115"/>
      <c r="U11" s="1140">
        <f t="shared" si="4"/>
        <v>6.3800000000000008</v>
      </c>
      <c r="V11" s="1141">
        <f t="shared" si="5"/>
        <v>0</v>
      </c>
      <c r="W11" s="1141">
        <f t="shared" si="6"/>
        <v>0</v>
      </c>
      <c r="X11" s="1117">
        <f t="shared" si="7"/>
        <v>-2</v>
      </c>
      <c r="Y11" s="1141" t="str">
        <f t="shared" si="8"/>
        <v>0</v>
      </c>
      <c r="Z11" s="1117"/>
      <c r="AA11" s="1118">
        <f t="shared" si="9"/>
        <v>0</v>
      </c>
      <c r="AB11" s="1119"/>
      <c r="AC11" s="1142">
        <v>8.0000000000000959E-2</v>
      </c>
      <c r="AD11" s="917"/>
      <c r="AE11" s="907" t="s">
        <v>1234</v>
      </c>
      <c r="AF11" s="907" t="s">
        <v>1237</v>
      </c>
      <c r="AG11" s="917"/>
      <c r="AH11" s="917"/>
    </row>
    <row r="12" spans="1:34" ht="20.100000000000001" customHeight="1">
      <c r="A12" s="1256">
        <f t="shared" si="10"/>
        <v>7</v>
      </c>
      <c r="B12" s="1137" t="str">
        <f t="shared" si="1"/>
        <v>중(집)2-어천1</v>
      </c>
      <c r="C12" s="1137" t="str">
        <f t="shared" si="2"/>
        <v>M1-013</v>
      </c>
      <c r="D12" s="1137">
        <f>VLOOKUP(C12,'맨홀 평균 높이'!$J$4:$L$513,2,0)</f>
        <v>6.64</v>
      </c>
      <c r="E12" s="1138">
        <f t="shared" si="3"/>
        <v>6.58</v>
      </c>
      <c r="F12" s="1115"/>
      <c r="G12" s="1115"/>
      <c r="H12" s="1115"/>
      <c r="I12" s="1115"/>
      <c r="J12" s="1115"/>
      <c r="K12" s="1115"/>
      <c r="L12" s="1115"/>
      <c r="M12" s="1115"/>
      <c r="N12" s="1115"/>
      <c r="O12" s="1115"/>
      <c r="P12" s="1115"/>
      <c r="Q12" s="1115"/>
      <c r="R12" s="1115"/>
      <c r="S12" s="1115"/>
      <c r="T12" s="1115"/>
      <c r="U12" s="1140">
        <f t="shared" si="4"/>
        <v>6.58</v>
      </c>
      <c r="V12" s="1141">
        <f t="shared" si="5"/>
        <v>0</v>
      </c>
      <c r="W12" s="1141">
        <f t="shared" si="6"/>
        <v>0</v>
      </c>
      <c r="X12" s="1117">
        <f t="shared" si="7"/>
        <v>-2</v>
      </c>
      <c r="Y12" s="1141" t="str">
        <f t="shared" si="8"/>
        <v>0</v>
      </c>
      <c r="Z12" s="1117"/>
      <c r="AA12" s="1118">
        <f t="shared" si="9"/>
        <v>0</v>
      </c>
      <c r="AB12" s="1119"/>
      <c r="AC12" s="1142">
        <v>8.0000000000000071E-2</v>
      </c>
      <c r="AD12" s="917"/>
      <c r="AE12" s="907" t="s">
        <v>1234</v>
      </c>
      <c r="AF12" s="907" t="s">
        <v>1238</v>
      </c>
      <c r="AG12" s="917"/>
      <c r="AH12" s="917"/>
    </row>
    <row r="13" spans="1:34" ht="20.100000000000001" customHeight="1">
      <c r="A13" s="1256">
        <f t="shared" si="10"/>
        <v>8</v>
      </c>
      <c r="B13" s="1137" t="str">
        <f t="shared" si="1"/>
        <v>중(집)2-어천1</v>
      </c>
      <c r="C13" s="1137" t="str">
        <f t="shared" si="2"/>
        <v>M1-014</v>
      </c>
      <c r="D13" s="1137">
        <f>VLOOKUP(C13,'맨홀 평균 높이'!$J$4:$L$513,2,0)</f>
        <v>6.63</v>
      </c>
      <c r="E13" s="1138">
        <f t="shared" si="3"/>
        <v>6.57</v>
      </c>
      <c r="F13" s="1115"/>
      <c r="G13" s="1115"/>
      <c r="H13" s="1115"/>
      <c r="I13" s="1115"/>
      <c r="J13" s="1115"/>
      <c r="K13" s="1115"/>
      <c r="L13" s="1115"/>
      <c r="M13" s="1115"/>
      <c r="N13" s="1115"/>
      <c r="O13" s="1115"/>
      <c r="P13" s="1115"/>
      <c r="Q13" s="1115"/>
      <c r="R13" s="1115"/>
      <c r="S13" s="1115"/>
      <c r="T13" s="1115"/>
      <c r="U13" s="1140">
        <f t="shared" si="4"/>
        <v>6.57</v>
      </c>
      <c r="V13" s="1141">
        <f t="shared" si="5"/>
        <v>0</v>
      </c>
      <c r="W13" s="1141">
        <f t="shared" si="6"/>
        <v>0</v>
      </c>
      <c r="X13" s="1117">
        <f t="shared" si="7"/>
        <v>-2</v>
      </c>
      <c r="Y13" s="1141" t="str">
        <f t="shared" si="8"/>
        <v>0</v>
      </c>
      <c r="Z13" s="1117"/>
      <c r="AA13" s="1118">
        <f t="shared" si="9"/>
        <v>0</v>
      </c>
      <c r="AB13" s="1119"/>
      <c r="AC13" s="1142">
        <v>7.0000000000000284E-2</v>
      </c>
      <c r="AD13" s="917"/>
      <c r="AE13" s="907" t="s">
        <v>1234</v>
      </c>
      <c r="AF13" s="907" t="s">
        <v>1239</v>
      </c>
      <c r="AG13" s="917"/>
      <c r="AH13" s="917"/>
    </row>
    <row r="14" spans="1:34" ht="20.100000000000001" customHeight="1">
      <c r="A14" s="1256">
        <f t="shared" si="10"/>
        <v>9</v>
      </c>
      <c r="B14" s="1137" t="str">
        <f t="shared" si="1"/>
        <v>중(집)2-어천1</v>
      </c>
      <c r="C14" s="1137" t="str">
        <f t="shared" si="2"/>
        <v>M1-015</v>
      </c>
      <c r="D14" s="1137">
        <f>VLOOKUP(C14,'맨홀 평균 높이'!$J$4:$L$513,2,0)</f>
        <v>6.44</v>
      </c>
      <c r="E14" s="1138">
        <f t="shared" si="3"/>
        <v>6.3800000000000008</v>
      </c>
      <c r="F14" s="1115"/>
      <c r="G14" s="1115"/>
      <c r="H14" s="1115"/>
      <c r="I14" s="1115"/>
      <c r="J14" s="1115"/>
      <c r="K14" s="1115"/>
      <c r="L14" s="1115"/>
      <c r="M14" s="1115"/>
      <c r="N14" s="1115"/>
      <c r="O14" s="1115"/>
      <c r="P14" s="1115"/>
      <c r="Q14" s="1115"/>
      <c r="R14" s="1115"/>
      <c r="S14" s="1115"/>
      <c r="T14" s="1115"/>
      <c r="U14" s="1140">
        <f t="shared" si="4"/>
        <v>6.3800000000000008</v>
      </c>
      <c r="V14" s="1141">
        <f t="shared" si="5"/>
        <v>0</v>
      </c>
      <c r="W14" s="1141">
        <f t="shared" si="6"/>
        <v>0</v>
      </c>
      <c r="X14" s="1117">
        <f t="shared" si="7"/>
        <v>-2</v>
      </c>
      <c r="Y14" s="1141" t="str">
        <f t="shared" si="8"/>
        <v>0</v>
      </c>
      <c r="Z14" s="1117"/>
      <c r="AA14" s="1118">
        <f t="shared" si="9"/>
        <v>0</v>
      </c>
      <c r="AB14" s="1119"/>
      <c r="AC14" s="1142">
        <v>8.0000000000000959E-2</v>
      </c>
      <c r="AD14" s="917"/>
      <c r="AE14" s="907" t="s">
        <v>1234</v>
      </c>
      <c r="AF14" s="907" t="s">
        <v>1240</v>
      </c>
      <c r="AG14" s="917"/>
      <c r="AH14" s="917"/>
    </row>
    <row r="15" spans="1:34" ht="20.100000000000001" customHeight="1">
      <c r="A15" s="1256">
        <f t="shared" si="10"/>
        <v>10</v>
      </c>
      <c r="B15" s="1137" t="str">
        <f t="shared" si="1"/>
        <v>중(집)2-어천1</v>
      </c>
      <c r="C15" s="1137" t="str">
        <f t="shared" si="2"/>
        <v>M1-017</v>
      </c>
      <c r="D15" s="1137">
        <f>VLOOKUP(C15,'맨홀 평균 높이'!$J$4:$L$513,2,0)</f>
        <v>6.58</v>
      </c>
      <c r="E15" s="1138">
        <f t="shared" si="3"/>
        <v>6.5200000000000005</v>
      </c>
      <c r="F15" s="1115"/>
      <c r="G15" s="1115"/>
      <c r="H15" s="1115"/>
      <c r="I15" s="1115"/>
      <c r="J15" s="1115"/>
      <c r="K15" s="1115"/>
      <c r="L15" s="1115"/>
      <c r="M15" s="1115"/>
      <c r="N15" s="1115"/>
      <c r="O15" s="1115"/>
      <c r="P15" s="1115"/>
      <c r="Q15" s="1115"/>
      <c r="R15" s="1115"/>
      <c r="S15" s="1115"/>
      <c r="T15" s="1115"/>
      <c r="U15" s="1140">
        <f t="shared" si="4"/>
        <v>6.5200000000000005</v>
      </c>
      <c r="V15" s="1141">
        <f t="shared" si="5"/>
        <v>0</v>
      </c>
      <c r="W15" s="1141">
        <f t="shared" si="6"/>
        <v>0</v>
      </c>
      <c r="X15" s="1117">
        <f t="shared" si="7"/>
        <v>-2</v>
      </c>
      <c r="Y15" s="1141" t="str">
        <f t="shared" si="8"/>
        <v>0</v>
      </c>
      <c r="Z15" s="1117"/>
      <c r="AA15" s="1118">
        <f t="shared" si="9"/>
        <v>0</v>
      </c>
      <c r="AB15" s="1119"/>
      <c r="AC15" s="1142">
        <v>2.0000000000000462E-2</v>
      </c>
      <c r="AD15" s="917"/>
      <c r="AE15" s="907" t="s">
        <v>1234</v>
      </c>
      <c r="AF15" s="907" t="s">
        <v>1241</v>
      </c>
      <c r="AG15" s="917"/>
      <c r="AH15" s="917"/>
    </row>
    <row r="16" spans="1:34" ht="20.100000000000001" customHeight="1">
      <c r="A16" s="1256">
        <f t="shared" si="10"/>
        <v>11</v>
      </c>
      <c r="B16" s="1137" t="str">
        <f t="shared" si="1"/>
        <v>중(집)2-어천1</v>
      </c>
      <c r="C16" s="1137" t="str">
        <f t="shared" si="2"/>
        <v>M1-018</v>
      </c>
      <c r="D16" s="1137">
        <f>VLOOKUP(C16,'맨홀 평균 높이'!$J$4:$L$513,2,0)</f>
        <v>6.64</v>
      </c>
      <c r="E16" s="1138">
        <f t="shared" si="3"/>
        <v>6.58</v>
      </c>
      <c r="F16" s="1115"/>
      <c r="G16" s="1115"/>
      <c r="H16" s="1115"/>
      <c r="I16" s="1115"/>
      <c r="J16" s="1115"/>
      <c r="K16" s="1115"/>
      <c r="L16" s="1115"/>
      <c r="M16" s="1115"/>
      <c r="N16" s="1115"/>
      <c r="O16" s="1115"/>
      <c r="P16" s="1115"/>
      <c r="Q16" s="1115"/>
      <c r="R16" s="1115"/>
      <c r="S16" s="1115"/>
      <c r="T16" s="1115"/>
      <c r="U16" s="1140">
        <f t="shared" si="4"/>
        <v>6.58</v>
      </c>
      <c r="V16" s="1141">
        <f t="shared" si="5"/>
        <v>0</v>
      </c>
      <c r="W16" s="1141">
        <f t="shared" si="6"/>
        <v>0</v>
      </c>
      <c r="X16" s="1117">
        <f t="shared" si="7"/>
        <v>-2</v>
      </c>
      <c r="Y16" s="1141" t="str">
        <f t="shared" si="8"/>
        <v>0</v>
      </c>
      <c r="Z16" s="1117"/>
      <c r="AA16" s="1118">
        <f t="shared" si="9"/>
        <v>0</v>
      </c>
      <c r="AB16" s="1119"/>
      <c r="AC16" s="1142">
        <v>8.0000000000000071E-2</v>
      </c>
      <c r="AD16" s="917"/>
      <c r="AE16" s="907" t="s">
        <v>1234</v>
      </c>
      <c r="AF16" s="907" t="s">
        <v>1242</v>
      </c>
      <c r="AG16" s="917"/>
      <c r="AH16" s="917"/>
    </row>
    <row r="17" spans="1:34" ht="20.100000000000001" customHeight="1">
      <c r="A17" s="1256">
        <f t="shared" si="10"/>
        <v>12</v>
      </c>
      <c r="B17" s="1137" t="str">
        <f t="shared" si="1"/>
        <v>중(집)2-어천1</v>
      </c>
      <c r="C17" s="1137" t="str">
        <f t="shared" si="2"/>
        <v>M1-019</v>
      </c>
      <c r="D17" s="1137">
        <f>VLOOKUP(C17,'맨홀 평균 높이'!$J$4:$L$513,2,0)</f>
        <v>6.85</v>
      </c>
      <c r="E17" s="1138">
        <f t="shared" si="3"/>
        <v>6.79</v>
      </c>
      <c r="F17" s="1115"/>
      <c r="G17" s="1115"/>
      <c r="H17" s="1115"/>
      <c r="I17" s="1115"/>
      <c r="J17" s="1115"/>
      <c r="K17" s="1115"/>
      <c r="L17" s="1115"/>
      <c r="M17" s="1115"/>
      <c r="N17" s="1115"/>
      <c r="O17" s="1115"/>
      <c r="P17" s="1115"/>
      <c r="Q17" s="1115"/>
      <c r="R17" s="1115"/>
      <c r="S17" s="1115"/>
      <c r="T17" s="1115"/>
      <c r="U17" s="1140">
        <f t="shared" si="4"/>
        <v>6.79</v>
      </c>
      <c r="V17" s="1141">
        <f t="shared" si="5"/>
        <v>0</v>
      </c>
      <c r="W17" s="1141">
        <f t="shared" si="6"/>
        <v>0</v>
      </c>
      <c r="X17" s="1117">
        <f t="shared" si="7"/>
        <v>-2</v>
      </c>
      <c r="Y17" s="1141" t="str">
        <f t="shared" si="8"/>
        <v>0</v>
      </c>
      <c r="Z17" s="1117"/>
      <c r="AA17" s="1118">
        <f t="shared" si="9"/>
        <v>0</v>
      </c>
      <c r="AB17" s="1119"/>
      <c r="AC17" s="1142">
        <v>8.9999999999999858E-2</v>
      </c>
      <c r="AD17" s="917"/>
      <c r="AE17" s="907" t="s">
        <v>1234</v>
      </c>
      <c r="AF17" s="907" t="s">
        <v>1243</v>
      </c>
      <c r="AG17" s="917"/>
      <c r="AH17" s="917"/>
    </row>
    <row r="18" spans="1:34" ht="20.100000000000001" customHeight="1">
      <c r="A18" s="1256">
        <f t="shared" si="10"/>
        <v>13</v>
      </c>
      <c r="B18" s="1137" t="str">
        <f t="shared" si="1"/>
        <v>중(집)2-어천1</v>
      </c>
      <c r="C18" s="1137" t="str">
        <f t="shared" si="2"/>
        <v>M1-020</v>
      </c>
      <c r="D18" s="1137">
        <f>VLOOKUP(C18,'맨홀 평균 높이'!$J$4:$L$513,2,0)</f>
        <v>6.79</v>
      </c>
      <c r="E18" s="1138">
        <f t="shared" si="3"/>
        <v>6.73</v>
      </c>
      <c r="F18" s="1115"/>
      <c r="G18" s="1115"/>
      <c r="H18" s="1115"/>
      <c r="I18" s="1115"/>
      <c r="J18" s="1115"/>
      <c r="K18" s="1115"/>
      <c r="L18" s="1115"/>
      <c r="M18" s="1115"/>
      <c r="N18" s="1115"/>
      <c r="O18" s="1115"/>
      <c r="P18" s="1115"/>
      <c r="Q18" s="1115"/>
      <c r="R18" s="1115"/>
      <c r="S18" s="1115"/>
      <c r="T18" s="1115"/>
      <c r="U18" s="1140">
        <f t="shared" si="4"/>
        <v>6.73</v>
      </c>
      <c r="V18" s="1141">
        <f t="shared" si="5"/>
        <v>0</v>
      </c>
      <c r="W18" s="1141">
        <f t="shared" si="6"/>
        <v>0</v>
      </c>
      <c r="X18" s="1117">
        <f t="shared" si="7"/>
        <v>-2</v>
      </c>
      <c r="Y18" s="1141" t="str">
        <f t="shared" si="8"/>
        <v>0</v>
      </c>
      <c r="Z18" s="1117"/>
      <c r="AA18" s="1118">
        <f t="shared" si="9"/>
        <v>0</v>
      </c>
      <c r="AB18" s="1119"/>
      <c r="AC18" s="1142">
        <v>3.0000000000000249E-2</v>
      </c>
      <c r="AD18" s="917"/>
      <c r="AE18" s="907" t="s">
        <v>1234</v>
      </c>
      <c r="AF18" s="907" t="s">
        <v>1244</v>
      </c>
      <c r="AG18" s="917"/>
      <c r="AH18" s="917"/>
    </row>
    <row r="19" spans="1:34" ht="20.100000000000001" customHeight="1">
      <c r="A19" s="1256">
        <f t="shared" si="10"/>
        <v>14</v>
      </c>
      <c r="B19" s="1137" t="str">
        <f t="shared" si="1"/>
        <v>중(집)2-어천1</v>
      </c>
      <c r="C19" s="1137" t="str">
        <f t="shared" si="2"/>
        <v>M1-021</v>
      </c>
      <c r="D19" s="1137">
        <f>VLOOKUP(C19,'맨홀 평균 높이'!$J$4:$L$513,2,0)</f>
        <v>6.72</v>
      </c>
      <c r="E19" s="1138">
        <f t="shared" si="3"/>
        <v>6.66</v>
      </c>
      <c r="F19" s="1115"/>
      <c r="G19" s="1115"/>
      <c r="H19" s="1115"/>
      <c r="I19" s="1115"/>
      <c r="J19" s="1115"/>
      <c r="K19" s="1115"/>
      <c r="L19" s="1115"/>
      <c r="M19" s="1115"/>
      <c r="N19" s="1115"/>
      <c r="O19" s="1115"/>
      <c r="P19" s="1115"/>
      <c r="Q19" s="1115"/>
      <c r="R19" s="1115"/>
      <c r="S19" s="1115"/>
      <c r="T19" s="1115"/>
      <c r="U19" s="1140">
        <f t="shared" si="4"/>
        <v>6.66</v>
      </c>
      <c r="V19" s="1141">
        <f t="shared" si="5"/>
        <v>0</v>
      </c>
      <c r="W19" s="1141">
        <f t="shared" si="6"/>
        <v>0</v>
      </c>
      <c r="X19" s="1117">
        <f t="shared" si="7"/>
        <v>-2</v>
      </c>
      <c r="Y19" s="1141" t="str">
        <f t="shared" si="8"/>
        <v>0</v>
      </c>
      <c r="Z19" s="1117"/>
      <c r="AA19" s="1118">
        <f t="shared" si="9"/>
        <v>0</v>
      </c>
      <c r="AB19" s="1119"/>
      <c r="AC19" s="1142">
        <v>6.0000000000000497E-2</v>
      </c>
      <c r="AD19" s="917"/>
      <c r="AE19" s="907" t="s">
        <v>1234</v>
      </c>
      <c r="AF19" s="907" t="s">
        <v>1245</v>
      </c>
      <c r="AG19" s="917"/>
      <c r="AH19" s="917"/>
    </row>
    <row r="20" spans="1:34" ht="20.100000000000001" customHeight="1">
      <c r="A20" s="1256">
        <f t="shared" si="10"/>
        <v>15</v>
      </c>
      <c r="B20" s="1137" t="str">
        <f t="shared" si="1"/>
        <v>중(집)2-어천1</v>
      </c>
      <c r="C20" s="1137" t="str">
        <f t="shared" si="2"/>
        <v>M1-022</v>
      </c>
      <c r="D20" s="1137">
        <f>VLOOKUP(C20,'맨홀 평균 높이'!$J$4:$L$513,2,0)</f>
        <v>6.53</v>
      </c>
      <c r="E20" s="1138">
        <f t="shared" si="3"/>
        <v>6.4700000000000006</v>
      </c>
      <c r="F20" s="1115"/>
      <c r="G20" s="1115"/>
      <c r="H20" s="1115"/>
      <c r="I20" s="1115"/>
      <c r="J20" s="1115"/>
      <c r="K20" s="1115"/>
      <c r="L20" s="1115"/>
      <c r="M20" s="1115"/>
      <c r="N20" s="1115"/>
      <c r="O20" s="1115"/>
      <c r="P20" s="1115"/>
      <c r="Q20" s="1115"/>
      <c r="R20" s="1115"/>
      <c r="S20" s="1115"/>
      <c r="T20" s="1115"/>
      <c r="U20" s="1140">
        <f t="shared" si="4"/>
        <v>6.4700000000000006</v>
      </c>
      <c r="V20" s="1141">
        <f t="shared" si="5"/>
        <v>0</v>
      </c>
      <c r="W20" s="1141">
        <f t="shared" si="6"/>
        <v>0</v>
      </c>
      <c r="X20" s="1117">
        <f t="shared" si="7"/>
        <v>-2</v>
      </c>
      <c r="Y20" s="1141" t="str">
        <f t="shared" si="8"/>
        <v>0</v>
      </c>
      <c r="Z20" s="1117"/>
      <c r="AA20" s="1118">
        <f t="shared" si="9"/>
        <v>0</v>
      </c>
      <c r="AB20" s="1119"/>
      <c r="AC20" s="1142">
        <v>7.0000000000000284E-2</v>
      </c>
      <c r="AD20" s="917"/>
      <c r="AE20" s="907" t="s">
        <v>1234</v>
      </c>
      <c r="AF20" s="907" t="s">
        <v>1246</v>
      </c>
      <c r="AG20" s="917"/>
      <c r="AH20" s="917"/>
    </row>
    <row r="21" spans="1:34" ht="20.100000000000001" customHeight="1">
      <c r="A21" s="1256">
        <f t="shared" si="10"/>
        <v>16</v>
      </c>
      <c r="B21" s="1137" t="str">
        <f t="shared" si="1"/>
        <v>중(집)2-어천1</v>
      </c>
      <c r="C21" s="1137" t="str">
        <f t="shared" si="2"/>
        <v>M1-024</v>
      </c>
      <c r="D21" s="1137">
        <f>VLOOKUP(C21,'맨홀 평균 높이'!$J$4:$L$513,2,0)</f>
        <v>6.64</v>
      </c>
      <c r="E21" s="1138">
        <f t="shared" si="3"/>
        <v>6.58</v>
      </c>
      <c r="F21" s="1115"/>
      <c r="G21" s="1115"/>
      <c r="H21" s="1115"/>
      <c r="I21" s="1115"/>
      <c r="J21" s="1115"/>
      <c r="K21" s="1115"/>
      <c r="L21" s="1115"/>
      <c r="M21" s="1115"/>
      <c r="N21" s="1115"/>
      <c r="O21" s="1115"/>
      <c r="P21" s="1115"/>
      <c r="Q21" s="1115"/>
      <c r="R21" s="1115"/>
      <c r="S21" s="1115"/>
      <c r="T21" s="1115"/>
      <c r="U21" s="1140">
        <f t="shared" si="4"/>
        <v>6.58</v>
      </c>
      <c r="V21" s="1141">
        <f t="shared" si="5"/>
        <v>0</v>
      </c>
      <c r="W21" s="1141">
        <f t="shared" si="6"/>
        <v>0</v>
      </c>
      <c r="X21" s="1117">
        <f t="shared" si="7"/>
        <v>-2</v>
      </c>
      <c r="Y21" s="1141" t="str">
        <f t="shared" si="8"/>
        <v>0</v>
      </c>
      <c r="Z21" s="1117"/>
      <c r="AA21" s="1118">
        <f t="shared" si="9"/>
        <v>0</v>
      </c>
      <c r="AB21" s="1119"/>
      <c r="AC21" s="1142">
        <v>8.0000000000000071E-2</v>
      </c>
      <c r="AD21" s="917"/>
      <c r="AE21" s="907" t="s">
        <v>1234</v>
      </c>
      <c r="AF21" s="907" t="s">
        <v>1247</v>
      </c>
      <c r="AG21" s="917"/>
      <c r="AH21" s="917"/>
    </row>
    <row r="22" spans="1:34" ht="20.100000000000001" customHeight="1">
      <c r="A22" s="1256">
        <f t="shared" si="10"/>
        <v>17</v>
      </c>
      <c r="B22" s="1137" t="str">
        <f t="shared" si="1"/>
        <v>중(집)2-어천1</v>
      </c>
      <c r="C22" s="1137" t="str">
        <f t="shared" si="2"/>
        <v>M1-027</v>
      </c>
      <c r="D22" s="1137">
        <f>VLOOKUP(C22,'맨홀 평균 높이'!$J$4:$L$513,2,0)</f>
        <v>7.44</v>
      </c>
      <c r="E22" s="1138">
        <f t="shared" si="3"/>
        <v>7.3800000000000008</v>
      </c>
      <c r="F22" s="1115"/>
      <c r="G22" s="1115"/>
      <c r="H22" s="1115"/>
      <c r="I22" s="1115"/>
      <c r="J22" s="1115"/>
      <c r="K22" s="1115"/>
      <c r="L22" s="1115"/>
      <c r="M22" s="1115"/>
      <c r="N22" s="1115"/>
      <c r="O22" s="1115"/>
      <c r="P22" s="1115"/>
      <c r="Q22" s="1115"/>
      <c r="R22" s="1115"/>
      <c r="S22" s="1115"/>
      <c r="T22" s="1115"/>
      <c r="U22" s="1140">
        <f t="shared" si="4"/>
        <v>7.3800000000000008</v>
      </c>
      <c r="V22" s="1141">
        <f t="shared" si="5"/>
        <v>0</v>
      </c>
      <c r="W22" s="1141">
        <f t="shared" si="6"/>
        <v>0</v>
      </c>
      <c r="X22" s="1117">
        <f t="shared" si="7"/>
        <v>-2</v>
      </c>
      <c r="Y22" s="1141" t="str">
        <f t="shared" si="8"/>
        <v>0</v>
      </c>
      <c r="Z22" s="1117"/>
      <c r="AA22" s="1118">
        <f t="shared" si="9"/>
        <v>0</v>
      </c>
      <c r="AB22" s="1119"/>
      <c r="AC22" s="1143">
        <v>0.98000000000000043</v>
      </c>
      <c r="AD22" s="917"/>
      <c r="AE22" s="907" t="s">
        <v>1234</v>
      </c>
      <c r="AF22" s="907" t="s">
        <v>1248</v>
      </c>
      <c r="AG22" s="917"/>
      <c r="AH22" s="917"/>
    </row>
    <row r="23" spans="1:34" ht="20.100000000000001" customHeight="1">
      <c r="A23" s="1256">
        <f t="shared" si="10"/>
        <v>18</v>
      </c>
      <c r="B23" s="1137" t="str">
        <f t="shared" si="1"/>
        <v>중(집)2-어천1</v>
      </c>
      <c r="C23" s="1137" t="str">
        <f t="shared" si="2"/>
        <v>M1-028</v>
      </c>
      <c r="D23" s="1137">
        <f>VLOOKUP(C23,'맨홀 평균 높이'!$J$4:$L$513,2,0)</f>
        <v>6.63</v>
      </c>
      <c r="E23" s="1138">
        <f t="shared" si="3"/>
        <v>6.57</v>
      </c>
      <c r="F23" s="1115"/>
      <c r="G23" s="1115"/>
      <c r="H23" s="1115"/>
      <c r="I23" s="1115"/>
      <c r="J23" s="1115"/>
      <c r="K23" s="1115"/>
      <c r="L23" s="1115"/>
      <c r="M23" s="1115"/>
      <c r="N23" s="1115"/>
      <c r="O23" s="1115"/>
      <c r="P23" s="1115"/>
      <c r="Q23" s="1115"/>
      <c r="R23" s="1115"/>
      <c r="S23" s="1115"/>
      <c r="T23" s="1115"/>
      <c r="U23" s="1140">
        <f t="shared" si="4"/>
        <v>6.57</v>
      </c>
      <c r="V23" s="1141">
        <f t="shared" si="5"/>
        <v>0</v>
      </c>
      <c r="W23" s="1141">
        <f t="shared" si="6"/>
        <v>0</v>
      </c>
      <c r="X23" s="1117">
        <f t="shared" si="7"/>
        <v>-2</v>
      </c>
      <c r="Y23" s="1141" t="str">
        <f t="shared" si="8"/>
        <v>0</v>
      </c>
      <c r="Z23" s="1117"/>
      <c r="AA23" s="1118">
        <f t="shared" si="9"/>
        <v>0</v>
      </c>
      <c r="AB23" s="1119"/>
      <c r="AC23" s="1142">
        <v>7.0000000000000284E-2</v>
      </c>
      <c r="AD23" s="917"/>
      <c r="AE23" s="907" t="s">
        <v>1234</v>
      </c>
      <c r="AF23" s="907" t="s">
        <v>1249</v>
      </c>
      <c r="AG23" s="917"/>
      <c r="AH23" s="917"/>
    </row>
    <row r="24" spans="1:34" ht="20.100000000000001" customHeight="1">
      <c r="A24" s="1256">
        <f t="shared" si="10"/>
        <v>19</v>
      </c>
      <c r="B24" s="1137" t="str">
        <f t="shared" si="1"/>
        <v>중(집)2-어천1</v>
      </c>
      <c r="C24" s="1137" t="str">
        <f t="shared" si="2"/>
        <v>M1-029</v>
      </c>
      <c r="D24" s="1137">
        <f>VLOOKUP(C24,'맨홀 평균 높이'!$J$4:$L$513,2,0)</f>
        <v>5.84</v>
      </c>
      <c r="E24" s="1138">
        <f t="shared" si="3"/>
        <v>5.78</v>
      </c>
      <c r="F24" s="1115"/>
      <c r="G24" s="1115"/>
      <c r="H24" s="1115"/>
      <c r="I24" s="1115"/>
      <c r="J24" s="1115"/>
      <c r="K24" s="1115"/>
      <c r="L24" s="1115"/>
      <c r="M24" s="1115"/>
      <c r="N24" s="1115"/>
      <c r="O24" s="1115"/>
      <c r="P24" s="1115"/>
      <c r="Q24" s="1115"/>
      <c r="R24" s="1115"/>
      <c r="S24" s="1115"/>
      <c r="T24" s="1115"/>
      <c r="U24" s="1140">
        <f t="shared" si="4"/>
        <v>5.78</v>
      </c>
      <c r="V24" s="1141">
        <f t="shared" si="5"/>
        <v>0</v>
      </c>
      <c r="W24" s="1141">
        <f t="shared" si="6"/>
        <v>0</v>
      </c>
      <c r="X24" s="1117">
        <f t="shared" si="7"/>
        <v>-2</v>
      </c>
      <c r="Y24" s="1141" t="str">
        <f t="shared" si="8"/>
        <v>0</v>
      </c>
      <c r="Z24" s="1117"/>
      <c r="AA24" s="1118">
        <f t="shared" si="9"/>
        <v>0</v>
      </c>
      <c r="AB24" s="1119"/>
      <c r="AC24" s="1142">
        <v>8.0000000000000071E-2</v>
      </c>
      <c r="AD24" s="917"/>
      <c r="AE24" s="907" t="s">
        <v>1234</v>
      </c>
      <c r="AF24" s="907" t="s">
        <v>1250</v>
      </c>
      <c r="AG24" s="917"/>
      <c r="AH24" s="917"/>
    </row>
    <row r="25" spans="1:34" ht="20.100000000000001" customHeight="1">
      <c r="A25" s="1256">
        <f t="shared" si="10"/>
        <v>20</v>
      </c>
      <c r="B25" s="1137" t="str">
        <f t="shared" si="1"/>
        <v>중(집)2-어천1</v>
      </c>
      <c r="C25" s="1137" t="str">
        <f t="shared" si="2"/>
        <v>M1-032</v>
      </c>
      <c r="D25" s="1137">
        <f>VLOOKUP(C25,'맨홀 평균 높이'!$J$4:$L$513,2,0)</f>
        <v>5.13</v>
      </c>
      <c r="E25" s="1138">
        <f t="shared" si="3"/>
        <v>5.07</v>
      </c>
      <c r="F25" s="1115"/>
      <c r="G25" s="1115"/>
      <c r="H25" s="1115"/>
      <c r="I25" s="1115"/>
      <c r="J25" s="1115"/>
      <c r="K25" s="1115"/>
      <c r="L25" s="1115"/>
      <c r="M25" s="1115"/>
      <c r="N25" s="1115"/>
      <c r="O25" s="1115"/>
      <c r="P25" s="1115"/>
      <c r="Q25" s="1115"/>
      <c r="R25" s="1115"/>
      <c r="S25" s="1115"/>
      <c r="T25" s="1115"/>
      <c r="U25" s="1140">
        <f t="shared" si="4"/>
        <v>5.07</v>
      </c>
      <c r="V25" s="1141">
        <f t="shared" si="5"/>
        <v>0</v>
      </c>
      <c r="W25" s="1141">
        <f t="shared" si="6"/>
        <v>0</v>
      </c>
      <c r="X25" s="1117">
        <f t="shared" si="7"/>
        <v>-2</v>
      </c>
      <c r="Y25" s="1141" t="str">
        <f t="shared" si="8"/>
        <v>0</v>
      </c>
      <c r="Z25" s="1117"/>
      <c r="AA25" s="1118">
        <f t="shared" si="9"/>
        <v>0</v>
      </c>
      <c r="AB25" s="1119"/>
      <c r="AC25" s="1142">
        <v>7.0000000000000284E-2</v>
      </c>
      <c r="AD25" s="917"/>
      <c r="AE25" s="907" t="s">
        <v>1234</v>
      </c>
      <c r="AF25" s="907" t="s">
        <v>1251</v>
      </c>
      <c r="AG25" s="917"/>
      <c r="AH25" s="917"/>
    </row>
    <row r="26" spans="1:34" ht="20.100000000000001" customHeight="1">
      <c r="A26" s="1256">
        <f t="shared" si="10"/>
        <v>21</v>
      </c>
      <c r="B26" s="1137" t="str">
        <f t="shared" si="1"/>
        <v>중(집)2-어천1</v>
      </c>
      <c r="C26" s="1137" t="str">
        <f t="shared" si="2"/>
        <v>M1-033</v>
      </c>
      <c r="D26" s="1137">
        <f>VLOOKUP(C26,'맨홀 평균 높이'!$J$4:$L$513,2,0)</f>
        <v>4.7699999999999996</v>
      </c>
      <c r="E26" s="1138">
        <f t="shared" si="3"/>
        <v>4.71</v>
      </c>
      <c r="F26" s="1115"/>
      <c r="G26" s="1115"/>
      <c r="H26" s="1115"/>
      <c r="I26" s="1115"/>
      <c r="J26" s="1115"/>
      <c r="K26" s="1115"/>
      <c r="L26" s="1115"/>
      <c r="M26" s="1115"/>
      <c r="N26" s="1115"/>
      <c r="O26" s="1115"/>
      <c r="P26" s="1115"/>
      <c r="Q26" s="1115"/>
      <c r="R26" s="1115"/>
      <c r="S26" s="1115"/>
      <c r="T26" s="1115"/>
      <c r="U26" s="1140">
        <f t="shared" si="4"/>
        <v>4.71</v>
      </c>
      <c r="V26" s="1141">
        <f t="shared" si="5"/>
        <v>0</v>
      </c>
      <c r="W26" s="1141">
        <f t="shared" si="6"/>
        <v>0</v>
      </c>
      <c r="X26" s="1117">
        <f t="shared" si="7"/>
        <v>-2</v>
      </c>
      <c r="Y26" s="1141" t="str">
        <f t="shared" si="8"/>
        <v>0</v>
      </c>
      <c r="Z26" s="1117"/>
      <c r="AA26" s="1118">
        <f t="shared" si="9"/>
        <v>0</v>
      </c>
      <c r="AB26" s="1119"/>
      <c r="AC26" s="1142">
        <v>9.9999999999997868E-3</v>
      </c>
      <c r="AD26" s="917"/>
      <c r="AE26" s="907" t="s">
        <v>1234</v>
      </c>
      <c r="AF26" s="907" t="s">
        <v>1252</v>
      </c>
      <c r="AG26" s="917"/>
      <c r="AH26" s="917"/>
    </row>
    <row r="27" spans="1:34" ht="20.100000000000001" customHeight="1">
      <c r="A27" s="1256">
        <f t="shared" si="10"/>
        <v>22</v>
      </c>
      <c r="B27" s="1137" t="str">
        <f t="shared" si="1"/>
        <v>중(집)2-어천1</v>
      </c>
      <c r="C27" s="1137" t="str">
        <f t="shared" si="2"/>
        <v>M1-035</v>
      </c>
      <c r="D27" s="1137">
        <f>VLOOKUP(C27,'맨홀 평균 높이'!$J$4:$L$513,2,0)</f>
        <v>4.17</v>
      </c>
      <c r="E27" s="1138">
        <f t="shared" si="3"/>
        <v>4.1100000000000003</v>
      </c>
      <c r="F27" s="1115"/>
      <c r="G27" s="1115"/>
      <c r="H27" s="1115"/>
      <c r="I27" s="1115"/>
      <c r="J27" s="1115"/>
      <c r="K27" s="1115"/>
      <c r="L27" s="1115"/>
      <c r="M27" s="1115"/>
      <c r="N27" s="1115"/>
      <c r="O27" s="1115"/>
      <c r="P27" s="1115"/>
      <c r="Q27" s="1115"/>
      <c r="R27" s="1115"/>
      <c r="S27" s="1115"/>
      <c r="T27" s="1115"/>
      <c r="U27" s="1140">
        <f t="shared" si="4"/>
        <v>4.1100000000000003</v>
      </c>
      <c r="V27" s="1141">
        <f t="shared" si="5"/>
        <v>0</v>
      </c>
      <c r="W27" s="1141">
        <f t="shared" si="6"/>
        <v>0</v>
      </c>
      <c r="X27" s="1117">
        <f t="shared" si="7"/>
        <v>-2</v>
      </c>
      <c r="Y27" s="1141" t="str">
        <f t="shared" si="8"/>
        <v>0</v>
      </c>
      <c r="Z27" s="1117"/>
      <c r="AA27" s="1118">
        <f t="shared" si="9"/>
        <v>0</v>
      </c>
      <c r="AB27" s="1119"/>
      <c r="AC27" s="1142">
        <v>1.0000000000000675E-2</v>
      </c>
      <c r="AD27" s="917"/>
      <c r="AE27" s="907" t="s">
        <v>1234</v>
      </c>
      <c r="AF27" s="907" t="s">
        <v>1253</v>
      </c>
      <c r="AG27" s="917"/>
      <c r="AH27" s="917"/>
    </row>
    <row r="28" spans="1:34" ht="20.100000000000001" customHeight="1">
      <c r="A28" s="1256">
        <f t="shared" si="10"/>
        <v>23</v>
      </c>
      <c r="B28" s="1137" t="str">
        <f t="shared" si="1"/>
        <v>중(집)2-어천1</v>
      </c>
      <c r="C28" s="1137" t="str">
        <f t="shared" si="2"/>
        <v>M1-036</v>
      </c>
      <c r="D28" s="1137">
        <f>VLOOKUP(C28,'맨홀 평균 높이'!$J$4:$L$513,2,0)</f>
        <v>4.51</v>
      </c>
      <c r="E28" s="1138">
        <f t="shared" si="3"/>
        <v>4.45</v>
      </c>
      <c r="F28" s="1115"/>
      <c r="G28" s="1115"/>
      <c r="H28" s="1115"/>
      <c r="I28" s="1115"/>
      <c r="J28" s="1115"/>
      <c r="K28" s="1115"/>
      <c r="L28" s="1115"/>
      <c r="M28" s="1115"/>
      <c r="N28" s="1115"/>
      <c r="O28" s="1115"/>
      <c r="P28" s="1115"/>
      <c r="Q28" s="1115"/>
      <c r="R28" s="1115"/>
      <c r="S28" s="1115"/>
      <c r="T28" s="1115"/>
      <c r="U28" s="1140">
        <f t="shared" si="4"/>
        <v>4.45</v>
      </c>
      <c r="V28" s="1141">
        <f t="shared" si="5"/>
        <v>0</v>
      </c>
      <c r="W28" s="1141">
        <f t="shared" si="6"/>
        <v>0</v>
      </c>
      <c r="X28" s="1117">
        <f t="shared" si="7"/>
        <v>-2</v>
      </c>
      <c r="Y28" s="1141" t="str">
        <f t="shared" si="8"/>
        <v>0</v>
      </c>
      <c r="Z28" s="1117"/>
      <c r="AA28" s="1118">
        <f t="shared" si="9"/>
        <v>0</v>
      </c>
      <c r="AB28" s="1119"/>
      <c r="AC28" s="1142">
        <v>4.9999999999999822E-2</v>
      </c>
      <c r="AD28" s="917"/>
      <c r="AE28" s="907" t="s">
        <v>1234</v>
      </c>
      <c r="AF28" s="907" t="s">
        <v>1254</v>
      </c>
      <c r="AG28" s="917"/>
      <c r="AH28" s="917"/>
    </row>
    <row r="29" spans="1:34" s="1146" customFormat="1" ht="20.100000000000001" customHeight="1">
      <c r="A29" s="1256">
        <f t="shared" si="10"/>
        <v>24</v>
      </c>
      <c r="B29" s="1137" t="str">
        <f t="shared" si="1"/>
        <v>중(집)2-어천1</v>
      </c>
      <c r="C29" s="1137" t="str">
        <f t="shared" si="2"/>
        <v>M1-037</v>
      </c>
      <c r="D29" s="1137">
        <f>VLOOKUP(C29,'맨홀 평균 높이'!$J$4:$L$513,2,0)</f>
        <v>4.92</v>
      </c>
      <c r="E29" s="1138">
        <f t="shared" si="3"/>
        <v>4.8600000000000003</v>
      </c>
      <c r="F29" s="1115"/>
      <c r="G29" s="1115"/>
      <c r="H29" s="1115"/>
      <c r="I29" s="1115"/>
      <c r="J29" s="1115"/>
      <c r="K29" s="1115"/>
      <c r="L29" s="1115"/>
      <c r="M29" s="1115"/>
      <c r="N29" s="1115"/>
      <c r="O29" s="1115"/>
      <c r="P29" s="1115"/>
      <c r="Q29" s="1115"/>
      <c r="R29" s="1115"/>
      <c r="S29" s="1115"/>
      <c r="T29" s="1115"/>
      <c r="U29" s="1140">
        <f t="shared" si="4"/>
        <v>4.8600000000000003</v>
      </c>
      <c r="V29" s="1141">
        <f t="shared" si="5"/>
        <v>0</v>
      </c>
      <c r="W29" s="1141">
        <f t="shared" si="6"/>
        <v>0</v>
      </c>
      <c r="X29" s="1117">
        <f t="shared" si="7"/>
        <v>-2</v>
      </c>
      <c r="Y29" s="1141" t="str">
        <f t="shared" si="8"/>
        <v>0</v>
      </c>
      <c r="Z29" s="1117"/>
      <c r="AA29" s="1118">
        <f t="shared" si="9"/>
        <v>0</v>
      </c>
      <c r="AB29" s="1144"/>
      <c r="AC29" s="1142">
        <v>6.0000000000000497E-2</v>
      </c>
      <c r="AD29" s="1145"/>
      <c r="AE29" s="907" t="s">
        <v>1234</v>
      </c>
      <c r="AF29" s="907" t="s">
        <v>1255</v>
      </c>
      <c r="AG29" s="1145"/>
      <c r="AH29" s="1145"/>
    </row>
    <row r="30" spans="1:34" ht="20.100000000000001" customHeight="1">
      <c r="A30" s="1256">
        <f t="shared" si="10"/>
        <v>25</v>
      </c>
      <c r="B30" s="1137" t="str">
        <f t="shared" si="1"/>
        <v>가도_A038~A042</v>
      </c>
      <c r="C30" s="1137" t="str">
        <f t="shared" si="2"/>
        <v>M1-039</v>
      </c>
      <c r="D30" s="1137">
        <f>VLOOKUP(C30,'맨홀 평균 높이'!$J$4:$L$513,2,0)</f>
        <v>3.53</v>
      </c>
      <c r="E30" s="1138">
        <f t="shared" si="3"/>
        <v>3.4699999999999998</v>
      </c>
      <c r="F30" s="1115"/>
      <c r="G30" s="1115"/>
      <c r="H30" s="1115"/>
      <c r="I30" s="1115"/>
      <c r="J30" s="1115"/>
      <c r="K30" s="1115"/>
      <c r="L30" s="1115"/>
      <c r="M30" s="1115"/>
      <c r="N30" s="1115"/>
      <c r="O30" s="1115"/>
      <c r="P30" s="1115"/>
      <c r="Q30" s="1115"/>
      <c r="R30" s="1115"/>
      <c r="S30" s="1115"/>
      <c r="T30" s="1115"/>
      <c r="U30" s="1140">
        <f t="shared" si="4"/>
        <v>3.4699999999999998</v>
      </c>
      <c r="V30" s="1141">
        <f t="shared" si="5"/>
        <v>0</v>
      </c>
      <c r="W30" s="1141">
        <f t="shared" si="6"/>
        <v>0</v>
      </c>
      <c r="X30" s="1117">
        <f t="shared" si="7"/>
        <v>-2</v>
      </c>
      <c r="Y30" s="1141" t="str">
        <f t="shared" si="8"/>
        <v>0</v>
      </c>
      <c r="Z30" s="1117"/>
      <c r="AA30" s="1118">
        <f t="shared" si="9"/>
        <v>0</v>
      </c>
      <c r="AB30" s="1119"/>
      <c r="AC30" s="1142">
        <v>6.999999999999984E-2</v>
      </c>
      <c r="AD30" s="917"/>
      <c r="AE30" s="907" t="s">
        <v>1257</v>
      </c>
      <c r="AF30" s="907" t="s">
        <v>1258</v>
      </c>
      <c r="AG30" s="917"/>
      <c r="AH30" s="917"/>
    </row>
    <row r="31" spans="1:34" ht="20.100000000000001" customHeight="1">
      <c r="A31" s="1256">
        <f t="shared" si="10"/>
        <v>26</v>
      </c>
      <c r="B31" s="1137" t="str">
        <f t="shared" si="1"/>
        <v>가도_A038~A042</v>
      </c>
      <c r="C31" s="1137" t="str">
        <f t="shared" si="2"/>
        <v>M1-040</v>
      </c>
      <c r="D31" s="1137">
        <f>VLOOKUP(C31,'맨홀 평균 높이'!$J$4:$L$513,2,0)</f>
        <v>3.23</v>
      </c>
      <c r="E31" s="1138">
        <f t="shared" si="3"/>
        <v>3.17</v>
      </c>
      <c r="F31" s="1115"/>
      <c r="G31" s="1115"/>
      <c r="H31" s="1115"/>
      <c r="I31" s="1115"/>
      <c r="J31" s="1115"/>
      <c r="K31" s="1115"/>
      <c r="L31" s="1115"/>
      <c r="M31" s="1115"/>
      <c r="N31" s="1115"/>
      <c r="O31" s="1115"/>
      <c r="P31" s="1115"/>
      <c r="Q31" s="1115"/>
      <c r="R31" s="1115"/>
      <c r="S31" s="1115"/>
      <c r="T31" s="1115"/>
      <c r="U31" s="1140">
        <f t="shared" si="4"/>
        <v>3.17</v>
      </c>
      <c r="V31" s="1141">
        <f t="shared" si="5"/>
        <v>0</v>
      </c>
      <c r="W31" s="1141">
        <f t="shared" si="6"/>
        <v>0</v>
      </c>
      <c r="X31" s="1117">
        <f t="shared" si="7"/>
        <v>-2</v>
      </c>
      <c r="Y31" s="1141" t="str">
        <f t="shared" si="8"/>
        <v>0</v>
      </c>
      <c r="Z31" s="1117"/>
      <c r="AA31" s="1118">
        <f t="shared" si="9"/>
        <v>0</v>
      </c>
      <c r="AB31" s="1119"/>
      <c r="AC31" s="1142">
        <v>6.999999999999984E-2</v>
      </c>
      <c r="AD31" s="917"/>
      <c r="AE31" s="907" t="s">
        <v>1257</v>
      </c>
      <c r="AF31" s="907" t="s">
        <v>1259</v>
      </c>
      <c r="AG31" s="917"/>
      <c r="AH31" s="917"/>
    </row>
    <row r="32" spans="1:34" ht="20.100000000000001" customHeight="1">
      <c r="A32" s="1256">
        <f t="shared" si="10"/>
        <v>27</v>
      </c>
      <c r="B32" s="1137" t="str">
        <f t="shared" si="1"/>
        <v>가도_A038~A042</v>
      </c>
      <c r="C32" s="1137" t="str">
        <f t="shared" si="2"/>
        <v>M1-041(1)</v>
      </c>
      <c r="D32" s="1137">
        <f>VLOOKUP(C32,'맨홀 평균 높이'!$J$4:$L$513,2,0)</f>
        <v>2.9</v>
      </c>
      <c r="E32" s="1138">
        <f t="shared" si="3"/>
        <v>2.84</v>
      </c>
      <c r="F32" s="1115"/>
      <c r="G32" s="1115"/>
      <c r="H32" s="1115"/>
      <c r="I32" s="1115"/>
      <c r="J32" s="1115"/>
      <c r="K32" s="1115"/>
      <c r="L32" s="1115"/>
      <c r="M32" s="1115"/>
      <c r="N32" s="1115"/>
      <c r="O32" s="1115"/>
      <c r="P32" s="1115"/>
      <c r="Q32" s="1115"/>
      <c r="R32" s="1115"/>
      <c r="S32" s="1115"/>
      <c r="T32" s="1115"/>
      <c r="U32" s="1140">
        <f t="shared" si="4"/>
        <v>2.84</v>
      </c>
      <c r="V32" s="1141">
        <f t="shared" si="5"/>
        <v>0</v>
      </c>
      <c r="W32" s="1141">
        <f t="shared" si="6"/>
        <v>0</v>
      </c>
      <c r="X32" s="1117">
        <f t="shared" si="7"/>
        <v>-2</v>
      </c>
      <c r="Y32" s="1141" t="str">
        <f t="shared" si="8"/>
        <v>0</v>
      </c>
      <c r="Z32" s="1117"/>
      <c r="AA32" s="1118">
        <f t="shared" si="9"/>
        <v>0</v>
      </c>
      <c r="AB32" s="1119"/>
      <c r="AC32" s="1142">
        <v>4.0000000000000036E-2</v>
      </c>
      <c r="AD32" s="917"/>
      <c r="AE32" s="907" t="s">
        <v>1257</v>
      </c>
      <c r="AF32" s="907" t="s">
        <v>1410</v>
      </c>
      <c r="AG32" s="917"/>
      <c r="AH32" s="917"/>
    </row>
    <row r="33" spans="1:34" ht="20.100000000000001" customHeight="1">
      <c r="A33" s="1256">
        <f t="shared" si="10"/>
        <v>28</v>
      </c>
      <c r="B33" s="1137" t="str">
        <f t="shared" si="1"/>
        <v>가도_A038~A042</v>
      </c>
      <c r="C33" s="1137" t="str">
        <f t="shared" si="2"/>
        <v>M1-041(2)</v>
      </c>
      <c r="D33" s="1137">
        <f>VLOOKUP(C33,'맨홀 평균 높이'!$J$4:$L$513,2,0)</f>
        <v>2.95</v>
      </c>
      <c r="E33" s="1138">
        <f t="shared" si="3"/>
        <v>2.89</v>
      </c>
      <c r="F33" s="1115"/>
      <c r="G33" s="1115"/>
      <c r="H33" s="1115"/>
      <c r="I33" s="1115"/>
      <c r="J33" s="1115"/>
      <c r="K33" s="1115"/>
      <c r="L33" s="1115"/>
      <c r="M33" s="1115"/>
      <c r="N33" s="1115"/>
      <c r="O33" s="1115"/>
      <c r="P33" s="1115"/>
      <c r="Q33" s="1115"/>
      <c r="R33" s="1115"/>
      <c r="S33" s="1115"/>
      <c r="T33" s="1115"/>
      <c r="U33" s="1140">
        <f t="shared" si="4"/>
        <v>2.89</v>
      </c>
      <c r="V33" s="1141">
        <f t="shared" si="5"/>
        <v>0</v>
      </c>
      <c r="W33" s="1141">
        <f t="shared" si="6"/>
        <v>0</v>
      </c>
      <c r="X33" s="1117">
        <f t="shared" si="7"/>
        <v>-2</v>
      </c>
      <c r="Y33" s="1141" t="str">
        <f t="shared" si="8"/>
        <v>0</v>
      </c>
      <c r="Z33" s="1117"/>
      <c r="AA33" s="1118">
        <f t="shared" si="9"/>
        <v>0</v>
      </c>
      <c r="AB33" s="1119"/>
      <c r="AC33" s="1142">
        <v>9.0000000000000302E-2</v>
      </c>
      <c r="AD33" s="917"/>
      <c r="AE33" s="907" t="s">
        <v>1257</v>
      </c>
      <c r="AF33" s="907" t="s">
        <v>1411</v>
      </c>
      <c r="AG33" s="917"/>
      <c r="AH33" s="917"/>
    </row>
    <row r="34" spans="1:34" ht="20.100000000000001" customHeight="1">
      <c r="A34" s="1256">
        <f t="shared" si="10"/>
        <v>29</v>
      </c>
      <c r="B34" s="1137" t="str">
        <f t="shared" si="1"/>
        <v>가도_A038~A042</v>
      </c>
      <c r="C34" s="1137" t="str">
        <f t="shared" si="2"/>
        <v>M1-041(3)</v>
      </c>
      <c r="D34" s="1137">
        <f>VLOOKUP(C34,'맨홀 평균 높이'!$J$4:$L$513,2,0)</f>
        <v>3.05</v>
      </c>
      <c r="E34" s="1138">
        <f t="shared" si="3"/>
        <v>2.9899999999999998</v>
      </c>
      <c r="F34" s="1115"/>
      <c r="G34" s="1115"/>
      <c r="H34" s="1115"/>
      <c r="I34" s="1115"/>
      <c r="J34" s="1115"/>
      <c r="K34" s="1115"/>
      <c r="L34" s="1115"/>
      <c r="M34" s="1115"/>
      <c r="N34" s="1115"/>
      <c r="O34" s="1115"/>
      <c r="P34" s="1115"/>
      <c r="Q34" s="1115"/>
      <c r="R34" s="1115"/>
      <c r="S34" s="1115"/>
      <c r="T34" s="1115"/>
      <c r="U34" s="1140">
        <f t="shared" si="4"/>
        <v>2.9899999999999998</v>
      </c>
      <c r="V34" s="1141">
        <f t="shared" si="5"/>
        <v>0</v>
      </c>
      <c r="W34" s="1141">
        <f t="shared" si="6"/>
        <v>0</v>
      </c>
      <c r="X34" s="1117">
        <f t="shared" si="7"/>
        <v>-2</v>
      </c>
      <c r="Y34" s="1141" t="str">
        <f t="shared" si="8"/>
        <v>0</v>
      </c>
      <c r="Z34" s="1117"/>
      <c r="AA34" s="1118">
        <f t="shared" si="9"/>
        <v>0</v>
      </c>
      <c r="AB34" s="1119"/>
      <c r="AC34" s="1142">
        <v>8.9999999999999858E-2</v>
      </c>
      <c r="AD34" s="917"/>
      <c r="AE34" s="907" t="s">
        <v>1257</v>
      </c>
      <c r="AF34" s="907" t="s">
        <v>1412</v>
      </c>
      <c r="AG34" s="917"/>
      <c r="AH34" s="917"/>
    </row>
    <row r="35" spans="1:34" ht="20.100000000000001" customHeight="1">
      <c r="A35" s="1256">
        <f t="shared" si="10"/>
        <v>30</v>
      </c>
      <c r="B35" s="1137" t="str">
        <f t="shared" si="1"/>
        <v>가도_A038~A042</v>
      </c>
      <c r="C35" s="1137" t="str">
        <f t="shared" si="2"/>
        <v>M1-043</v>
      </c>
      <c r="D35" s="1137">
        <f>VLOOKUP(C35,'맨홀 평균 높이'!$J$4:$L$513,2,0)</f>
        <v>3.93</v>
      </c>
      <c r="E35" s="1138">
        <f t="shared" si="3"/>
        <v>3.87</v>
      </c>
      <c r="F35" s="1115"/>
      <c r="G35" s="1115"/>
      <c r="H35" s="1115"/>
      <c r="I35" s="1115"/>
      <c r="J35" s="1115"/>
      <c r="K35" s="1115"/>
      <c r="L35" s="1115"/>
      <c r="M35" s="1115"/>
      <c r="N35" s="1115"/>
      <c r="O35" s="1115"/>
      <c r="P35" s="1115"/>
      <c r="Q35" s="1115"/>
      <c r="R35" s="1115"/>
      <c r="S35" s="1115"/>
      <c r="T35" s="1115"/>
      <c r="U35" s="1140">
        <f t="shared" si="4"/>
        <v>3.87</v>
      </c>
      <c r="V35" s="1141">
        <f t="shared" si="5"/>
        <v>0</v>
      </c>
      <c r="W35" s="1141">
        <f t="shared" si="6"/>
        <v>0</v>
      </c>
      <c r="X35" s="1117">
        <f t="shared" si="7"/>
        <v>-2</v>
      </c>
      <c r="Y35" s="1141" t="str">
        <f t="shared" si="8"/>
        <v>0</v>
      </c>
      <c r="Z35" s="1117"/>
      <c r="AA35" s="1118">
        <f t="shared" si="9"/>
        <v>0</v>
      </c>
      <c r="AB35" s="1119"/>
      <c r="AC35" s="1142">
        <v>7.0000000000000284E-2</v>
      </c>
      <c r="AD35" s="917"/>
      <c r="AE35" s="907" t="s">
        <v>1257</v>
      </c>
      <c r="AF35" s="907" t="s">
        <v>1260</v>
      </c>
      <c r="AG35" s="917"/>
      <c r="AH35" s="917"/>
    </row>
    <row r="36" spans="1:34" ht="20.100000000000001" customHeight="1">
      <c r="A36" s="1256">
        <f t="shared" si="10"/>
        <v>31</v>
      </c>
      <c r="B36" s="1137" t="str">
        <f t="shared" si="1"/>
        <v>소(국)2-어천2</v>
      </c>
      <c r="C36" s="1137" t="str">
        <f t="shared" si="2"/>
        <v>M1-058(1)</v>
      </c>
      <c r="D36" s="1137">
        <f>VLOOKUP(C36,'맨홀 평균 높이'!$J$4:$L$513,2,0)</f>
        <v>1.72</v>
      </c>
      <c r="E36" s="1138">
        <f t="shared" si="3"/>
        <v>1.66</v>
      </c>
      <c r="F36" s="1115"/>
      <c r="G36" s="1115"/>
      <c r="H36" s="1115"/>
      <c r="I36" s="1115"/>
      <c r="J36" s="1115"/>
      <c r="K36" s="1115"/>
      <c r="L36" s="1115"/>
      <c r="M36" s="1115"/>
      <c r="N36" s="1115"/>
      <c r="O36" s="1115"/>
      <c r="P36" s="1115"/>
      <c r="Q36" s="1115"/>
      <c r="R36" s="1115"/>
      <c r="S36" s="1115"/>
      <c r="T36" s="1115"/>
      <c r="U36" s="1140">
        <f t="shared" si="4"/>
        <v>1.66</v>
      </c>
      <c r="V36" s="1141">
        <f t="shared" si="5"/>
        <v>0</v>
      </c>
      <c r="W36" s="1141">
        <f t="shared" si="6"/>
        <v>0</v>
      </c>
      <c r="X36" s="1117">
        <f t="shared" si="7"/>
        <v>-2</v>
      </c>
      <c r="Y36" s="1141" t="str">
        <f t="shared" si="8"/>
        <v>0</v>
      </c>
      <c r="Z36" s="1117"/>
      <c r="AA36" s="1118">
        <f t="shared" si="9"/>
        <v>0</v>
      </c>
      <c r="AB36" s="1119"/>
      <c r="AC36" s="1142">
        <v>5.9999999999999831E-2</v>
      </c>
      <c r="AD36" s="917"/>
      <c r="AE36" s="907" t="s">
        <v>1265</v>
      </c>
      <c r="AF36" s="907" t="s">
        <v>1413</v>
      </c>
      <c r="AG36" s="917"/>
      <c r="AH36" s="917"/>
    </row>
    <row r="37" spans="1:34" ht="20.100000000000001" customHeight="1">
      <c r="A37" s="1256">
        <f t="shared" si="10"/>
        <v>32</v>
      </c>
      <c r="B37" s="1137" t="str">
        <f t="shared" si="1"/>
        <v>소(국)2-어천2</v>
      </c>
      <c r="C37" s="1137" t="str">
        <f t="shared" si="2"/>
        <v>M1-059(1)</v>
      </c>
      <c r="D37" s="1137">
        <f>VLOOKUP(C37,'맨홀 평균 높이'!$J$4:$L$513,2,0)</f>
        <v>2.0099999999999998</v>
      </c>
      <c r="E37" s="1138">
        <f t="shared" si="3"/>
        <v>1.9499999999999997</v>
      </c>
      <c r="F37" s="1115"/>
      <c r="G37" s="1115"/>
      <c r="H37" s="1115">
        <v>1</v>
      </c>
      <c r="I37" s="1115"/>
      <c r="J37" s="1115"/>
      <c r="K37" s="1115"/>
      <c r="L37" s="1115"/>
      <c r="M37" s="1115"/>
      <c r="N37" s="1115"/>
      <c r="O37" s="1115"/>
      <c r="P37" s="1115"/>
      <c r="Q37" s="1115">
        <v>1</v>
      </c>
      <c r="R37" s="1115"/>
      <c r="S37" s="1115"/>
      <c r="T37" s="1115"/>
      <c r="U37" s="1140">
        <f t="shared" si="4"/>
        <v>4.9999999999999822E-2</v>
      </c>
      <c r="V37" s="1141">
        <f t="shared" si="5"/>
        <v>4</v>
      </c>
      <c r="W37" s="1141">
        <f t="shared" si="6"/>
        <v>2</v>
      </c>
      <c r="X37" s="1117">
        <f t="shared" si="7"/>
        <v>4</v>
      </c>
      <c r="Y37" s="1141" t="str">
        <f t="shared" si="8"/>
        <v>0</v>
      </c>
      <c r="Z37" s="1117"/>
      <c r="AA37" s="1118">
        <f t="shared" si="9"/>
        <v>1.9</v>
      </c>
      <c r="AB37" s="1119"/>
      <c r="AC37" s="1142">
        <v>4.9999999999999822E-2</v>
      </c>
      <c r="AD37" s="917"/>
      <c r="AE37" s="907" t="s">
        <v>1265</v>
      </c>
      <c r="AF37" s="907" t="s">
        <v>1414</v>
      </c>
      <c r="AG37" s="917"/>
      <c r="AH37" s="917"/>
    </row>
    <row r="38" spans="1:34" ht="20.100000000000001" customHeight="1">
      <c r="A38" s="1256">
        <f t="shared" si="10"/>
        <v>33</v>
      </c>
      <c r="B38" s="1137" t="str">
        <f t="shared" si="1"/>
        <v>A074~A076(2)</v>
      </c>
      <c r="C38" s="1137" t="str">
        <f t="shared" si="2"/>
        <v>M1-067(2)</v>
      </c>
      <c r="D38" s="1137">
        <f>VLOOKUP(C38,'맨홀 평균 높이'!$J$4:$L$513,2,0)</f>
        <v>6.66</v>
      </c>
      <c r="E38" s="1138">
        <f t="shared" si="3"/>
        <v>6.6000000000000005</v>
      </c>
      <c r="F38" s="1115"/>
      <c r="G38" s="1115">
        <v>1</v>
      </c>
      <c r="H38" s="1115"/>
      <c r="I38" s="1115"/>
      <c r="J38" s="1115">
        <v>5</v>
      </c>
      <c r="K38" s="1115"/>
      <c r="L38" s="1115"/>
      <c r="M38" s="1115"/>
      <c r="N38" s="1115"/>
      <c r="O38" s="1115"/>
      <c r="P38" s="1115">
        <v>1</v>
      </c>
      <c r="Q38" s="1115"/>
      <c r="R38" s="1115"/>
      <c r="S38" s="1115"/>
      <c r="T38" s="1115"/>
      <c r="U38" s="1140">
        <f t="shared" si="4"/>
        <v>0</v>
      </c>
      <c r="V38" s="1141">
        <f t="shared" si="5"/>
        <v>24</v>
      </c>
      <c r="W38" s="1141">
        <f t="shared" si="6"/>
        <v>12</v>
      </c>
      <c r="X38" s="1117">
        <f t="shared" si="7"/>
        <v>20</v>
      </c>
      <c r="Y38" s="1141">
        <f t="shared" si="8"/>
        <v>2</v>
      </c>
      <c r="Z38" s="1117"/>
      <c r="AA38" s="1118">
        <f t="shared" si="9"/>
        <v>6.6</v>
      </c>
      <c r="AB38" s="1119"/>
      <c r="AC38" s="1142">
        <v>8.8817841970012523E-16</v>
      </c>
      <c r="AD38" s="917"/>
      <c r="AE38" s="907" t="s">
        <v>1338</v>
      </c>
      <c r="AF38" s="907" t="s">
        <v>1340</v>
      </c>
      <c r="AG38" s="917"/>
      <c r="AH38" s="917"/>
    </row>
    <row r="39" spans="1:34" ht="20.100000000000001" customHeight="1">
      <c r="A39" s="1256">
        <f t="shared" si="10"/>
        <v>34</v>
      </c>
      <c r="B39" s="1137" t="str">
        <f t="shared" si="1"/>
        <v>소(국)1-어천5</v>
      </c>
      <c r="C39" s="1137" t="str">
        <f t="shared" si="2"/>
        <v>M1-071</v>
      </c>
      <c r="D39" s="1137">
        <f>VLOOKUP(C39,'맨홀 평균 높이'!$J$4:$L$513,2,0)</f>
        <v>2.93</v>
      </c>
      <c r="E39" s="1138">
        <f t="shared" si="3"/>
        <v>2.87</v>
      </c>
      <c r="F39" s="1115"/>
      <c r="G39" s="1115">
        <v>1</v>
      </c>
      <c r="H39" s="1115"/>
      <c r="I39" s="1115"/>
      <c r="J39" s="1115">
        <v>1</v>
      </c>
      <c r="K39" s="1115"/>
      <c r="L39" s="1115"/>
      <c r="M39" s="1115"/>
      <c r="N39" s="1115"/>
      <c r="O39" s="1115"/>
      <c r="P39" s="1115"/>
      <c r="Q39" s="1115"/>
      <c r="R39" s="1115">
        <v>1</v>
      </c>
      <c r="S39" s="1115"/>
      <c r="T39" s="1115"/>
      <c r="U39" s="1140">
        <f t="shared" si="4"/>
        <v>7.0000000000000284E-2</v>
      </c>
      <c r="V39" s="1141">
        <f t="shared" si="5"/>
        <v>8</v>
      </c>
      <c r="W39" s="1141">
        <f t="shared" si="6"/>
        <v>4</v>
      </c>
      <c r="X39" s="1117">
        <f t="shared" si="7"/>
        <v>7</v>
      </c>
      <c r="Y39" s="1141" t="str">
        <f t="shared" si="8"/>
        <v>0</v>
      </c>
      <c r="Z39" s="1117"/>
      <c r="AA39" s="1118">
        <f t="shared" si="9"/>
        <v>2.8</v>
      </c>
      <c r="AB39" s="1119"/>
      <c r="AC39" s="1142">
        <v>7.0000000000000284E-2</v>
      </c>
      <c r="AD39" s="917"/>
      <c r="AE39" s="907" t="s">
        <v>1270</v>
      </c>
      <c r="AF39" s="907" t="s">
        <v>1271</v>
      </c>
      <c r="AG39" s="917"/>
      <c r="AH39" s="917"/>
    </row>
    <row r="40" spans="1:34" ht="20.100000000000001" customHeight="1">
      <c r="A40" s="1256">
        <f t="shared" si="10"/>
        <v>35</v>
      </c>
      <c r="B40" s="1137" t="str">
        <f t="shared" si="1"/>
        <v>소(국)1-어천5</v>
      </c>
      <c r="C40" s="1137" t="str">
        <f t="shared" si="2"/>
        <v>M1-072(2)</v>
      </c>
      <c r="D40" s="1137">
        <f>VLOOKUP(C40,'맨홀 평균 높이'!$J$4:$L$513,2,0)</f>
        <v>2.99</v>
      </c>
      <c r="E40" s="1138">
        <f t="shared" si="3"/>
        <v>2.93</v>
      </c>
      <c r="F40" s="1115"/>
      <c r="G40" s="1115">
        <v>1</v>
      </c>
      <c r="H40" s="1115"/>
      <c r="I40" s="1115"/>
      <c r="J40" s="1115">
        <v>1</v>
      </c>
      <c r="K40" s="1115"/>
      <c r="L40" s="1115"/>
      <c r="M40" s="1115"/>
      <c r="N40" s="1115"/>
      <c r="O40" s="1115"/>
      <c r="P40" s="1115"/>
      <c r="Q40" s="1115"/>
      <c r="R40" s="1115"/>
      <c r="S40" s="1115">
        <v>1</v>
      </c>
      <c r="T40" s="1115"/>
      <c r="U40" s="1140">
        <f t="shared" si="4"/>
        <v>3.0000000000000249E-2</v>
      </c>
      <c r="V40" s="1141">
        <f t="shared" si="5"/>
        <v>8</v>
      </c>
      <c r="W40" s="1141">
        <f t="shared" si="6"/>
        <v>4</v>
      </c>
      <c r="X40" s="1117">
        <f t="shared" si="7"/>
        <v>8</v>
      </c>
      <c r="Y40" s="1141" t="str">
        <f t="shared" si="8"/>
        <v>0</v>
      </c>
      <c r="Z40" s="1117"/>
      <c r="AA40" s="1118">
        <f t="shared" si="9"/>
        <v>2.9</v>
      </c>
      <c r="AB40" s="1119"/>
      <c r="AC40" s="1142">
        <v>3.0000000000000249E-2</v>
      </c>
      <c r="AD40" s="917"/>
      <c r="AE40" s="907" t="s">
        <v>1270</v>
      </c>
      <c r="AF40" s="907" t="s">
        <v>1415</v>
      </c>
      <c r="AG40" s="917"/>
      <c r="AH40" s="917"/>
    </row>
    <row r="41" spans="1:34" ht="20.100000000000001" customHeight="1">
      <c r="A41" s="1256">
        <f t="shared" si="10"/>
        <v>36</v>
      </c>
      <c r="B41" s="1137" t="str">
        <f t="shared" si="1"/>
        <v>소(국)1-어천5</v>
      </c>
      <c r="C41" s="1137" t="str">
        <f t="shared" si="2"/>
        <v>M1-072(3)</v>
      </c>
      <c r="D41" s="1137">
        <f>VLOOKUP(C41,'맨홀 평균 높이'!$J$4:$L$513,2,0)</f>
        <v>3.05</v>
      </c>
      <c r="E41" s="1138">
        <f t="shared" si="3"/>
        <v>2.9899999999999998</v>
      </c>
      <c r="F41" s="1115"/>
      <c r="G41" s="1115">
        <v>1</v>
      </c>
      <c r="H41" s="1115"/>
      <c r="I41" s="1115"/>
      <c r="J41" s="1115">
        <v>1</v>
      </c>
      <c r="K41" s="1115"/>
      <c r="L41" s="1115"/>
      <c r="M41" s="1115"/>
      <c r="N41" s="1115"/>
      <c r="O41" s="1115"/>
      <c r="P41" s="1115"/>
      <c r="Q41" s="1115"/>
      <c r="R41" s="1115"/>
      <c r="S41" s="1115">
        <v>1</v>
      </c>
      <c r="T41" s="1115"/>
      <c r="U41" s="1140">
        <f t="shared" si="4"/>
        <v>8.9999999999999858E-2</v>
      </c>
      <c r="V41" s="1141">
        <f t="shared" si="5"/>
        <v>8</v>
      </c>
      <c r="W41" s="1141">
        <f t="shared" si="6"/>
        <v>4</v>
      </c>
      <c r="X41" s="1117">
        <f t="shared" si="7"/>
        <v>8</v>
      </c>
      <c r="Y41" s="1141" t="str">
        <f t="shared" si="8"/>
        <v>0</v>
      </c>
      <c r="Z41" s="1117"/>
      <c r="AA41" s="1118">
        <f t="shared" si="9"/>
        <v>2.9</v>
      </c>
      <c r="AB41" s="1119"/>
      <c r="AC41" s="1142">
        <v>8.9999999999999858E-2</v>
      </c>
      <c r="AD41" s="917"/>
      <c r="AE41" s="907" t="s">
        <v>1270</v>
      </c>
      <c r="AF41" s="907" t="s">
        <v>1416</v>
      </c>
      <c r="AG41" s="917"/>
      <c r="AH41" s="917"/>
    </row>
    <row r="42" spans="1:34" ht="20.100000000000001" customHeight="1">
      <c r="A42" s="1256">
        <f t="shared" si="10"/>
        <v>37</v>
      </c>
      <c r="B42" s="1137" t="str">
        <f t="shared" si="1"/>
        <v>소(국)1-어천5</v>
      </c>
      <c r="C42" s="1137" t="str">
        <f t="shared" si="2"/>
        <v>M1-072(4)</v>
      </c>
      <c r="D42" s="1137">
        <f>VLOOKUP(C42,'맨홀 평균 높이'!$J$4:$L$513,2,0)</f>
        <v>3.12</v>
      </c>
      <c r="E42" s="1138">
        <f t="shared" si="3"/>
        <v>3.06</v>
      </c>
      <c r="F42" s="1115"/>
      <c r="G42" s="1115">
        <v>1</v>
      </c>
      <c r="H42" s="1115"/>
      <c r="I42" s="1115"/>
      <c r="J42" s="1115">
        <v>1</v>
      </c>
      <c r="K42" s="1115"/>
      <c r="L42" s="1115"/>
      <c r="M42" s="1115"/>
      <c r="N42" s="1115"/>
      <c r="O42" s="1115"/>
      <c r="P42" s="1115"/>
      <c r="Q42" s="1115"/>
      <c r="R42" s="1115"/>
      <c r="S42" s="1115"/>
      <c r="T42" s="1115">
        <v>1</v>
      </c>
      <c r="U42" s="1140">
        <f t="shared" si="4"/>
        <v>6.0000000000000053E-2</v>
      </c>
      <c r="V42" s="1141">
        <f t="shared" si="5"/>
        <v>8</v>
      </c>
      <c r="W42" s="1141">
        <f t="shared" si="6"/>
        <v>4</v>
      </c>
      <c r="X42" s="1117">
        <f t="shared" si="7"/>
        <v>8</v>
      </c>
      <c r="Y42" s="1141" t="str">
        <f t="shared" si="8"/>
        <v>0</v>
      </c>
      <c r="Z42" s="1117"/>
      <c r="AA42" s="1118">
        <f t="shared" si="9"/>
        <v>3</v>
      </c>
      <c r="AB42" s="1119"/>
      <c r="AC42" s="1142">
        <v>6.0000000000000053E-2</v>
      </c>
      <c r="AD42" s="917"/>
      <c r="AE42" s="907" t="s">
        <v>1270</v>
      </c>
      <c r="AF42" s="907" t="s">
        <v>1417</v>
      </c>
      <c r="AG42" s="917"/>
      <c r="AH42" s="917"/>
    </row>
    <row r="43" spans="1:34" ht="20.100000000000001" customHeight="1">
      <c r="A43" s="1256">
        <f t="shared" si="10"/>
        <v>38</v>
      </c>
      <c r="B43" s="1137" t="str">
        <f t="shared" si="1"/>
        <v>소(국)1-어천5</v>
      </c>
      <c r="C43" s="1137" t="str">
        <f t="shared" si="2"/>
        <v>M1-073(1)</v>
      </c>
      <c r="D43" s="1137">
        <f>VLOOKUP(C43,'맨홀 평균 높이'!$J$4:$L$513,2,0)</f>
        <v>3.3</v>
      </c>
      <c r="E43" s="1138">
        <f t="shared" si="3"/>
        <v>3.2399999999999998</v>
      </c>
      <c r="F43" s="1115"/>
      <c r="G43" s="1115"/>
      <c r="H43" s="1115">
        <v>1</v>
      </c>
      <c r="I43" s="1115"/>
      <c r="J43" s="1115">
        <v>1</v>
      </c>
      <c r="K43" s="1115"/>
      <c r="L43" s="1115"/>
      <c r="M43" s="1115"/>
      <c r="N43" s="1115"/>
      <c r="O43" s="1115"/>
      <c r="P43" s="1115"/>
      <c r="Q43" s="1115"/>
      <c r="R43" s="1115"/>
      <c r="S43" s="1115"/>
      <c r="T43" s="1115">
        <v>1</v>
      </c>
      <c r="U43" s="1140">
        <f t="shared" si="4"/>
        <v>3.9999999999999591E-2</v>
      </c>
      <c r="V43" s="1141">
        <f t="shared" si="5"/>
        <v>8</v>
      </c>
      <c r="W43" s="1141">
        <f t="shared" si="6"/>
        <v>4</v>
      </c>
      <c r="X43" s="1117">
        <f t="shared" si="7"/>
        <v>9</v>
      </c>
      <c r="Y43" s="1141" t="str">
        <f t="shared" si="8"/>
        <v>0</v>
      </c>
      <c r="Z43" s="1117"/>
      <c r="AA43" s="1118">
        <f t="shared" si="9"/>
        <v>3.2</v>
      </c>
      <c r="AB43" s="1119"/>
      <c r="AC43" s="1142">
        <v>3.9999999999999591E-2</v>
      </c>
      <c r="AD43" s="917"/>
      <c r="AE43" s="907" t="s">
        <v>1270</v>
      </c>
      <c r="AF43" s="907" t="s">
        <v>1418</v>
      </c>
      <c r="AG43" s="917"/>
      <c r="AH43" s="917"/>
    </row>
    <row r="44" spans="1:34" ht="20.100000000000001" customHeight="1">
      <c r="A44" s="1256">
        <f t="shared" si="10"/>
        <v>39</v>
      </c>
      <c r="B44" s="1137" t="str">
        <f t="shared" si="1"/>
        <v>소(국)1-어천5</v>
      </c>
      <c r="C44" s="1137" t="str">
        <f t="shared" si="2"/>
        <v>M1-073(2)</v>
      </c>
      <c r="D44" s="1137">
        <f>VLOOKUP(C44,'맨홀 평균 높이'!$J$4:$L$513,2,0)</f>
        <v>3.9</v>
      </c>
      <c r="E44" s="1138">
        <f t="shared" si="3"/>
        <v>3.84</v>
      </c>
      <c r="F44" s="1115"/>
      <c r="G44" s="1115">
        <v>1</v>
      </c>
      <c r="H44" s="1115"/>
      <c r="I44" s="1115"/>
      <c r="J44" s="1115">
        <v>2</v>
      </c>
      <c r="K44" s="1115"/>
      <c r="L44" s="1115"/>
      <c r="M44" s="1115"/>
      <c r="N44" s="1115"/>
      <c r="O44" s="1115"/>
      <c r="P44" s="1115"/>
      <c r="Q44" s="1115"/>
      <c r="R44" s="1115">
        <v>1</v>
      </c>
      <c r="S44" s="1115"/>
      <c r="T44" s="1115"/>
      <c r="U44" s="1140">
        <f t="shared" si="4"/>
        <v>4.0000000000000036E-2</v>
      </c>
      <c r="V44" s="1141">
        <f t="shared" si="5"/>
        <v>12</v>
      </c>
      <c r="W44" s="1141">
        <f t="shared" si="6"/>
        <v>6</v>
      </c>
      <c r="X44" s="1117">
        <f t="shared" si="7"/>
        <v>11</v>
      </c>
      <c r="Y44" s="1141" t="str">
        <f t="shared" si="8"/>
        <v>0</v>
      </c>
      <c r="Z44" s="1117"/>
      <c r="AA44" s="1118">
        <f t="shared" si="9"/>
        <v>3.8</v>
      </c>
      <c r="AB44" s="1119"/>
      <c r="AC44" s="1142">
        <v>4.0000000000000036E-2</v>
      </c>
      <c r="AD44" s="917"/>
      <c r="AE44" s="907" t="s">
        <v>1270</v>
      </c>
      <c r="AF44" s="907" t="s">
        <v>1419</v>
      </c>
      <c r="AG44" s="917"/>
      <c r="AH44" s="917"/>
    </row>
    <row r="45" spans="1:34" ht="20.100000000000001" customHeight="1">
      <c r="A45" s="1256">
        <f t="shared" si="10"/>
        <v>40</v>
      </c>
      <c r="B45" s="1137" t="str">
        <f t="shared" si="1"/>
        <v>소(국)1-어천5</v>
      </c>
      <c r="C45" s="1137" t="str">
        <f t="shared" si="2"/>
        <v>M1-073(3)</v>
      </c>
      <c r="D45" s="1137">
        <f>VLOOKUP(C45,'맨홀 평균 높이'!$J$4:$L$513,2,0)</f>
        <v>4.21</v>
      </c>
      <c r="E45" s="1138">
        <f t="shared" si="3"/>
        <v>4.1500000000000004</v>
      </c>
      <c r="F45" s="1115"/>
      <c r="G45" s="1115">
        <v>1</v>
      </c>
      <c r="H45" s="1115"/>
      <c r="I45" s="1115">
        <v>1</v>
      </c>
      <c r="J45" s="1115">
        <v>2</v>
      </c>
      <c r="K45" s="1115"/>
      <c r="L45" s="1115"/>
      <c r="M45" s="1115"/>
      <c r="N45" s="1115"/>
      <c r="O45" s="1115"/>
      <c r="P45" s="1115">
        <v>1</v>
      </c>
      <c r="Q45" s="1115"/>
      <c r="R45" s="1115"/>
      <c r="S45" s="1115"/>
      <c r="T45" s="1115"/>
      <c r="U45" s="1140">
        <f t="shared" si="4"/>
        <v>5.0000000000000711E-2</v>
      </c>
      <c r="V45" s="1141">
        <f t="shared" si="5"/>
        <v>16</v>
      </c>
      <c r="W45" s="1141">
        <f t="shared" si="6"/>
        <v>8</v>
      </c>
      <c r="X45" s="1117">
        <f t="shared" si="7"/>
        <v>12</v>
      </c>
      <c r="Y45" s="1141">
        <f t="shared" si="8"/>
        <v>1</v>
      </c>
      <c r="Z45" s="1117"/>
      <c r="AA45" s="1118">
        <f t="shared" si="9"/>
        <v>4.0999999999999996</v>
      </c>
      <c r="AB45" s="1119"/>
      <c r="AC45" s="1142">
        <v>5.0000000000000711E-2</v>
      </c>
      <c r="AD45" s="917"/>
      <c r="AE45" s="907" t="s">
        <v>1270</v>
      </c>
      <c r="AF45" s="907" t="s">
        <v>1420</v>
      </c>
      <c r="AG45" s="917"/>
      <c r="AH45" s="917"/>
    </row>
    <row r="46" spans="1:34" ht="20.100000000000001" customHeight="1">
      <c r="A46" s="1256">
        <f t="shared" si="10"/>
        <v>41</v>
      </c>
      <c r="B46" s="1137" t="str">
        <f t="shared" si="1"/>
        <v>소(국)1-어천5</v>
      </c>
      <c r="C46" s="1137" t="str">
        <f t="shared" si="2"/>
        <v>M1-073(4)</v>
      </c>
      <c r="D46" s="1137">
        <f>VLOOKUP(C46,'맨홀 평균 높이'!$J$4:$L$513,2,0)</f>
        <v>4.51</v>
      </c>
      <c r="E46" s="1138">
        <f t="shared" si="3"/>
        <v>4.45</v>
      </c>
      <c r="F46" s="1115"/>
      <c r="G46" s="1115">
        <v>1</v>
      </c>
      <c r="H46" s="1115"/>
      <c r="I46" s="1115">
        <v>1</v>
      </c>
      <c r="J46" s="1115">
        <v>2</v>
      </c>
      <c r="K46" s="1115"/>
      <c r="L46" s="1115"/>
      <c r="M46" s="1115"/>
      <c r="N46" s="1115"/>
      <c r="O46" s="1115"/>
      <c r="P46" s="1115"/>
      <c r="Q46" s="1115"/>
      <c r="R46" s="1115"/>
      <c r="S46" s="1115">
        <v>1</v>
      </c>
      <c r="T46" s="1115"/>
      <c r="U46" s="1140">
        <f t="shared" si="4"/>
        <v>4.9999999999999822E-2</v>
      </c>
      <c r="V46" s="1141">
        <f t="shared" si="5"/>
        <v>16</v>
      </c>
      <c r="W46" s="1141">
        <f t="shared" si="6"/>
        <v>8</v>
      </c>
      <c r="X46" s="1117">
        <f t="shared" si="7"/>
        <v>13</v>
      </c>
      <c r="Y46" s="1141">
        <f t="shared" si="8"/>
        <v>1</v>
      </c>
      <c r="Z46" s="1117"/>
      <c r="AA46" s="1118">
        <f t="shared" si="9"/>
        <v>4.4000000000000004</v>
      </c>
      <c r="AB46" s="1119"/>
      <c r="AC46" s="1142">
        <v>4.9999999999999822E-2</v>
      </c>
      <c r="AD46" s="917"/>
      <c r="AE46" s="907" t="s">
        <v>1270</v>
      </c>
      <c r="AF46" s="907" t="s">
        <v>1421</v>
      </c>
      <c r="AG46" s="917"/>
      <c r="AH46" s="917"/>
    </row>
    <row r="47" spans="1:34" ht="20.100000000000001" customHeight="1">
      <c r="A47" s="1256">
        <f t="shared" si="10"/>
        <v>42</v>
      </c>
      <c r="B47" s="1137" t="str">
        <f t="shared" si="1"/>
        <v>소(국)1-어천5</v>
      </c>
      <c r="C47" s="1137" t="str">
        <f t="shared" si="2"/>
        <v>M1-074(1)</v>
      </c>
      <c r="D47" s="1137">
        <f>VLOOKUP(C47,'맨홀 평균 높이'!$J$4:$L$513,2,0)</f>
        <v>5.65</v>
      </c>
      <c r="E47" s="1138">
        <f t="shared" si="3"/>
        <v>5.5900000000000007</v>
      </c>
      <c r="F47" s="1115"/>
      <c r="G47" s="1115">
        <v>1</v>
      </c>
      <c r="H47" s="1115"/>
      <c r="I47" s="1115">
        <v>1</v>
      </c>
      <c r="J47" s="1115">
        <v>3</v>
      </c>
      <c r="K47" s="1115"/>
      <c r="L47" s="1115"/>
      <c r="M47" s="1115"/>
      <c r="N47" s="1115"/>
      <c r="O47" s="1115"/>
      <c r="P47" s="1115"/>
      <c r="Q47" s="1115"/>
      <c r="R47" s="1115"/>
      <c r="S47" s="1115"/>
      <c r="T47" s="1115">
        <v>1</v>
      </c>
      <c r="U47" s="1140">
        <f t="shared" si="4"/>
        <v>9.0000000000000746E-2</v>
      </c>
      <c r="V47" s="1141">
        <f t="shared" si="5"/>
        <v>20</v>
      </c>
      <c r="W47" s="1141">
        <f t="shared" si="6"/>
        <v>10</v>
      </c>
      <c r="X47" s="1117">
        <f t="shared" si="7"/>
        <v>16</v>
      </c>
      <c r="Y47" s="1141">
        <f t="shared" si="8"/>
        <v>1</v>
      </c>
      <c r="Z47" s="1117"/>
      <c r="AA47" s="1118">
        <f t="shared" si="9"/>
        <v>5.5</v>
      </c>
      <c r="AB47" s="1119"/>
      <c r="AC47" s="1142">
        <v>9.0000000000000746E-2</v>
      </c>
      <c r="AD47" s="917"/>
      <c r="AE47" s="907" t="s">
        <v>1270</v>
      </c>
      <c r="AF47" s="907" t="s">
        <v>1422</v>
      </c>
      <c r="AG47" s="917"/>
      <c r="AH47" s="917"/>
    </row>
    <row r="48" spans="1:34" ht="20.100000000000001" customHeight="1">
      <c r="A48" s="1256">
        <f t="shared" si="10"/>
        <v>43</v>
      </c>
      <c r="B48" s="1137" t="str">
        <f t="shared" si="1"/>
        <v>소(국)1-어천5</v>
      </c>
      <c r="C48" s="1137" t="str">
        <f t="shared" si="2"/>
        <v>M1-074(2)</v>
      </c>
      <c r="D48" s="1137">
        <f>VLOOKUP(C48,'맨홀 평균 높이'!$J$4:$L$513,2,0)</f>
        <v>6.23</v>
      </c>
      <c r="E48" s="1138">
        <f t="shared" si="3"/>
        <v>6.1700000000000008</v>
      </c>
      <c r="F48" s="1115"/>
      <c r="G48" s="1115">
        <v>1</v>
      </c>
      <c r="H48" s="1115"/>
      <c r="I48" s="1115">
        <v>1</v>
      </c>
      <c r="J48" s="1115">
        <v>4</v>
      </c>
      <c r="K48" s="1115"/>
      <c r="L48" s="1115"/>
      <c r="M48" s="1115"/>
      <c r="N48" s="1115"/>
      <c r="O48" s="1115"/>
      <c r="P48" s="1115">
        <v>1</v>
      </c>
      <c r="Q48" s="1115"/>
      <c r="R48" s="1115"/>
      <c r="S48" s="1115"/>
      <c r="T48" s="1115"/>
      <c r="U48" s="1140">
        <f t="shared" si="4"/>
        <v>7.0000000000001172E-2</v>
      </c>
      <c r="V48" s="1141">
        <f t="shared" si="5"/>
        <v>24</v>
      </c>
      <c r="W48" s="1141">
        <f t="shared" si="6"/>
        <v>12</v>
      </c>
      <c r="X48" s="1117">
        <f t="shared" si="7"/>
        <v>18</v>
      </c>
      <c r="Y48" s="1141">
        <f t="shared" si="8"/>
        <v>1</v>
      </c>
      <c r="Z48" s="1117"/>
      <c r="AA48" s="1118">
        <f t="shared" si="9"/>
        <v>6.1</v>
      </c>
      <c r="AB48" s="1119"/>
      <c r="AC48" s="1142">
        <v>7.0000000000001172E-2</v>
      </c>
      <c r="AD48" s="917"/>
      <c r="AE48" s="907" t="s">
        <v>1270</v>
      </c>
      <c r="AF48" s="907" t="s">
        <v>1423</v>
      </c>
      <c r="AG48" s="917"/>
      <c r="AH48" s="917"/>
    </row>
    <row r="49" spans="1:34" s="1146" customFormat="1" ht="20.100000000000001" customHeight="1">
      <c r="A49" s="1256">
        <f t="shared" si="10"/>
        <v>44</v>
      </c>
      <c r="B49" s="1137" t="str">
        <f t="shared" si="1"/>
        <v>소(국)1-어천5</v>
      </c>
      <c r="C49" s="1137" t="str">
        <f t="shared" si="2"/>
        <v>M1-074(3)</v>
      </c>
      <c r="D49" s="1137">
        <f>VLOOKUP(C49,'맨홀 평균 높이'!$J$4:$L$513,2,0)</f>
        <v>6.48</v>
      </c>
      <c r="E49" s="1138">
        <f t="shared" si="3"/>
        <v>6.4200000000000008</v>
      </c>
      <c r="F49" s="1115"/>
      <c r="G49" s="1115">
        <v>1</v>
      </c>
      <c r="H49" s="1115"/>
      <c r="I49" s="1115">
        <v>1</v>
      </c>
      <c r="J49" s="1115">
        <v>4</v>
      </c>
      <c r="K49" s="1115"/>
      <c r="L49" s="1115"/>
      <c r="M49" s="1115"/>
      <c r="N49" s="1115"/>
      <c r="O49" s="1115"/>
      <c r="P49" s="1115"/>
      <c r="Q49" s="1115"/>
      <c r="R49" s="1115"/>
      <c r="S49" s="1115">
        <v>1</v>
      </c>
      <c r="T49" s="1115"/>
      <c r="U49" s="1140">
        <f t="shared" si="4"/>
        <v>2.0000000000000462E-2</v>
      </c>
      <c r="V49" s="1141">
        <f t="shared" si="5"/>
        <v>24</v>
      </c>
      <c r="W49" s="1141">
        <f t="shared" si="6"/>
        <v>12</v>
      </c>
      <c r="X49" s="1117">
        <f t="shared" si="7"/>
        <v>19</v>
      </c>
      <c r="Y49" s="1141">
        <f t="shared" si="8"/>
        <v>1</v>
      </c>
      <c r="Z49" s="1117"/>
      <c r="AA49" s="1118">
        <f t="shared" si="9"/>
        <v>6.4</v>
      </c>
      <c r="AB49" s="1144"/>
      <c r="AC49" s="1142">
        <v>2.0000000000000462E-2</v>
      </c>
      <c r="AD49" s="1145"/>
      <c r="AE49" s="907" t="s">
        <v>1270</v>
      </c>
      <c r="AF49" s="907" t="s">
        <v>1424</v>
      </c>
      <c r="AG49" s="1145"/>
      <c r="AH49" s="1145"/>
    </row>
    <row r="50" spans="1:34" ht="20.100000000000001" customHeight="1">
      <c r="A50" s="1256">
        <f t="shared" si="10"/>
        <v>45</v>
      </c>
      <c r="B50" s="1137" t="str">
        <f t="shared" si="1"/>
        <v>소(국)1-어천5</v>
      </c>
      <c r="C50" s="1137" t="str">
        <f t="shared" si="2"/>
        <v>M1-074(4)</v>
      </c>
      <c r="D50" s="1137">
        <f>VLOOKUP(C50,'맨홀 평균 높이'!$J$4:$L$513,2,0)</f>
        <v>6.74</v>
      </c>
      <c r="E50" s="1138">
        <f t="shared" si="3"/>
        <v>6.6800000000000006</v>
      </c>
      <c r="F50" s="1115"/>
      <c r="G50" s="1115">
        <v>1</v>
      </c>
      <c r="H50" s="1115"/>
      <c r="I50" s="1115"/>
      <c r="J50" s="1115">
        <v>5</v>
      </c>
      <c r="K50" s="1115"/>
      <c r="L50" s="1115"/>
      <c r="M50" s="1115"/>
      <c r="N50" s="1115"/>
      <c r="O50" s="1115"/>
      <c r="P50" s="1115">
        <v>1</v>
      </c>
      <c r="Q50" s="1115"/>
      <c r="R50" s="1115"/>
      <c r="S50" s="1115"/>
      <c r="T50" s="1115"/>
      <c r="U50" s="1140">
        <f t="shared" si="4"/>
        <v>8.0000000000000959E-2</v>
      </c>
      <c r="V50" s="1141">
        <f t="shared" si="5"/>
        <v>24</v>
      </c>
      <c r="W50" s="1141">
        <f t="shared" si="6"/>
        <v>12</v>
      </c>
      <c r="X50" s="1117">
        <f t="shared" si="7"/>
        <v>20</v>
      </c>
      <c r="Y50" s="1141">
        <f t="shared" si="8"/>
        <v>2</v>
      </c>
      <c r="Z50" s="1117"/>
      <c r="AA50" s="1118">
        <f t="shared" si="9"/>
        <v>6.6</v>
      </c>
      <c r="AB50" s="1119"/>
      <c r="AC50" s="1142">
        <v>8.0000000000000959E-2</v>
      </c>
      <c r="AD50" s="917"/>
      <c r="AE50" s="907" t="s">
        <v>1270</v>
      </c>
      <c r="AF50" s="907" t="s">
        <v>1425</v>
      </c>
      <c r="AG50" s="917"/>
      <c r="AH50" s="917"/>
    </row>
    <row r="51" spans="1:34" ht="20.100000000000001" customHeight="1">
      <c r="A51" s="1256">
        <f t="shared" si="10"/>
        <v>46</v>
      </c>
      <c r="B51" s="1137" t="str">
        <f t="shared" si="1"/>
        <v>소(국)1-어천5</v>
      </c>
      <c r="C51" s="1137" t="str">
        <f t="shared" si="2"/>
        <v>M1-074(5)</v>
      </c>
      <c r="D51" s="1137">
        <f>VLOOKUP(C51,'맨홀 평균 높이'!$J$4:$L$513,2,0)</f>
        <v>6.99</v>
      </c>
      <c r="E51" s="1138">
        <f t="shared" si="3"/>
        <v>6.9300000000000006</v>
      </c>
      <c r="F51" s="1115"/>
      <c r="G51" s="1115">
        <v>1</v>
      </c>
      <c r="H51" s="1115"/>
      <c r="I51" s="1115"/>
      <c r="J51" s="1115">
        <v>5</v>
      </c>
      <c r="K51" s="1115"/>
      <c r="L51" s="1115"/>
      <c r="M51" s="1115"/>
      <c r="N51" s="1115"/>
      <c r="O51" s="1115"/>
      <c r="P51" s="1115"/>
      <c r="Q51" s="1115"/>
      <c r="R51" s="1115"/>
      <c r="S51" s="1115">
        <v>1</v>
      </c>
      <c r="T51" s="1115"/>
      <c r="U51" s="1140">
        <f t="shared" si="4"/>
        <v>3.0000000000000249E-2</v>
      </c>
      <c r="V51" s="1141">
        <f t="shared" si="5"/>
        <v>24</v>
      </c>
      <c r="W51" s="1141">
        <f t="shared" si="6"/>
        <v>12</v>
      </c>
      <c r="X51" s="1117">
        <f t="shared" si="7"/>
        <v>21</v>
      </c>
      <c r="Y51" s="1141">
        <f t="shared" si="8"/>
        <v>2</v>
      </c>
      <c r="Z51" s="1117"/>
      <c r="AA51" s="1118">
        <f t="shared" si="9"/>
        <v>6.9</v>
      </c>
      <c r="AB51" s="1119"/>
      <c r="AC51" s="1142">
        <v>3.0000000000000249E-2</v>
      </c>
      <c r="AD51" s="917"/>
      <c r="AE51" s="907" t="s">
        <v>1270</v>
      </c>
      <c r="AF51" s="907" t="s">
        <v>1426</v>
      </c>
      <c r="AG51" s="917"/>
      <c r="AH51" s="917"/>
    </row>
    <row r="52" spans="1:34" ht="20.100000000000001" customHeight="1">
      <c r="A52" s="1256">
        <f t="shared" si="10"/>
        <v>47</v>
      </c>
      <c r="B52" s="1137" t="str">
        <f t="shared" si="1"/>
        <v>가도_A095~A100</v>
      </c>
      <c r="C52" s="1137" t="str">
        <f t="shared" si="2"/>
        <v>M1-085</v>
      </c>
      <c r="D52" s="1137">
        <f>VLOOKUP(C52,'맨홀 평균 높이'!$J$4:$L$513,2,0)</f>
        <v>3.96</v>
      </c>
      <c r="E52" s="1138">
        <f t="shared" si="3"/>
        <v>3.9</v>
      </c>
      <c r="F52" s="1115"/>
      <c r="G52" s="1115">
        <v>1</v>
      </c>
      <c r="H52" s="1115"/>
      <c r="I52" s="1115"/>
      <c r="J52" s="1115">
        <v>2</v>
      </c>
      <c r="K52" s="1115"/>
      <c r="L52" s="1115"/>
      <c r="M52" s="1115"/>
      <c r="N52" s="1115"/>
      <c r="O52" s="1115"/>
      <c r="P52" s="1115"/>
      <c r="Q52" s="1115"/>
      <c r="R52" s="1115"/>
      <c r="S52" s="1115">
        <v>1</v>
      </c>
      <c r="T52" s="1115"/>
      <c r="U52" s="1140">
        <f t="shared" si="4"/>
        <v>0</v>
      </c>
      <c r="V52" s="1141">
        <f t="shared" si="5"/>
        <v>12</v>
      </c>
      <c r="W52" s="1141">
        <f t="shared" si="6"/>
        <v>6</v>
      </c>
      <c r="X52" s="1117">
        <f t="shared" si="7"/>
        <v>11</v>
      </c>
      <c r="Y52" s="1141" t="str">
        <f t="shared" si="8"/>
        <v>0</v>
      </c>
      <c r="Z52" s="1117"/>
      <c r="AA52" s="1118">
        <f t="shared" si="9"/>
        <v>3.9</v>
      </c>
      <c r="AB52" s="1119"/>
      <c r="AC52" s="1142">
        <v>0</v>
      </c>
      <c r="AD52" s="917"/>
      <c r="AE52" s="907" t="s">
        <v>1280</v>
      </c>
      <c r="AF52" s="907" t="s">
        <v>1281</v>
      </c>
      <c r="AG52" s="917"/>
      <c r="AH52" s="917"/>
    </row>
    <row r="53" spans="1:34" ht="20.100000000000001" customHeight="1">
      <c r="A53" s="1256">
        <f t="shared" si="10"/>
        <v>48</v>
      </c>
      <c r="B53" s="1137" t="str">
        <f t="shared" si="1"/>
        <v>가도_A095~A100</v>
      </c>
      <c r="C53" s="1137" t="str">
        <f t="shared" si="2"/>
        <v>M1-089</v>
      </c>
      <c r="D53" s="1137">
        <f>VLOOKUP(C53,'맨홀 평균 높이'!$J$4:$L$513,2,0)</f>
        <v>4.17</v>
      </c>
      <c r="E53" s="1138">
        <f t="shared" si="3"/>
        <v>4.1100000000000003</v>
      </c>
      <c r="F53" s="1115"/>
      <c r="G53" s="1115">
        <v>1</v>
      </c>
      <c r="H53" s="1115"/>
      <c r="I53" s="1115">
        <v>1</v>
      </c>
      <c r="J53" s="1115">
        <v>2</v>
      </c>
      <c r="K53" s="1115"/>
      <c r="L53" s="1115"/>
      <c r="M53" s="1115"/>
      <c r="N53" s="1115"/>
      <c r="O53" s="1115"/>
      <c r="P53" s="1115">
        <v>1</v>
      </c>
      <c r="Q53" s="1115"/>
      <c r="R53" s="1115"/>
      <c r="S53" s="1115"/>
      <c r="T53" s="1115"/>
      <c r="U53" s="1140">
        <f t="shared" si="4"/>
        <v>1.0000000000000675E-2</v>
      </c>
      <c r="V53" s="1141">
        <f t="shared" si="5"/>
        <v>16</v>
      </c>
      <c r="W53" s="1141">
        <f t="shared" si="6"/>
        <v>8</v>
      </c>
      <c r="X53" s="1117">
        <f t="shared" si="7"/>
        <v>12</v>
      </c>
      <c r="Y53" s="1141">
        <f t="shared" si="8"/>
        <v>1</v>
      </c>
      <c r="Z53" s="1117"/>
      <c r="AA53" s="1118">
        <f t="shared" si="9"/>
        <v>4.0999999999999996</v>
      </c>
      <c r="AB53" s="1119"/>
      <c r="AC53" s="1142">
        <v>1.0000000000000675E-2</v>
      </c>
      <c r="AD53" s="917"/>
      <c r="AE53" s="907" t="s">
        <v>1280</v>
      </c>
      <c r="AF53" s="907" t="s">
        <v>1282</v>
      </c>
      <c r="AG53" s="917"/>
      <c r="AH53" s="917"/>
    </row>
    <row r="54" spans="1:34" ht="20.100000000000001" customHeight="1">
      <c r="A54" s="1256">
        <f t="shared" si="10"/>
        <v>49</v>
      </c>
      <c r="B54" s="1137" t="str">
        <f t="shared" si="1"/>
        <v>가도_A095~A100</v>
      </c>
      <c r="C54" s="1137" t="str">
        <f t="shared" si="2"/>
        <v>M1-090</v>
      </c>
      <c r="D54" s="1137">
        <f>VLOOKUP(C54,'맨홀 평균 높이'!$J$4:$L$513,2,0)</f>
        <v>7.43</v>
      </c>
      <c r="E54" s="1138">
        <f t="shared" si="3"/>
        <v>7.37</v>
      </c>
      <c r="F54" s="1115"/>
      <c r="G54" s="1115">
        <v>1</v>
      </c>
      <c r="H54" s="1115"/>
      <c r="I54" s="1115"/>
      <c r="J54" s="1115">
        <v>6</v>
      </c>
      <c r="K54" s="1115"/>
      <c r="L54" s="1115"/>
      <c r="M54" s="1115">
        <v>1</v>
      </c>
      <c r="N54" s="1115"/>
      <c r="O54" s="1115"/>
      <c r="P54" s="1115"/>
      <c r="Q54" s="1115"/>
      <c r="R54" s="1115"/>
      <c r="S54" s="1115"/>
      <c r="T54" s="1115"/>
      <c r="U54" s="1140">
        <f t="shared" si="4"/>
        <v>7.0000000000000284E-2</v>
      </c>
      <c r="V54" s="1141">
        <f t="shared" si="5"/>
        <v>28</v>
      </c>
      <c r="W54" s="1141">
        <f t="shared" si="6"/>
        <v>14</v>
      </c>
      <c r="X54" s="1117">
        <f t="shared" si="7"/>
        <v>22</v>
      </c>
      <c r="Y54" s="1141">
        <f t="shared" si="8"/>
        <v>2</v>
      </c>
      <c r="Z54" s="1117"/>
      <c r="AA54" s="1118">
        <f t="shared" si="9"/>
        <v>7.3</v>
      </c>
      <c r="AB54" s="1119"/>
      <c r="AC54" s="1143">
        <v>0.96999999999999975</v>
      </c>
      <c r="AD54" s="917"/>
      <c r="AE54" s="907" t="s">
        <v>1280</v>
      </c>
      <c r="AF54" s="907" t="s">
        <v>1283</v>
      </c>
      <c r="AG54" s="917"/>
      <c r="AH54" s="917"/>
    </row>
    <row r="55" spans="1:34" ht="20.100000000000001" customHeight="1">
      <c r="A55" s="1256">
        <f t="shared" si="10"/>
        <v>50</v>
      </c>
      <c r="B55" s="1137" t="str">
        <f t="shared" si="1"/>
        <v>도시농업</v>
      </c>
      <c r="C55" s="1137" t="str">
        <f t="shared" si="2"/>
        <v>M1-101</v>
      </c>
      <c r="D55" s="1137">
        <f>VLOOKUP(C55,'맨홀 평균 높이'!$J$4:$L$513,2,0)</f>
        <v>2.08</v>
      </c>
      <c r="E55" s="1138">
        <f t="shared" si="3"/>
        <v>2.02</v>
      </c>
      <c r="F55" s="1115"/>
      <c r="G55" s="1115"/>
      <c r="H55" s="1115">
        <v>1</v>
      </c>
      <c r="I55" s="1115"/>
      <c r="J55" s="1115"/>
      <c r="K55" s="1115"/>
      <c r="L55" s="1115"/>
      <c r="M55" s="1115"/>
      <c r="N55" s="1115"/>
      <c r="O55" s="1115"/>
      <c r="P55" s="1115"/>
      <c r="Q55" s="1115"/>
      <c r="R55" s="1115">
        <v>1</v>
      </c>
      <c r="S55" s="1115"/>
      <c r="T55" s="1115"/>
      <c r="U55" s="1140">
        <f t="shared" si="4"/>
        <v>2.0000000000000018E-2</v>
      </c>
      <c r="V55" s="1141">
        <f t="shared" si="5"/>
        <v>4</v>
      </c>
      <c r="W55" s="1141">
        <f t="shared" si="6"/>
        <v>2</v>
      </c>
      <c r="X55" s="1117">
        <f t="shared" si="7"/>
        <v>5</v>
      </c>
      <c r="Y55" s="1141" t="str">
        <f t="shared" si="8"/>
        <v>0</v>
      </c>
      <c r="Z55" s="1117"/>
      <c r="AA55" s="1118">
        <f t="shared" si="9"/>
        <v>2</v>
      </c>
      <c r="AB55" s="1119"/>
      <c r="AC55" s="1142">
        <v>2.0000000000000018E-2</v>
      </c>
      <c r="AD55" s="917"/>
      <c r="AE55" s="907" t="s">
        <v>1290</v>
      </c>
      <c r="AF55" s="907" t="s">
        <v>535</v>
      </c>
      <c r="AG55" s="917"/>
      <c r="AH55" s="917"/>
    </row>
    <row r="56" spans="1:34" ht="20.100000000000001" customHeight="1">
      <c r="A56" s="1256">
        <f t="shared" si="10"/>
        <v>51</v>
      </c>
      <c r="B56" s="1137" t="str">
        <f t="shared" si="1"/>
        <v>도시농업</v>
      </c>
      <c r="C56" s="1137" t="str">
        <f t="shared" si="2"/>
        <v>M1-102</v>
      </c>
      <c r="D56" s="1137">
        <f>VLOOKUP(C56,'맨홀 평균 높이'!$J$4:$L$513,2,0)</f>
        <v>2.2799999999999998</v>
      </c>
      <c r="E56" s="1138">
        <f t="shared" si="3"/>
        <v>2.2199999999999998</v>
      </c>
      <c r="F56" s="1115"/>
      <c r="G56" s="1115"/>
      <c r="H56" s="1115">
        <v>1</v>
      </c>
      <c r="I56" s="1115"/>
      <c r="J56" s="1115"/>
      <c r="K56" s="1115"/>
      <c r="L56" s="1115"/>
      <c r="M56" s="1115"/>
      <c r="N56" s="1115"/>
      <c r="O56" s="1115"/>
      <c r="P56" s="1115"/>
      <c r="Q56" s="1115"/>
      <c r="R56" s="1115"/>
      <c r="S56" s="1115"/>
      <c r="T56" s="1115">
        <v>1</v>
      </c>
      <c r="U56" s="1140">
        <f t="shared" si="4"/>
        <v>1.9999999999999574E-2</v>
      </c>
      <c r="V56" s="1141">
        <f t="shared" si="5"/>
        <v>4</v>
      </c>
      <c r="W56" s="1141">
        <f t="shared" si="6"/>
        <v>2</v>
      </c>
      <c r="X56" s="1117">
        <f t="shared" si="7"/>
        <v>5</v>
      </c>
      <c r="Y56" s="1141" t="str">
        <f t="shared" si="8"/>
        <v>0</v>
      </c>
      <c r="Z56" s="1117"/>
      <c r="AA56" s="1118">
        <f t="shared" si="9"/>
        <v>2.2000000000000002</v>
      </c>
      <c r="AB56" s="1119"/>
      <c r="AC56" s="1142">
        <v>1.9999999999999574E-2</v>
      </c>
      <c r="AD56" s="917"/>
      <c r="AE56" s="907" t="s">
        <v>1290</v>
      </c>
      <c r="AF56" s="907" t="s">
        <v>536</v>
      </c>
      <c r="AG56" s="917"/>
      <c r="AH56" s="917"/>
    </row>
    <row r="57" spans="1:34" ht="20.100000000000001" customHeight="1">
      <c r="A57" s="1256">
        <f t="shared" si="10"/>
        <v>52</v>
      </c>
      <c r="B57" s="1137" t="str">
        <f t="shared" si="1"/>
        <v>도시농업</v>
      </c>
      <c r="C57" s="1137" t="str">
        <f t="shared" si="2"/>
        <v>M1-103</v>
      </c>
      <c r="D57" s="1137">
        <f>VLOOKUP(C57,'맨홀 평균 높이'!$J$4:$L$513,2,0)</f>
        <v>2.5099999999999998</v>
      </c>
      <c r="E57" s="1138">
        <f t="shared" si="3"/>
        <v>2.4499999999999997</v>
      </c>
      <c r="F57" s="1115"/>
      <c r="G57" s="1115">
        <v>1</v>
      </c>
      <c r="H57" s="1115"/>
      <c r="I57" s="1115">
        <v>1</v>
      </c>
      <c r="J57" s="1115"/>
      <c r="K57" s="1115"/>
      <c r="L57" s="1115"/>
      <c r="M57" s="1115"/>
      <c r="N57" s="1115"/>
      <c r="O57" s="1115"/>
      <c r="P57" s="1115"/>
      <c r="Q57" s="1115"/>
      <c r="R57" s="1115"/>
      <c r="S57" s="1115">
        <v>1</v>
      </c>
      <c r="T57" s="1115"/>
      <c r="U57" s="1140">
        <f t="shared" si="4"/>
        <v>4.9999999999999822E-2</v>
      </c>
      <c r="V57" s="1141">
        <f t="shared" si="5"/>
        <v>8</v>
      </c>
      <c r="W57" s="1141">
        <f t="shared" si="6"/>
        <v>4</v>
      </c>
      <c r="X57" s="1117">
        <f t="shared" si="7"/>
        <v>6</v>
      </c>
      <c r="Y57" s="1141" t="str">
        <f t="shared" si="8"/>
        <v>0</v>
      </c>
      <c r="Z57" s="1117"/>
      <c r="AA57" s="1118">
        <f>($F$4*F57)+($G$4*G57)+($H$4*H57)+($I$4*I57)+($J$4*J57)+($K$4*K57)+($L$4*L57)+($M$4*M57)+($N$4*N57)+($O$4*O57)+($P$4*P57)+($Q$4*Q57)+($R$4*R57)+($S$4*S57)+($T$4*T57)</f>
        <v>2.4</v>
      </c>
      <c r="AB57" s="1119"/>
      <c r="AC57" s="1142">
        <v>4.9999999999999822E-2</v>
      </c>
      <c r="AD57" s="917"/>
      <c r="AE57" s="907" t="s">
        <v>1290</v>
      </c>
      <c r="AF57" s="907" t="s">
        <v>426</v>
      </c>
      <c r="AG57" s="917"/>
      <c r="AH57" s="917"/>
    </row>
    <row r="58" spans="1:34" ht="20.100000000000001" customHeight="1">
      <c r="A58" s="1256">
        <f t="shared" si="10"/>
        <v>53</v>
      </c>
      <c r="B58" s="1137" t="str">
        <f t="shared" si="1"/>
        <v>소(국)2-어천9</v>
      </c>
      <c r="C58" s="1137" t="str">
        <f t="shared" si="2"/>
        <v>M1-110(1)</v>
      </c>
      <c r="D58" s="1137">
        <f>VLOOKUP(C58,'맨홀 평균 높이'!$J$4:$L$513,2,0)</f>
        <v>1.59</v>
      </c>
      <c r="E58" s="1138">
        <f t="shared" si="3"/>
        <v>1.53</v>
      </c>
      <c r="F58" s="1115"/>
      <c r="G58" s="1115"/>
      <c r="H58" s="1115">
        <v>1</v>
      </c>
      <c r="I58" s="1115"/>
      <c r="J58" s="1115"/>
      <c r="K58" s="1115"/>
      <c r="L58" s="1115"/>
      <c r="M58" s="1115">
        <v>1</v>
      </c>
      <c r="N58" s="1115"/>
      <c r="O58" s="1115"/>
      <c r="P58" s="1115"/>
      <c r="Q58" s="1115"/>
      <c r="R58" s="1115"/>
      <c r="S58" s="1115"/>
      <c r="T58" s="1115"/>
      <c r="U58" s="1140">
        <f t="shared" si="4"/>
        <v>3.0000000000000027E-2</v>
      </c>
      <c r="V58" s="1141">
        <f t="shared" si="5"/>
        <v>4</v>
      </c>
      <c r="W58" s="1141">
        <f t="shared" si="6"/>
        <v>2</v>
      </c>
      <c r="X58" s="1117">
        <f t="shared" si="7"/>
        <v>3</v>
      </c>
      <c r="Y58" s="1141" t="str">
        <f t="shared" si="8"/>
        <v>0</v>
      </c>
      <c r="Z58" s="1117"/>
      <c r="AA58" s="1118">
        <f>($F$4*F58)+($G$4*G58)+($H$4*H58)+($I$4*I58)+($J$4*J58)+($K$4*K58)+($L$4*L58)+($M$4*M58)+($N$4*N58)+($O$4*O58)+($P$4*P58)+($Q$4*Q58)+($R$4*R58)+($S$4*S58)+($T$4*T58)</f>
        <v>1.5</v>
      </c>
      <c r="AB58" s="1119"/>
      <c r="AC58" s="1142">
        <v>3.0000000000000027E-2</v>
      </c>
      <c r="AD58" s="917"/>
      <c r="AE58" s="907" t="s">
        <v>1293</v>
      </c>
      <c r="AF58" s="907" t="s">
        <v>1431</v>
      </c>
      <c r="AG58" s="917"/>
      <c r="AH58" s="917"/>
    </row>
    <row r="59" spans="1:34" ht="20.100000000000001" customHeight="1">
      <c r="A59" s="1256">
        <f t="shared" si="10"/>
        <v>54</v>
      </c>
      <c r="B59" s="1137" t="str">
        <f t="shared" si="1"/>
        <v>중(보)매송2-4</v>
      </c>
      <c r="C59" s="1137" t="str">
        <f t="shared" si="2"/>
        <v>M1-112</v>
      </c>
      <c r="D59" s="1137">
        <f>VLOOKUP(C59,'맨홀 평균 높이'!$J$4:$L$513,2,0)</f>
        <v>1.26</v>
      </c>
      <c r="E59" s="1138">
        <f t="shared" si="3"/>
        <v>1.2</v>
      </c>
      <c r="F59" s="1115"/>
      <c r="G59" s="1115">
        <v>1</v>
      </c>
      <c r="H59" s="1115"/>
      <c r="I59" s="1115"/>
      <c r="J59" s="1115"/>
      <c r="K59" s="1115">
        <v>1</v>
      </c>
      <c r="L59" s="1115"/>
      <c r="M59" s="1115"/>
      <c r="N59" s="1115"/>
      <c r="O59" s="1115"/>
      <c r="P59" s="1115"/>
      <c r="Q59" s="1115"/>
      <c r="R59" s="1115"/>
      <c r="S59" s="1115"/>
      <c r="T59" s="1115"/>
      <c r="U59" s="1140">
        <f t="shared" si="4"/>
        <v>0</v>
      </c>
      <c r="V59" s="1141">
        <f t="shared" si="5"/>
        <v>4</v>
      </c>
      <c r="W59" s="1141">
        <f t="shared" si="6"/>
        <v>2</v>
      </c>
      <c r="X59" s="1117">
        <f t="shared" si="7"/>
        <v>2</v>
      </c>
      <c r="Y59" s="1141" t="str">
        <f t="shared" si="8"/>
        <v>0</v>
      </c>
      <c r="Z59" s="1117"/>
      <c r="AA59" s="1118">
        <f>($F$4*F59)+($G$4*G59)+($H$4*H59)+($I$4*I59)+($J$4*J59)+($K$4*K59)+($L$4*L59)+($M$4*M59)+($N$4*N59)+($O$4*O59)+($P$4*P59)+($Q$4*Q59)+($R$4*R59)+($S$4*S59)+($T$4*T59)</f>
        <v>1.2</v>
      </c>
      <c r="AB59" s="1119"/>
      <c r="AC59" s="1142">
        <v>0</v>
      </c>
      <c r="AD59" s="917"/>
      <c r="AE59" s="907" t="s">
        <v>1294</v>
      </c>
      <c r="AF59" s="907" t="s">
        <v>424</v>
      </c>
      <c r="AG59" s="917"/>
      <c r="AH59" s="917"/>
    </row>
    <row r="60" spans="1:34" ht="20.100000000000001" customHeight="1">
      <c r="A60" s="1256">
        <f t="shared" si="10"/>
        <v>55</v>
      </c>
      <c r="B60" s="1137" t="str">
        <f t="shared" si="1"/>
        <v>중(보)매송2-4</v>
      </c>
      <c r="C60" s="1137" t="str">
        <f t="shared" si="2"/>
        <v>M1-114</v>
      </c>
      <c r="D60" s="1137">
        <f>VLOOKUP(C60,'맨홀 평균 높이'!$J$4:$L$513,2,0)</f>
        <v>1.54</v>
      </c>
      <c r="E60" s="1138">
        <f t="shared" si="3"/>
        <v>1.48</v>
      </c>
      <c r="F60" s="1115"/>
      <c r="G60" s="1115"/>
      <c r="H60" s="1115">
        <v>1</v>
      </c>
      <c r="I60" s="1115"/>
      <c r="J60" s="1115"/>
      <c r="K60" s="1115"/>
      <c r="L60" s="1115">
        <v>1</v>
      </c>
      <c r="M60" s="1115"/>
      <c r="N60" s="1115"/>
      <c r="O60" s="1115"/>
      <c r="P60" s="1115"/>
      <c r="Q60" s="1115"/>
      <c r="R60" s="1115"/>
      <c r="S60" s="1115"/>
      <c r="T60" s="1115"/>
      <c r="U60" s="1140">
        <f t="shared" si="4"/>
        <v>3.0000000000000027E-2</v>
      </c>
      <c r="V60" s="1141">
        <f t="shared" si="5"/>
        <v>4</v>
      </c>
      <c r="W60" s="1141">
        <f t="shared" si="6"/>
        <v>2</v>
      </c>
      <c r="X60" s="1117">
        <f t="shared" si="7"/>
        <v>3</v>
      </c>
      <c r="Y60" s="1141" t="str">
        <f t="shared" si="8"/>
        <v>0</v>
      </c>
      <c r="Z60" s="1117"/>
      <c r="AA60" s="1118">
        <f>($F$4*F60)+($G$4*G60)+($H$4*H60)+($I$4*I60)+($J$4*J60)+($K$4*K60)+($L$4*L60)+($M$4*M60)+($N$4*N60)+($O$4*O60)+($P$4*P60)+($Q$4*Q60)+($R$4*R60)+($S$4*S60)+($T$4*T60)</f>
        <v>1.45</v>
      </c>
      <c r="AB60" s="1119"/>
      <c r="AC60" s="1142">
        <v>3.0000000000000027E-2</v>
      </c>
      <c r="AD60" s="917"/>
      <c r="AE60" s="907" t="s">
        <v>1294</v>
      </c>
      <c r="AF60" s="907" t="s">
        <v>425</v>
      </c>
      <c r="AG60" s="917"/>
      <c r="AH60" s="917"/>
    </row>
    <row r="61" spans="1:34" ht="20.100000000000001" customHeight="1">
      <c r="A61" s="1256">
        <f t="shared" si="10"/>
        <v>56</v>
      </c>
      <c r="B61" s="1137" t="str">
        <f t="shared" si="1"/>
        <v>중(보)매송2-4</v>
      </c>
      <c r="C61" s="1137" t="str">
        <f t="shared" si="2"/>
        <v>M1-115</v>
      </c>
      <c r="D61" s="1137">
        <f>VLOOKUP(C61,'맨홀 평균 높이'!$J$4:$L$513,2,0)</f>
        <v>1.65</v>
      </c>
      <c r="E61" s="1138">
        <f t="shared" si="3"/>
        <v>1.5899999999999999</v>
      </c>
      <c r="F61" s="1115"/>
      <c r="G61" s="1115"/>
      <c r="H61" s="1115">
        <v>1</v>
      </c>
      <c r="I61" s="1115"/>
      <c r="J61" s="1115"/>
      <c r="K61" s="1115"/>
      <c r="L61" s="1115"/>
      <c r="M61" s="1115">
        <v>1</v>
      </c>
      <c r="N61" s="1115"/>
      <c r="O61" s="1115"/>
      <c r="P61" s="1115"/>
      <c r="Q61" s="1115"/>
      <c r="R61" s="1115"/>
      <c r="S61" s="1115"/>
      <c r="T61" s="1115"/>
      <c r="U61" s="1140">
        <f t="shared" si="4"/>
        <v>8.9999999999999858E-2</v>
      </c>
      <c r="V61" s="1141">
        <f t="shared" si="5"/>
        <v>4</v>
      </c>
      <c r="W61" s="1141">
        <f t="shared" si="6"/>
        <v>2</v>
      </c>
      <c r="X61" s="1117">
        <f t="shared" si="7"/>
        <v>3</v>
      </c>
      <c r="Y61" s="1141" t="str">
        <f t="shared" si="8"/>
        <v>0</v>
      </c>
      <c r="Z61" s="1117"/>
      <c r="AA61" s="1118">
        <f t="shared" ref="AA61:AA78" si="11">($F$4*F61)+($G$4*G61)+($H$4*H61)+($I$4*I61)+($J$4*J61)+($K$4*K61)+($L$4*L61)+($M$4*M61)+($N$4*N61)+($O$4*O61)+($P$4*P61)+($Q$4*Q61)+($R$4*R61)+($S$4*S61)+($T$4*T61)</f>
        <v>1.5</v>
      </c>
      <c r="AB61" s="1119"/>
      <c r="AC61" s="1142">
        <v>8.9999999999999858E-2</v>
      </c>
      <c r="AD61" s="917"/>
      <c r="AE61" s="907" t="s">
        <v>1294</v>
      </c>
      <c r="AF61" s="907" t="s">
        <v>943</v>
      </c>
      <c r="AG61" s="917"/>
      <c r="AH61" s="917"/>
    </row>
    <row r="62" spans="1:34" s="1146" customFormat="1" ht="20.100000000000001" customHeight="1">
      <c r="A62" s="1256">
        <f t="shared" si="10"/>
        <v>57</v>
      </c>
      <c r="B62" s="1137" t="str">
        <f t="shared" si="1"/>
        <v>중(보)매송2-4</v>
      </c>
      <c r="C62" s="1137" t="str">
        <f t="shared" si="2"/>
        <v>M1-116</v>
      </c>
      <c r="D62" s="1137">
        <f>VLOOKUP(C62,'맨홀 평균 높이'!$J$4:$L$513,2,0)</f>
        <v>2.3199999999999998</v>
      </c>
      <c r="E62" s="1138">
        <f t="shared" si="3"/>
        <v>2.2599999999999998</v>
      </c>
      <c r="F62" s="1115"/>
      <c r="G62" s="1115"/>
      <c r="H62" s="1115">
        <v>1</v>
      </c>
      <c r="I62" s="1115"/>
      <c r="J62" s="1115"/>
      <c r="K62" s="1115"/>
      <c r="L62" s="1115"/>
      <c r="M62" s="1115"/>
      <c r="N62" s="1115"/>
      <c r="O62" s="1115"/>
      <c r="P62" s="1115"/>
      <c r="Q62" s="1115"/>
      <c r="R62" s="1115"/>
      <c r="S62" s="1115"/>
      <c r="T62" s="1115">
        <v>1</v>
      </c>
      <c r="U62" s="1140">
        <f t="shared" si="4"/>
        <v>5.9999999999999609E-2</v>
      </c>
      <c r="V62" s="1141">
        <f t="shared" si="5"/>
        <v>4</v>
      </c>
      <c r="W62" s="1141">
        <f t="shared" si="6"/>
        <v>2</v>
      </c>
      <c r="X62" s="1117">
        <f t="shared" si="7"/>
        <v>5</v>
      </c>
      <c r="Y62" s="1141" t="str">
        <f t="shared" si="8"/>
        <v>0</v>
      </c>
      <c r="Z62" s="1117"/>
      <c r="AA62" s="1118">
        <f t="shared" si="11"/>
        <v>2.2000000000000002</v>
      </c>
      <c r="AB62" s="1119"/>
      <c r="AC62" s="1142">
        <v>5.9999999999999609E-2</v>
      </c>
      <c r="AD62" s="917"/>
      <c r="AE62" s="907" t="s">
        <v>1294</v>
      </c>
      <c r="AF62" s="907" t="s">
        <v>537</v>
      </c>
      <c r="AG62" s="1145"/>
      <c r="AH62" s="1145"/>
    </row>
    <row r="63" spans="1:34" ht="20.100000000000001" customHeight="1">
      <c r="A63" s="1256">
        <f t="shared" si="10"/>
        <v>58</v>
      </c>
      <c r="B63" s="1137" t="str">
        <f t="shared" si="1"/>
        <v>중(국)3-어천4</v>
      </c>
      <c r="C63" s="1137" t="str">
        <f t="shared" si="2"/>
        <v>M1-122</v>
      </c>
      <c r="D63" s="1137">
        <f>VLOOKUP(C63,'맨홀 평균 높이'!$J$4:$L$513,2,0)</f>
        <v>5.41</v>
      </c>
      <c r="E63" s="1138">
        <f t="shared" si="3"/>
        <v>5.3500000000000005</v>
      </c>
      <c r="F63" s="1115"/>
      <c r="G63" s="1115">
        <v>1</v>
      </c>
      <c r="H63" s="1115"/>
      <c r="I63" s="1115">
        <v>1</v>
      </c>
      <c r="J63" s="1115">
        <v>3</v>
      </c>
      <c r="K63" s="1115"/>
      <c r="L63" s="1115"/>
      <c r="M63" s="1115"/>
      <c r="N63" s="1115"/>
      <c r="O63" s="1115"/>
      <c r="P63" s="1115"/>
      <c r="Q63" s="1115"/>
      <c r="R63" s="1115">
        <v>1</v>
      </c>
      <c r="S63" s="1115"/>
      <c r="T63" s="1115"/>
      <c r="U63" s="1140">
        <f t="shared" si="4"/>
        <v>5.0000000000000711E-2</v>
      </c>
      <c r="V63" s="1141">
        <f t="shared" si="5"/>
        <v>20</v>
      </c>
      <c r="W63" s="1141">
        <f t="shared" si="6"/>
        <v>10</v>
      </c>
      <c r="X63" s="1117">
        <f t="shared" si="7"/>
        <v>16</v>
      </c>
      <c r="Y63" s="1141">
        <f t="shared" si="8"/>
        <v>1</v>
      </c>
      <c r="Z63" s="1117"/>
      <c r="AA63" s="1118">
        <f t="shared" si="11"/>
        <v>5.3</v>
      </c>
      <c r="AB63" s="1119"/>
      <c r="AC63" s="1142">
        <v>5.0000000000000711E-2</v>
      </c>
      <c r="AD63" s="917"/>
      <c r="AE63" s="907" t="s">
        <v>1295</v>
      </c>
      <c r="AF63" s="907" t="s">
        <v>1432</v>
      </c>
      <c r="AG63" s="917"/>
      <c r="AH63" s="917"/>
    </row>
    <row r="64" spans="1:34" ht="20.100000000000001" customHeight="1">
      <c r="A64" s="1256">
        <f t="shared" si="10"/>
        <v>59</v>
      </c>
      <c r="B64" s="1137" t="str">
        <f t="shared" si="1"/>
        <v>중(국)2-어천5</v>
      </c>
      <c r="C64" s="1137" t="str">
        <f t="shared" si="2"/>
        <v>M1-124(1)</v>
      </c>
      <c r="D64" s="1137">
        <f>VLOOKUP(C64,'맨홀 평균 높이'!$J$4:$L$513,2,0)</f>
        <v>1.48</v>
      </c>
      <c r="E64" s="1138">
        <f t="shared" si="3"/>
        <v>1.42</v>
      </c>
      <c r="F64" s="1115"/>
      <c r="G64" s="1115"/>
      <c r="H64" s="1115">
        <v>1</v>
      </c>
      <c r="I64" s="1115"/>
      <c r="J64" s="1115"/>
      <c r="K64" s="1115">
        <v>1</v>
      </c>
      <c r="L64" s="1115"/>
      <c r="M64" s="1115"/>
      <c r="N64" s="1115"/>
      <c r="O64" s="1115"/>
      <c r="P64" s="1115"/>
      <c r="Q64" s="1115"/>
      <c r="R64" s="1115"/>
      <c r="S64" s="1115"/>
      <c r="T64" s="1115"/>
      <c r="U64" s="1140">
        <f t="shared" si="4"/>
        <v>2.0000000000000018E-2</v>
      </c>
      <c r="V64" s="1141">
        <f t="shared" si="5"/>
        <v>4</v>
      </c>
      <c r="W64" s="1141">
        <f t="shared" si="6"/>
        <v>2</v>
      </c>
      <c r="X64" s="1117">
        <f t="shared" si="7"/>
        <v>3</v>
      </c>
      <c r="Y64" s="1141" t="str">
        <f t="shared" si="8"/>
        <v>0</v>
      </c>
      <c r="Z64" s="1117"/>
      <c r="AA64" s="1118">
        <f t="shared" si="11"/>
        <v>1.4</v>
      </c>
      <c r="AB64" s="1119"/>
      <c r="AC64" s="1142">
        <v>2.0000000000000018E-2</v>
      </c>
      <c r="AD64" s="917"/>
      <c r="AE64" s="907" t="s">
        <v>1296</v>
      </c>
      <c r="AF64" s="907" t="s">
        <v>1433</v>
      </c>
      <c r="AG64" s="917"/>
      <c r="AH64" s="917"/>
    </row>
    <row r="65" spans="1:34" ht="20.100000000000001" customHeight="1">
      <c r="A65" s="1256">
        <f t="shared" si="10"/>
        <v>60</v>
      </c>
      <c r="B65" s="1137" t="str">
        <f t="shared" si="1"/>
        <v>중(국)2-어천5</v>
      </c>
      <c r="C65" s="1137" t="str">
        <f t="shared" si="2"/>
        <v>M1-124(2)</v>
      </c>
      <c r="D65" s="1137">
        <f>VLOOKUP(C65,'맨홀 평균 높이'!$J$4:$L$513,2,0)</f>
        <v>1.47</v>
      </c>
      <c r="E65" s="1138">
        <f t="shared" si="3"/>
        <v>1.41</v>
      </c>
      <c r="F65" s="1115"/>
      <c r="G65" s="1115"/>
      <c r="H65" s="1115">
        <v>1</v>
      </c>
      <c r="I65" s="1115"/>
      <c r="J65" s="1115"/>
      <c r="K65" s="1115">
        <v>1</v>
      </c>
      <c r="L65" s="1115"/>
      <c r="M65" s="1115"/>
      <c r="N65" s="1115"/>
      <c r="O65" s="1115"/>
      <c r="P65" s="1115"/>
      <c r="Q65" s="1115"/>
      <c r="R65" s="1115"/>
      <c r="S65" s="1115"/>
      <c r="T65" s="1115"/>
      <c r="U65" s="1140">
        <f t="shared" si="4"/>
        <v>1.0000000000000009E-2</v>
      </c>
      <c r="V65" s="1141">
        <f t="shared" si="5"/>
        <v>4</v>
      </c>
      <c r="W65" s="1141">
        <f t="shared" si="6"/>
        <v>2</v>
      </c>
      <c r="X65" s="1117">
        <f t="shared" si="7"/>
        <v>3</v>
      </c>
      <c r="Y65" s="1141" t="str">
        <f t="shared" si="8"/>
        <v>0</v>
      </c>
      <c r="Z65" s="1117"/>
      <c r="AA65" s="1118">
        <f t="shared" si="11"/>
        <v>1.4</v>
      </c>
      <c r="AB65" s="1119"/>
      <c r="AC65" s="1142">
        <v>1.0000000000000009E-2</v>
      </c>
      <c r="AD65" s="917"/>
      <c r="AE65" s="907" t="s">
        <v>1296</v>
      </c>
      <c r="AF65" s="907" t="s">
        <v>1434</v>
      </c>
      <c r="AG65" s="917"/>
      <c r="AH65" s="917"/>
    </row>
    <row r="66" spans="1:34" ht="20.100000000000001" customHeight="1">
      <c r="A66" s="1256">
        <f t="shared" si="10"/>
        <v>61</v>
      </c>
      <c r="B66" s="1137" t="str">
        <f t="shared" si="1"/>
        <v>중(국)2-어천5</v>
      </c>
      <c r="C66" s="1137" t="str">
        <f t="shared" si="2"/>
        <v>M1-124(3)</v>
      </c>
      <c r="D66" s="1137">
        <f>VLOOKUP(C66,'맨홀 평균 높이'!$J$4:$L$513,2,0)</f>
        <v>1.47</v>
      </c>
      <c r="E66" s="1138">
        <f t="shared" si="3"/>
        <v>1.41</v>
      </c>
      <c r="F66" s="1115"/>
      <c r="G66" s="1115"/>
      <c r="H66" s="1115">
        <v>1</v>
      </c>
      <c r="I66" s="1115"/>
      <c r="J66" s="1115"/>
      <c r="K66" s="1115">
        <v>1</v>
      </c>
      <c r="L66" s="1115"/>
      <c r="M66" s="1115"/>
      <c r="N66" s="1115"/>
      <c r="O66" s="1115"/>
      <c r="P66" s="1115"/>
      <c r="Q66" s="1115"/>
      <c r="R66" s="1115"/>
      <c r="S66" s="1115"/>
      <c r="T66" s="1115"/>
      <c r="U66" s="1140">
        <f t="shared" si="4"/>
        <v>1.0000000000000009E-2</v>
      </c>
      <c r="V66" s="1141">
        <f t="shared" si="5"/>
        <v>4</v>
      </c>
      <c r="W66" s="1141">
        <f t="shared" si="6"/>
        <v>2</v>
      </c>
      <c r="X66" s="1117">
        <f t="shared" si="7"/>
        <v>3</v>
      </c>
      <c r="Y66" s="1141" t="str">
        <f t="shared" si="8"/>
        <v>0</v>
      </c>
      <c r="Z66" s="1117"/>
      <c r="AA66" s="1118">
        <f t="shared" si="11"/>
        <v>1.4</v>
      </c>
      <c r="AB66" s="1119"/>
      <c r="AC66" s="1142">
        <v>1.0000000000000009E-2</v>
      </c>
      <c r="AD66" s="917"/>
      <c r="AE66" s="907" t="s">
        <v>1296</v>
      </c>
      <c r="AF66" s="907" t="s">
        <v>1435</v>
      </c>
      <c r="AG66" s="917"/>
      <c r="AH66" s="917"/>
    </row>
    <row r="67" spans="1:34" ht="20.100000000000001" customHeight="1">
      <c r="A67" s="1256">
        <f t="shared" si="10"/>
        <v>62</v>
      </c>
      <c r="B67" s="1137" t="str">
        <f t="shared" si="1"/>
        <v>중(국)2-어천5</v>
      </c>
      <c r="C67" s="1137" t="str">
        <f t="shared" si="2"/>
        <v>M1-125(2)</v>
      </c>
      <c r="D67" s="1137">
        <f>VLOOKUP(C67,'맨홀 평균 높이'!$J$4:$L$513,2,0)</f>
        <v>1.75</v>
      </c>
      <c r="E67" s="1138">
        <f t="shared" si="3"/>
        <v>1.69</v>
      </c>
      <c r="F67" s="1115"/>
      <c r="G67" s="1115"/>
      <c r="H67" s="1115">
        <v>1</v>
      </c>
      <c r="I67" s="1115"/>
      <c r="J67" s="1115"/>
      <c r="K67" s="1115"/>
      <c r="L67" s="1115"/>
      <c r="M67" s="1115"/>
      <c r="N67" s="1115">
        <v>1</v>
      </c>
      <c r="O67" s="1115"/>
      <c r="P67" s="1115"/>
      <c r="Q67" s="1115"/>
      <c r="R67" s="1115"/>
      <c r="S67" s="1115"/>
      <c r="T67" s="1115"/>
      <c r="U67" s="1140">
        <f t="shared" si="4"/>
        <v>8.9999999999999858E-2</v>
      </c>
      <c r="V67" s="1141">
        <f t="shared" si="5"/>
        <v>4</v>
      </c>
      <c r="W67" s="1141">
        <f t="shared" si="6"/>
        <v>2</v>
      </c>
      <c r="X67" s="1117">
        <f t="shared" si="7"/>
        <v>3</v>
      </c>
      <c r="Y67" s="1141" t="str">
        <f t="shared" si="8"/>
        <v>0</v>
      </c>
      <c r="Z67" s="1117"/>
      <c r="AA67" s="1118">
        <f t="shared" si="11"/>
        <v>1.6</v>
      </c>
      <c r="AB67" s="1119"/>
      <c r="AC67" s="1142">
        <v>8.9999999999999858E-2</v>
      </c>
      <c r="AD67" s="917"/>
      <c r="AE67" s="907" t="s">
        <v>1296</v>
      </c>
      <c r="AF67" s="907" t="s">
        <v>1436</v>
      </c>
      <c r="AG67" s="917"/>
      <c r="AH67" s="917"/>
    </row>
    <row r="68" spans="1:34" ht="20.100000000000001" customHeight="1">
      <c r="A68" s="1256">
        <f t="shared" si="10"/>
        <v>63</v>
      </c>
      <c r="B68" s="1137" t="str">
        <f t="shared" si="1"/>
        <v>중(국)2-어천5</v>
      </c>
      <c r="C68" s="1137" t="str">
        <f t="shared" si="2"/>
        <v>M1-125(3)</v>
      </c>
      <c r="D68" s="1137">
        <f>VLOOKUP(C68,'맨홀 평균 높이'!$J$4:$L$513,2,0)</f>
        <v>2.06</v>
      </c>
      <c r="E68" s="1138">
        <f t="shared" si="3"/>
        <v>2</v>
      </c>
      <c r="F68" s="1115"/>
      <c r="G68" s="1115"/>
      <c r="H68" s="1115">
        <v>1</v>
      </c>
      <c r="I68" s="1115"/>
      <c r="J68" s="1115"/>
      <c r="K68" s="1115"/>
      <c r="L68" s="1115"/>
      <c r="M68" s="1115"/>
      <c r="N68" s="1115"/>
      <c r="O68" s="1115"/>
      <c r="P68" s="1115"/>
      <c r="Q68" s="1115"/>
      <c r="R68" s="1115">
        <v>1</v>
      </c>
      <c r="S68" s="1115"/>
      <c r="T68" s="1115"/>
      <c r="U68" s="1140">
        <f t="shared" si="4"/>
        <v>0</v>
      </c>
      <c r="V68" s="1141">
        <f t="shared" si="5"/>
        <v>4</v>
      </c>
      <c r="W68" s="1141">
        <f t="shared" si="6"/>
        <v>2</v>
      </c>
      <c r="X68" s="1117">
        <f t="shared" si="7"/>
        <v>5</v>
      </c>
      <c r="Y68" s="1141" t="str">
        <f t="shared" si="8"/>
        <v>0</v>
      </c>
      <c r="Z68" s="1117"/>
      <c r="AA68" s="1118">
        <f t="shared" si="11"/>
        <v>2</v>
      </c>
      <c r="AB68" s="1119"/>
      <c r="AC68" s="1142">
        <v>0</v>
      </c>
      <c r="AD68" s="917"/>
      <c r="AE68" s="907" t="s">
        <v>1296</v>
      </c>
      <c r="AF68" s="907" t="s">
        <v>1437</v>
      </c>
      <c r="AG68" s="917"/>
      <c r="AH68" s="917"/>
    </row>
    <row r="69" spans="1:34" ht="20.100000000000001" customHeight="1">
      <c r="A69" s="1256">
        <f t="shared" si="10"/>
        <v>64</v>
      </c>
      <c r="B69" s="1137" t="str">
        <f t="shared" ref="B69:B78" si="12">AE69</f>
        <v>중(국)2-어천5</v>
      </c>
      <c r="C69" s="1137" t="str">
        <f t="shared" ref="C69:C78" si="13">AF69</f>
        <v>M1-128</v>
      </c>
      <c r="D69" s="1137">
        <f>VLOOKUP(C69,'맨홀 평균 높이'!$J$4:$L$513,2,0)</f>
        <v>2.33</v>
      </c>
      <c r="E69" s="1138">
        <f t="shared" ref="E69:E78" si="14">D69-$AB$4</f>
        <v>2.27</v>
      </c>
      <c r="F69" s="1115"/>
      <c r="G69" s="1115"/>
      <c r="H69" s="1115">
        <v>1</v>
      </c>
      <c r="I69" s="1115"/>
      <c r="J69" s="1115"/>
      <c r="K69" s="1115"/>
      <c r="L69" s="1115"/>
      <c r="M69" s="1115"/>
      <c r="N69" s="1115"/>
      <c r="O69" s="1115"/>
      <c r="P69" s="1115"/>
      <c r="Q69" s="1115"/>
      <c r="R69" s="1115"/>
      <c r="S69" s="1115"/>
      <c r="T69" s="1115">
        <v>1</v>
      </c>
      <c r="U69" s="1140">
        <f t="shared" ref="U69:U78" si="15">E69-AA69</f>
        <v>6.999999999999984E-2</v>
      </c>
      <c r="V69" s="1141">
        <f t="shared" ref="V69:V78" si="16">SUM(F69:J69)*4</f>
        <v>4</v>
      </c>
      <c r="W69" s="1141">
        <f t="shared" ref="W69:W78" si="17">SUM(F69:J69)*2</f>
        <v>2</v>
      </c>
      <c r="X69" s="1117">
        <f t="shared" ref="X69:X78" si="18">ROUND(((E69-U69)-0.6)/0.3,0)</f>
        <v>5</v>
      </c>
      <c r="Y69" s="1141" t="str">
        <f t="shared" ref="Y69:Y78" si="19">IF(AA69&gt;=4,ROUND(((E69-U69)-0.6)/4,0),"0")</f>
        <v>0</v>
      </c>
      <c r="Z69" s="1117"/>
      <c r="AA69" s="1118">
        <f t="shared" si="11"/>
        <v>2.2000000000000002</v>
      </c>
      <c r="AB69" s="1119"/>
      <c r="AC69" s="1142">
        <v>6.999999999999984E-2</v>
      </c>
      <c r="AD69" s="917"/>
      <c r="AE69" s="907" t="s">
        <v>1296</v>
      </c>
      <c r="AF69" s="907" t="s">
        <v>429</v>
      </c>
      <c r="AG69" s="917"/>
      <c r="AH69" s="917"/>
    </row>
    <row r="70" spans="1:34" ht="20.100000000000001" customHeight="1">
      <c r="A70" s="1256">
        <f t="shared" si="10"/>
        <v>65</v>
      </c>
      <c r="B70" s="1137" t="str">
        <f t="shared" si="12"/>
        <v>중(국)2-어천3</v>
      </c>
      <c r="C70" s="1137" t="str">
        <f t="shared" si="13"/>
        <v>M1-131</v>
      </c>
      <c r="D70" s="1137">
        <f>VLOOKUP(C70,'맨홀 평균 높이'!$J$4:$L$513,2,0)</f>
        <v>2.41</v>
      </c>
      <c r="E70" s="1138">
        <f t="shared" si="14"/>
        <v>2.35</v>
      </c>
      <c r="F70" s="1115"/>
      <c r="G70" s="1115">
        <v>1</v>
      </c>
      <c r="H70" s="1115"/>
      <c r="I70" s="1115">
        <v>1</v>
      </c>
      <c r="J70" s="1115"/>
      <c r="K70" s="1115"/>
      <c r="L70" s="1115"/>
      <c r="M70" s="1115"/>
      <c r="N70" s="1115"/>
      <c r="O70" s="1115"/>
      <c r="P70" s="1115"/>
      <c r="Q70" s="1115"/>
      <c r="R70" s="1115">
        <v>1</v>
      </c>
      <c r="S70" s="1115"/>
      <c r="T70" s="1115"/>
      <c r="U70" s="1140">
        <f t="shared" si="15"/>
        <v>5.0000000000000266E-2</v>
      </c>
      <c r="V70" s="1141">
        <f t="shared" si="16"/>
        <v>8</v>
      </c>
      <c r="W70" s="1141">
        <f t="shared" si="17"/>
        <v>4</v>
      </c>
      <c r="X70" s="1117">
        <f t="shared" si="18"/>
        <v>6</v>
      </c>
      <c r="Y70" s="1141" t="str">
        <f t="shared" si="19"/>
        <v>0</v>
      </c>
      <c r="Z70" s="1117"/>
      <c r="AA70" s="1118">
        <f t="shared" si="11"/>
        <v>2.2999999999999998</v>
      </c>
      <c r="AB70" s="1119"/>
      <c r="AC70" s="1142">
        <v>5.0000000000000266E-2</v>
      </c>
      <c r="AD70" s="917"/>
      <c r="AE70" s="907" t="s">
        <v>1297</v>
      </c>
      <c r="AF70" s="907" t="s">
        <v>538</v>
      </c>
      <c r="AG70" s="917"/>
      <c r="AH70" s="917"/>
    </row>
    <row r="71" spans="1:34" ht="20.100000000000001" customHeight="1">
      <c r="A71" s="1256">
        <f t="shared" si="10"/>
        <v>66</v>
      </c>
      <c r="B71" s="1137" t="str">
        <f t="shared" si="12"/>
        <v>중(국)3-어천5</v>
      </c>
      <c r="C71" s="1137" t="str">
        <f t="shared" si="13"/>
        <v>M1-133</v>
      </c>
      <c r="D71" s="1137">
        <f>VLOOKUP(C71,'맨홀 평균 높이'!$J$4:$L$513,2,0)</f>
        <v>3.49</v>
      </c>
      <c r="E71" s="1138">
        <f t="shared" si="14"/>
        <v>3.43</v>
      </c>
      <c r="F71" s="1115"/>
      <c r="G71" s="1115">
        <v>1</v>
      </c>
      <c r="H71" s="1115"/>
      <c r="I71" s="1115">
        <v>1</v>
      </c>
      <c r="J71" s="1115">
        <v>1</v>
      </c>
      <c r="K71" s="1115"/>
      <c r="L71" s="1115"/>
      <c r="M71" s="1115"/>
      <c r="N71" s="1115"/>
      <c r="O71" s="1115"/>
      <c r="P71" s="1115"/>
      <c r="Q71" s="1115"/>
      <c r="R71" s="1115"/>
      <c r="S71" s="1115">
        <v>1</v>
      </c>
      <c r="T71" s="1115"/>
      <c r="U71" s="1140">
        <f t="shared" si="15"/>
        <v>3.0000000000000249E-2</v>
      </c>
      <c r="V71" s="1141">
        <f t="shared" si="16"/>
        <v>12</v>
      </c>
      <c r="W71" s="1141">
        <f t="shared" si="17"/>
        <v>6</v>
      </c>
      <c r="X71" s="1117">
        <f t="shared" si="18"/>
        <v>9</v>
      </c>
      <c r="Y71" s="1141" t="str">
        <f t="shared" si="19"/>
        <v>0</v>
      </c>
      <c r="Z71" s="1117"/>
      <c r="AA71" s="1118">
        <f t="shared" si="11"/>
        <v>3.4</v>
      </c>
      <c r="AB71" s="1119"/>
      <c r="AC71" s="1142">
        <v>3.0000000000000249E-2</v>
      </c>
      <c r="AD71" s="917"/>
      <c r="AE71" s="907" t="s">
        <v>1298</v>
      </c>
      <c r="AF71" s="907" t="s">
        <v>539</v>
      </c>
      <c r="AG71" s="917"/>
      <c r="AH71" s="917"/>
    </row>
    <row r="72" spans="1:34" ht="20.100000000000001" customHeight="1">
      <c r="A72" s="1256">
        <f t="shared" ref="A72:A78" si="20">A71+1</f>
        <v>67</v>
      </c>
      <c r="B72" s="1137" t="str">
        <f t="shared" si="12"/>
        <v>중(국)3-어천5</v>
      </c>
      <c r="C72" s="1137" t="str">
        <f t="shared" si="13"/>
        <v>M1-134</v>
      </c>
      <c r="D72" s="1137">
        <f>VLOOKUP(C72,'맨홀 평균 높이'!$J$4:$L$513,2,0)</f>
        <v>2.68</v>
      </c>
      <c r="E72" s="1138">
        <f t="shared" si="14"/>
        <v>2.62</v>
      </c>
      <c r="F72" s="1115"/>
      <c r="G72" s="1115">
        <v>1</v>
      </c>
      <c r="H72" s="1115"/>
      <c r="I72" s="1115"/>
      <c r="J72" s="1115">
        <v>1</v>
      </c>
      <c r="K72" s="1115"/>
      <c r="L72" s="1115"/>
      <c r="M72" s="1115"/>
      <c r="N72" s="1115"/>
      <c r="O72" s="1115"/>
      <c r="P72" s="1115">
        <v>1</v>
      </c>
      <c r="Q72" s="1115"/>
      <c r="R72" s="1115"/>
      <c r="S72" s="1115"/>
      <c r="T72" s="1115"/>
      <c r="U72" s="1140">
        <f t="shared" si="15"/>
        <v>2.0000000000000018E-2</v>
      </c>
      <c r="V72" s="1141">
        <f t="shared" si="16"/>
        <v>8</v>
      </c>
      <c r="W72" s="1141">
        <f t="shared" si="17"/>
        <v>4</v>
      </c>
      <c r="X72" s="1117">
        <f t="shared" si="18"/>
        <v>7</v>
      </c>
      <c r="Y72" s="1141" t="str">
        <f t="shared" si="19"/>
        <v>0</v>
      </c>
      <c r="Z72" s="1117"/>
      <c r="AA72" s="1118">
        <f t="shared" si="11"/>
        <v>2.6</v>
      </c>
      <c r="AB72" s="1119"/>
      <c r="AC72" s="1142">
        <v>2.0000000000000018E-2</v>
      </c>
      <c r="AD72" s="917"/>
      <c r="AE72" s="907" t="s">
        <v>1298</v>
      </c>
      <c r="AF72" s="907" t="s">
        <v>947</v>
      </c>
      <c r="AG72" s="917"/>
      <c r="AH72" s="917"/>
    </row>
    <row r="73" spans="1:34" ht="20.100000000000001" customHeight="1">
      <c r="A73" s="1256">
        <f t="shared" si="20"/>
        <v>68</v>
      </c>
      <c r="B73" s="1137" t="str">
        <f t="shared" si="12"/>
        <v>중(국)3-어천6</v>
      </c>
      <c r="C73" s="1137" t="str">
        <f t="shared" si="13"/>
        <v>M1-138</v>
      </c>
      <c r="D73" s="1137">
        <f>VLOOKUP(C73,'맨홀 평균 높이'!$J$4:$L$513,2,0)</f>
        <v>3.94</v>
      </c>
      <c r="E73" s="1138">
        <f t="shared" si="14"/>
        <v>3.88</v>
      </c>
      <c r="F73" s="1115"/>
      <c r="G73" s="1115">
        <v>1</v>
      </c>
      <c r="H73" s="1115"/>
      <c r="I73" s="1115"/>
      <c r="J73" s="1115">
        <v>2</v>
      </c>
      <c r="K73" s="1115"/>
      <c r="L73" s="1115"/>
      <c r="M73" s="1115"/>
      <c r="N73" s="1115"/>
      <c r="O73" s="1115"/>
      <c r="P73" s="1115"/>
      <c r="Q73" s="1115"/>
      <c r="R73" s="1115">
        <v>1</v>
      </c>
      <c r="S73" s="1115"/>
      <c r="T73" s="1115"/>
      <c r="U73" s="1140">
        <f t="shared" si="15"/>
        <v>8.0000000000000071E-2</v>
      </c>
      <c r="V73" s="1141">
        <f t="shared" si="16"/>
        <v>12</v>
      </c>
      <c r="W73" s="1141">
        <f t="shared" si="17"/>
        <v>6</v>
      </c>
      <c r="X73" s="1117">
        <f t="shared" si="18"/>
        <v>11</v>
      </c>
      <c r="Y73" s="1141" t="str">
        <f t="shared" si="19"/>
        <v>0</v>
      </c>
      <c r="Z73" s="1117"/>
      <c r="AA73" s="1118">
        <f t="shared" si="11"/>
        <v>3.8</v>
      </c>
      <c r="AB73" s="1119"/>
      <c r="AC73" s="1142">
        <v>8.0000000000000071E-2</v>
      </c>
      <c r="AD73" s="917"/>
      <c r="AE73" s="907" t="s">
        <v>1299</v>
      </c>
      <c r="AF73" s="907" t="s">
        <v>1301</v>
      </c>
      <c r="AG73" s="917"/>
      <c r="AH73" s="917"/>
    </row>
    <row r="74" spans="1:34" ht="20.100000000000001" customHeight="1">
      <c r="A74" s="1256">
        <f t="shared" si="20"/>
        <v>69</v>
      </c>
      <c r="B74" s="1137" t="str">
        <f t="shared" si="12"/>
        <v>중(국)3-어천4</v>
      </c>
      <c r="C74" s="1137" t="str">
        <f t="shared" si="13"/>
        <v>M1-151</v>
      </c>
      <c r="D74" s="1137">
        <f>VLOOKUP(C74,'맨홀 평균 높이'!$J$4:$L$513,2,0)</f>
        <v>6.08</v>
      </c>
      <c r="E74" s="1138">
        <f t="shared" si="14"/>
        <v>6.0200000000000005</v>
      </c>
      <c r="F74" s="1115"/>
      <c r="G74" s="1115">
        <v>1</v>
      </c>
      <c r="H74" s="1115"/>
      <c r="I74" s="1115"/>
      <c r="J74" s="1115">
        <v>4</v>
      </c>
      <c r="K74" s="1115"/>
      <c r="L74" s="1115"/>
      <c r="M74" s="1115"/>
      <c r="N74" s="1115"/>
      <c r="O74" s="1115"/>
      <c r="P74" s="1115"/>
      <c r="Q74" s="1115"/>
      <c r="R74" s="1115"/>
      <c r="S74" s="1115"/>
      <c r="T74" s="1115">
        <v>1</v>
      </c>
      <c r="U74" s="1140">
        <f t="shared" si="15"/>
        <v>2.0000000000000462E-2</v>
      </c>
      <c r="V74" s="1141">
        <f t="shared" si="16"/>
        <v>20</v>
      </c>
      <c r="W74" s="1141">
        <f t="shared" si="17"/>
        <v>10</v>
      </c>
      <c r="X74" s="1117">
        <f t="shared" si="18"/>
        <v>18</v>
      </c>
      <c r="Y74" s="1141">
        <f t="shared" si="19"/>
        <v>1</v>
      </c>
      <c r="Z74" s="1117"/>
      <c r="AA74" s="1118">
        <f t="shared" si="11"/>
        <v>6</v>
      </c>
      <c r="AB74" s="1119"/>
      <c r="AC74" s="1142">
        <v>2.0000000000000462E-2</v>
      </c>
      <c r="AD74" s="917"/>
      <c r="AE74" s="907" t="s">
        <v>1295</v>
      </c>
      <c r="AF74" s="907" t="s">
        <v>432</v>
      </c>
      <c r="AG74" s="917"/>
      <c r="AH74" s="917"/>
    </row>
    <row r="75" spans="1:34" ht="20.100000000000001" customHeight="1">
      <c r="A75" s="1256">
        <f t="shared" si="20"/>
        <v>70</v>
      </c>
      <c r="B75" s="1137" t="str">
        <f t="shared" si="12"/>
        <v>중(국)3-어천4</v>
      </c>
      <c r="C75" s="1137" t="str">
        <f t="shared" si="13"/>
        <v>M1-153</v>
      </c>
      <c r="D75" s="1137">
        <f>VLOOKUP(C75,'맨홀 평균 높이'!$J$4:$L$513,2,0)</f>
        <v>5.95</v>
      </c>
      <c r="E75" s="1138">
        <f t="shared" si="14"/>
        <v>5.8900000000000006</v>
      </c>
      <c r="F75" s="1115"/>
      <c r="G75" s="1115">
        <v>1</v>
      </c>
      <c r="H75" s="1115"/>
      <c r="I75" s="1115"/>
      <c r="J75" s="1115">
        <v>4</v>
      </c>
      <c r="K75" s="1115"/>
      <c r="L75" s="1115"/>
      <c r="M75" s="1115"/>
      <c r="N75" s="1115"/>
      <c r="O75" s="1115"/>
      <c r="P75" s="1115"/>
      <c r="Q75" s="1115"/>
      <c r="R75" s="1115">
        <v>1</v>
      </c>
      <c r="S75" s="1115"/>
      <c r="T75" s="1115"/>
      <c r="U75" s="1140">
        <f t="shared" si="15"/>
        <v>9.0000000000000746E-2</v>
      </c>
      <c r="V75" s="1141">
        <f t="shared" si="16"/>
        <v>20</v>
      </c>
      <c r="W75" s="1141">
        <f t="shared" si="17"/>
        <v>10</v>
      </c>
      <c r="X75" s="1117">
        <f t="shared" si="18"/>
        <v>17</v>
      </c>
      <c r="Y75" s="1141">
        <f t="shared" si="19"/>
        <v>1</v>
      </c>
      <c r="Z75" s="1117"/>
      <c r="AA75" s="1118">
        <f t="shared" si="11"/>
        <v>5.8</v>
      </c>
      <c r="AB75" s="1119"/>
      <c r="AC75" s="1142">
        <v>9.0000000000000746E-2</v>
      </c>
      <c r="AD75" s="917"/>
      <c r="AE75" s="907" t="s">
        <v>1295</v>
      </c>
      <c r="AF75" s="907" t="s">
        <v>431</v>
      </c>
      <c r="AG75" s="917"/>
      <c r="AH75" s="917"/>
    </row>
    <row r="76" spans="1:34" ht="20.100000000000001" customHeight="1">
      <c r="A76" s="1256">
        <f t="shared" si="20"/>
        <v>71</v>
      </c>
      <c r="B76" s="1137" t="str">
        <f t="shared" si="12"/>
        <v>중(국)2-어천3</v>
      </c>
      <c r="C76" s="1137" t="str">
        <f t="shared" si="13"/>
        <v>M1-156</v>
      </c>
      <c r="D76" s="1137">
        <f>VLOOKUP(C76,'맨홀 평균 높이'!$J$4:$L$513,2,0)</f>
        <v>2.69</v>
      </c>
      <c r="E76" s="1138">
        <f t="shared" si="14"/>
        <v>2.63</v>
      </c>
      <c r="F76" s="1115"/>
      <c r="G76" s="1115">
        <v>1</v>
      </c>
      <c r="H76" s="1115"/>
      <c r="I76" s="1115"/>
      <c r="J76" s="1115">
        <v>1</v>
      </c>
      <c r="K76" s="1115"/>
      <c r="L76" s="1115"/>
      <c r="M76" s="1115"/>
      <c r="N76" s="1115"/>
      <c r="O76" s="1115"/>
      <c r="P76" s="1115">
        <v>1</v>
      </c>
      <c r="Q76" s="1115"/>
      <c r="R76" s="1115"/>
      <c r="S76" s="1115"/>
      <c r="T76" s="1115"/>
      <c r="U76" s="1140">
        <f t="shared" si="15"/>
        <v>2.9999999999999805E-2</v>
      </c>
      <c r="V76" s="1141">
        <f t="shared" si="16"/>
        <v>8</v>
      </c>
      <c r="W76" s="1141">
        <f t="shared" si="17"/>
        <v>4</v>
      </c>
      <c r="X76" s="1117">
        <f t="shared" si="18"/>
        <v>7</v>
      </c>
      <c r="Y76" s="1141" t="str">
        <f t="shared" si="19"/>
        <v>0</v>
      </c>
      <c r="Z76" s="1117"/>
      <c r="AA76" s="1118">
        <f t="shared" si="11"/>
        <v>2.6</v>
      </c>
      <c r="AB76" s="1119"/>
      <c r="AC76" s="1142">
        <v>2.9999999999999805E-2</v>
      </c>
      <c r="AD76" s="917"/>
      <c r="AE76" s="907" t="s">
        <v>1297</v>
      </c>
      <c r="AF76" s="907" t="s">
        <v>1318</v>
      </c>
      <c r="AG76" s="917"/>
      <c r="AH76" s="917"/>
    </row>
    <row r="77" spans="1:34" ht="20.100000000000001" customHeight="1">
      <c r="A77" s="1256">
        <f t="shared" si="20"/>
        <v>72</v>
      </c>
      <c r="B77" s="1137" t="str">
        <f t="shared" si="12"/>
        <v>중(국)2-어천5</v>
      </c>
      <c r="C77" s="1137" t="str">
        <f t="shared" si="13"/>
        <v>M1-157</v>
      </c>
      <c r="D77" s="1137">
        <f>VLOOKUP(C77,'맨홀 평균 높이'!$J$4:$L$513,2,0)</f>
        <v>5.52</v>
      </c>
      <c r="E77" s="1138">
        <f t="shared" si="14"/>
        <v>5.46</v>
      </c>
      <c r="F77" s="1115"/>
      <c r="G77" s="1115">
        <v>1</v>
      </c>
      <c r="H77" s="1115"/>
      <c r="I77" s="1115">
        <v>1</v>
      </c>
      <c r="J77" s="1115">
        <v>3</v>
      </c>
      <c r="K77" s="1115"/>
      <c r="L77" s="1115"/>
      <c r="M77" s="1115"/>
      <c r="N77" s="1115"/>
      <c r="O77" s="1115"/>
      <c r="P77" s="1115"/>
      <c r="Q77" s="1115"/>
      <c r="R77" s="1115"/>
      <c r="S77" s="1115">
        <v>1</v>
      </c>
      <c r="T77" s="1115"/>
      <c r="U77" s="1140">
        <f t="shared" si="15"/>
        <v>5.9999999999999609E-2</v>
      </c>
      <c r="V77" s="1141">
        <f t="shared" si="16"/>
        <v>20</v>
      </c>
      <c r="W77" s="1141">
        <f t="shared" si="17"/>
        <v>10</v>
      </c>
      <c r="X77" s="1117">
        <f t="shared" si="18"/>
        <v>16</v>
      </c>
      <c r="Y77" s="1141">
        <f t="shared" si="19"/>
        <v>1</v>
      </c>
      <c r="Z77" s="1117"/>
      <c r="AA77" s="1118">
        <f t="shared" si="11"/>
        <v>5.4</v>
      </c>
      <c r="AB77" s="1119"/>
      <c r="AC77" s="1142">
        <v>5.9999999999999609E-2</v>
      </c>
      <c r="AD77" s="917"/>
      <c r="AE77" s="907" t="s">
        <v>1296</v>
      </c>
      <c r="AF77" s="907" t="s">
        <v>1319</v>
      </c>
      <c r="AG77" s="917"/>
      <c r="AH77" s="917"/>
    </row>
    <row r="78" spans="1:34" ht="20.100000000000001" customHeight="1">
      <c r="A78" s="1256">
        <f t="shared" si="20"/>
        <v>73</v>
      </c>
      <c r="B78" s="1137" t="str">
        <f t="shared" si="12"/>
        <v>중(국)2-어천5</v>
      </c>
      <c r="C78" s="1137" t="str">
        <f t="shared" si="13"/>
        <v>M1-158</v>
      </c>
      <c r="D78" s="1137">
        <f>VLOOKUP(C78,'맨홀 평균 높이'!$J$4:$L$513,2,0)</f>
        <v>6.12</v>
      </c>
      <c r="E78" s="1138">
        <f t="shared" si="14"/>
        <v>6.0600000000000005</v>
      </c>
      <c r="F78" s="1115"/>
      <c r="G78" s="1115">
        <v>1</v>
      </c>
      <c r="H78" s="1115"/>
      <c r="I78" s="1115"/>
      <c r="J78" s="1115">
        <v>4</v>
      </c>
      <c r="K78" s="1115"/>
      <c r="L78" s="1115"/>
      <c r="M78" s="1115"/>
      <c r="N78" s="1115"/>
      <c r="O78" s="1115"/>
      <c r="P78" s="1115"/>
      <c r="Q78" s="1115"/>
      <c r="R78" s="1115"/>
      <c r="S78" s="1115"/>
      <c r="T78" s="1115">
        <v>1</v>
      </c>
      <c r="U78" s="1140">
        <f t="shared" si="15"/>
        <v>6.0000000000000497E-2</v>
      </c>
      <c r="V78" s="1141">
        <f t="shared" si="16"/>
        <v>20</v>
      </c>
      <c r="W78" s="1141">
        <f t="shared" si="17"/>
        <v>10</v>
      </c>
      <c r="X78" s="1117">
        <f t="shared" si="18"/>
        <v>18</v>
      </c>
      <c r="Y78" s="1141">
        <f t="shared" si="19"/>
        <v>1</v>
      </c>
      <c r="Z78" s="1117"/>
      <c r="AA78" s="1118">
        <f t="shared" si="11"/>
        <v>6</v>
      </c>
      <c r="AB78" s="1119"/>
      <c r="AC78" s="1142">
        <v>6.0000000000000497E-2</v>
      </c>
      <c r="AD78" s="917"/>
      <c r="AE78" s="907" t="s">
        <v>1296</v>
      </c>
      <c r="AF78" s="907" t="s">
        <v>1320</v>
      </c>
      <c r="AG78" s="917"/>
      <c r="AH78" s="917"/>
    </row>
    <row r="79" spans="1:34" ht="20.100000000000001" hidden="1" customHeight="1">
      <c r="A79" s="1214"/>
      <c r="B79" s="1113"/>
      <c r="C79" s="1113"/>
      <c r="D79" s="1113"/>
      <c r="E79" s="1114"/>
      <c r="F79" s="1115"/>
      <c r="G79" s="1115"/>
      <c r="H79" s="1115"/>
      <c r="I79" s="1115"/>
      <c r="J79" s="1115"/>
      <c r="K79" s="1115"/>
      <c r="L79" s="1115"/>
      <c r="M79" s="1115"/>
      <c r="N79" s="1115"/>
      <c r="O79" s="1115"/>
      <c r="P79" s="1115"/>
      <c r="Q79" s="1115"/>
      <c r="R79" s="1115"/>
      <c r="S79" s="1115"/>
      <c r="T79" s="1115"/>
      <c r="U79" s="1116"/>
      <c r="V79" s="1117"/>
      <c r="W79" s="1117"/>
      <c r="X79" s="1117"/>
      <c r="Y79" s="1117"/>
      <c r="Z79" s="1117"/>
      <c r="AA79" s="1118"/>
      <c r="AB79" s="1119"/>
      <c r="AC79" s="1142"/>
      <c r="AD79" s="917"/>
      <c r="AE79" s="907"/>
      <c r="AF79" s="907"/>
      <c r="AG79" s="917"/>
      <c r="AH79" s="917"/>
    </row>
    <row r="80" spans="1:34" ht="20.100000000000001" hidden="1" customHeight="1">
      <c r="A80" s="1120"/>
      <c r="B80" s="1113"/>
      <c r="C80" s="1113"/>
      <c r="D80" s="1113"/>
      <c r="E80" s="1114"/>
      <c r="F80" s="1115"/>
      <c r="G80" s="1115"/>
      <c r="H80" s="1115"/>
      <c r="I80" s="1115"/>
      <c r="J80" s="1115"/>
      <c r="K80" s="1115"/>
      <c r="L80" s="1115"/>
      <c r="M80" s="1115"/>
      <c r="N80" s="1115"/>
      <c r="O80" s="1115"/>
      <c r="P80" s="1115"/>
      <c r="Q80" s="1115"/>
      <c r="R80" s="1115"/>
      <c r="S80" s="1115"/>
      <c r="T80" s="1115"/>
      <c r="U80" s="1116"/>
      <c r="V80" s="1117"/>
      <c r="W80" s="1117"/>
      <c r="X80" s="1117"/>
      <c r="Y80" s="1117"/>
      <c r="Z80" s="1117"/>
      <c r="AA80" s="1118"/>
      <c r="AB80" s="1119"/>
      <c r="AC80" s="1142"/>
      <c r="AD80" s="917"/>
      <c r="AE80" s="907"/>
      <c r="AF80" s="907"/>
      <c r="AG80" s="917"/>
      <c r="AH80" s="917"/>
    </row>
    <row r="81" spans="1:34" ht="20.100000000000001" hidden="1" customHeight="1">
      <c r="A81" s="1120"/>
      <c r="B81" s="1113"/>
      <c r="C81" s="1113"/>
      <c r="D81" s="1113"/>
      <c r="E81" s="1114"/>
      <c r="F81" s="1115"/>
      <c r="G81" s="1115"/>
      <c r="H81" s="1115"/>
      <c r="I81" s="1115"/>
      <c r="J81" s="1115"/>
      <c r="K81" s="1115"/>
      <c r="L81" s="1115"/>
      <c r="M81" s="1115"/>
      <c r="N81" s="1115"/>
      <c r="O81" s="1115"/>
      <c r="P81" s="1115"/>
      <c r="Q81" s="1115"/>
      <c r="R81" s="1115"/>
      <c r="S81" s="1115"/>
      <c r="T81" s="1115"/>
      <c r="U81" s="1116"/>
      <c r="V81" s="1117"/>
      <c r="W81" s="1117"/>
      <c r="X81" s="1117"/>
      <c r="Y81" s="1117"/>
      <c r="Z81" s="1117"/>
      <c r="AA81" s="1118"/>
      <c r="AB81" s="1119"/>
      <c r="AC81" s="1142"/>
      <c r="AD81" s="917"/>
      <c r="AE81" s="907"/>
      <c r="AF81" s="907"/>
      <c r="AG81" s="917"/>
      <c r="AH81" s="917"/>
    </row>
    <row r="82" spans="1:34" ht="20.100000000000001" hidden="1" customHeight="1">
      <c r="A82" s="1120"/>
      <c r="B82" s="1113"/>
      <c r="C82" s="1113"/>
      <c r="D82" s="1113"/>
      <c r="E82" s="1114"/>
      <c r="F82" s="1115"/>
      <c r="G82" s="1115"/>
      <c r="H82" s="1115"/>
      <c r="I82" s="1115"/>
      <c r="J82" s="1115"/>
      <c r="K82" s="1115"/>
      <c r="L82" s="1115"/>
      <c r="M82" s="1115"/>
      <c r="N82" s="1115"/>
      <c r="O82" s="1115"/>
      <c r="P82" s="1115"/>
      <c r="Q82" s="1115"/>
      <c r="R82" s="1115"/>
      <c r="S82" s="1115"/>
      <c r="T82" s="1115"/>
      <c r="U82" s="1116"/>
      <c r="V82" s="1117"/>
      <c r="W82" s="1117"/>
      <c r="X82" s="1117"/>
      <c r="Y82" s="1117"/>
      <c r="Z82" s="1117"/>
      <c r="AA82" s="1118"/>
      <c r="AB82" s="1119"/>
      <c r="AC82" s="1142"/>
      <c r="AD82" s="917"/>
      <c r="AE82" s="907"/>
      <c r="AF82" s="907"/>
      <c r="AG82" s="917"/>
      <c r="AH82" s="917"/>
    </row>
    <row r="83" spans="1:34" ht="20.100000000000001" hidden="1" customHeight="1">
      <c r="A83" s="1120"/>
      <c r="B83" s="1113"/>
      <c r="C83" s="1113"/>
      <c r="D83" s="1113"/>
      <c r="E83" s="1114"/>
      <c r="F83" s="1115"/>
      <c r="G83" s="1115"/>
      <c r="H83" s="1115"/>
      <c r="I83" s="1115"/>
      <c r="J83" s="1115"/>
      <c r="K83" s="1115"/>
      <c r="L83" s="1115"/>
      <c r="M83" s="1115"/>
      <c r="N83" s="1115"/>
      <c r="O83" s="1115"/>
      <c r="P83" s="1115"/>
      <c r="Q83" s="1115"/>
      <c r="R83" s="1115"/>
      <c r="S83" s="1115"/>
      <c r="T83" s="1115"/>
      <c r="U83" s="1116"/>
      <c r="V83" s="1117"/>
      <c r="W83" s="1117"/>
      <c r="X83" s="1117"/>
      <c r="Y83" s="1117"/>
      <c r="Z83" s="1117"/>
      <c r="AA83" s="1118"/>
      <c r="AB83" s="1119"/>
      <c r="AC83" s="1142"/>
      <c r="AD83" s="917"/>
      <c r="AE83" s="907"/>
      <c r="AF83" s="907"/>
      <c r="AG83" s="917"/>
      <c r="AH83" s="917"/>
    </row>
    <row r="84" spans="1:34" ht="20.100000000000001" hidden="1" customHeight="1">
      <c r="A84" s="1120"/>
      <c r="B84" s="1113"/>
      <c r="C84" s="1113"/>
      <c r="D84" s="1113"/>
      <c r="E84" s="1114"/>
      <c r="F84" s="1115"/>
      <c r="G84" s="1115"/>
      <c r="H84" s="1115"/>
      <c r="I84" s="1115"/>
      <c r="J84" s="1115"/>
      <c r="K84" s="1115"/>
      <c r="L84" s="1115"/>
      <c r="M84" s="1115"/>
      <c r="N84" s="1115"/>
      <c r="O84" s="1115"/>
      <c r="P84" s="1115"/>
      <c r="Q84" s="1115"/>
      <c r="R84" s="1115"/>
      <c r="S84" s="1115"/>
      <c r="T84" s="1115"/>
      <c r="U84" s="1116"/>
      <c r="V84" s="1117"/>
      <c r="W84" s="1117"/>
      <c r="X84" s="1117"/>
      <c r="Y84" s="1117"/>
      <c r="Z84" s="1117"/>
      <c r="AA84" s="1118"/>
      <c r="AB84" s="1119"/>
      <c r="AC84" s="1142"/>
      <c r="AD84" s="917"/>
      <c r="AE84" s="907"/>
      <c r="AF84" s="907"/>
      <c r="AG84" s="917"/>
      <c r="AH84" s="917"/>
    </row>
    <row r="85" spans="1:34" ht="20.100000000000001" hidden="1" customHeight="1">
      <c r="A85" s="1120"/>
      <c r="B85" s="1113"/>
      <c r="C85" s="1113"/>
      <c r="D85" s="1113"/>
      <c r="E85" s="1114"/>
      <c r="F85" s="1115"/>
      <c r="G85" s="1115"/>
      <c r="H85" s="1115"/>
      <c r="I85" s="1115"/>
      <c r="J85" s="1115"/>
      <c r="K85" s="1115"/>
      <c r="L85" s="1115"/>
      <c r="M85" s="1115"/>
      <c r="N85" s="1115"/>
      <c r="O85" s="1115"/>
      <c r="P85" s="1115"/>
      <c r="Q85" s="1115"/>
      <c r="R85" s="1115"/>
      <c r="S85" s="1115"/>
      <c r="T85" s="1115"/>
      <c r="U85" s="1116"/>
      <c r="V85" s="1117"/>
      <c r="W85" s="1117"/>
      <c r="X85" s="1117"/>
      <c r="Y85" s="1117"/>
      <c r="Z85" s="1117"/>
      <c r="AA85" s="1118"/>
      <c r="AB85" s="1119"/>
      <c r="AC85" s="1142"/>
      <c r="AD85" s="917"/>
      <c r="AE85" s="907"/>
      <c r="AF85" s="907"/>
      <c r="AG85" s="917"/>
      <c r="AH85" s="917"/>
    </row>
    <row r="86" spans="1:34" ht="20.100000000000001" hidden="1" customHeight="1">
      <c r="A86" s="1120"/>
      <c r="B86" s="1113"/>
      <c r="C86" s="1113"/>
      <c r="D86" s="1113"/>
      <c r="E86" s="1114"/>
      <c r="F86" s="1115"/>
      <c r="G86" s="1115"/>
      <c r="H86" s="1115"/>
      <c r="I86" s="1115"/>
      <c r="J86" s="1115"/>
      <c r="K86" s="1115"/>
      <c r="L86" s="1115"/>
      <c r="M86" s="1115"/>
      <c r="N86" s="1115"/>
      <c r="O86" s="1115"/>
      <c r="P86" s="1115"/>
      <c r="Q86" s="1115"/>
      <c r="R86" s="1115"/>
      <c r="S86" s="1115"/>
      <c r="T86" s="1115"/>
      <c r="U86" s="1116"/>
      <c r="V86" s="1117"/>
      <c r="W86" s="1117"/>
      <c r="X86" s="1117"/>
      <c r="Y86" s="1117"/>
      <c r="Z86" s="1117"/>
      <c r="AA86" s="1118"/>
      <c r="AB86" s="1119"/>
      <c r="AC86" s="1142"/>
      <c r="AD86" s="917"/>
      <c r="AE86" s="907"/>
      <c r="AF86" s="907"/>
      <c r="AG86" s="917"/>
      <c r="AH86" s="917"/>
    </row>
    <row r="87" spans="1:34" ht="20.100000000000001" hidden="1" customHeight="1">
      <c r="A87" s="1120"/>
      <c r="B87" s="1113"/>
      <c r="C87" s="1113"/>
      <c r="D87" s="1113"/>
      <c r="E87" s="1114"/>
      <c r="F87" s="1115"/>
      <c r="G87" s="1115"/>
      <c r="H87" s="1115"/>
      <c r="I87" s="1115"/>
      <c r="J87" s="1115"/>
      <c r="K87" s="1115"/>
      <c r="L87" s="1115"/>
      <c r="M87" s="1115"/>
      <c r="N87" s="1115"/>
      <c r="O87" s="1115"/>
      <c r="P87" s="1115"/>
      <c r="Q87" s="1115"/>
      <c r="R87" s="1115"/>
      <c r="S87" s="1115"/>
      <c r="T87" s="1115"/>
      <c r="U87" s="1116"/>
      <c r="V87" s="1117"/>
      <c r="W87" s="1117"/>
      <c r="X87" s="1117"/>
      <c r="Y87" s="1117"/>
      <c r="Z87" s="1117"/>
      <c r="AA87" s="1118"/>
      <c r="AB87" s="1119"/>
      <c r="AC87" s="1142"/>
      <c r="AD87" s="917"/>
      <c r="AE87" s="907"/>
      <c r="AF87" s="907"/>
      <c r="AG87" s="917"/>
      <c r="AH87" s="917"/>
    </row>
    <row r="88" spans="1:34" ht="20.100000000000001" hidden="1" customHeight="1">
      <c r="A88" s="1120"/>
      <c r="B88" s="1113"/>
      <c r="C88" s="1113"/>
      <c r="D88" s="1113"/>
      <c r="E88" s="1114"/>
      <c r="F88" s="1115"/>
      <c r="G88" s="1115"/>
      <c r="H88" s="1115"/>
      <c r="I88" s="1115"/>
      <c r="J88" s="1115"/>
      <c r="K88" s="1115"/>
      <c r="L88" s="1115"/>
      <c r="M88" s="1115"/>
      <c r="N88" s="1115"/>
      <c r="O88" s="1115"/>
      <c r="P88" s="1115"/>
      <c r="Q88" s="1115"/>
      <c r="R88" s="1115"/>
      <c r="S88" s="1115"/>
      <c r="T88" s="1115"/>
      <c r="U88" s="1116"/>
      <c r="V88" s="1117"/>
      <c r="W88" s="1117"/>
      <c r="X88" s="1117"/>
      <c r="Y88" s="1117"/>
      <c r="Z88" s="1117"/>
      <c r="AA88" s="1118"/>
      <c r="AB88" s="1119"/>
      <c r="AC88" s="1142"/>
      <c r="AD88" s="917"/>
      <c r="AE88" s="907"/>
      <c r="AF88" s="907"/>
      <c r="AG88" s="917"/>
      <c r="AH88" s="917"/>
    </row>
    <row r="89" spans="1:34" ht="20.100000000000001" hidden="1" customHeight="1">
      <c r="A89" s="1120"/>
      <c r="B89" s="1113"/>
      <c r="C89" s="1113"/>
      <c r="D89" s="1113"/>
      <c r="E89" s="1114"/>
      <c r="F89" s="1115"/>
      <c r="G89" s="1115"/>
      <c r="H89" s="1115"/>
      <c r="I89" s="1115"/>
      <c r="J89" s="1115"/>
      <c r="K89" s="1115"/>
      <c r="L89" s="1115"/>
      <c r="M89" s="1115"/>
      <c r="N89" s="1115"/>
      <c r="O89" s="1115"/>
      <c r="P89" s="1115"/>
      <c r="Q89" s="1115"/>
      <c r="R89" s="1115"/>
      <c r="S89" s="1115"/>
      <c r="T89" s="1115"/>
      <c r="U89" s="1116"/>
      <c r="V89" s="1117"/>
      <c r="W89" s="1117"/>
      <c r="X89" s="1117"/>
      <c r="Y89" s="1117"/>
      <c r="Z89" s="1117"/>
      <c r="AA89" s="1118"/>
      <c r="AB89" s="1119"/>
      <c r="AC89" s="1142"/>
      <c r="AD89" s="917"/>
      <c r="AE89" s="907"/>
      <c r="AF89" s="907"/>
      <c r="AG89" s="917"/>
      <c r="AH89" s="917"/>
    </row>
    <row r="90" spans="1:34" ht="20.100000000000001" hidden="1" customHeight="1">
      <c r="A90" s="1120"/>
      <c r="B90" s="1113"/>
      <c r="C90" s="1113"/>
      <c r="D90" s="1113"/>
      <c r="E90" s="1114"/>
      <c r="F90" s="1115"/>
      <c r="G90" s="1115"/>
      <c r="H90" s="1115"/>
      <c r="I90" s="1115"/>
      <c r="J90" s="1115"/>
      <c r="K90" s="1115"/>
      <c r="L90" s="1115"/>
      <c r="M90" s="1115"/>
      <c r="N90" s="1115"/>
      <c r="O90" s="1115"/>
      <c r="P90" s="1115"/>
      <c r="Q90" s="1115"/>
      <c r="R90" s="1115"/>
      <c r="S90" s="1115"/>
      <c r="T90" s="1115"/>
      <c r="U90" s="1116"/>
      <c r="V90" s="1117"/>
      <c r="W90" s="1117"/>
      <c r="X90" s="1117"/>
      <c r="Y90" s="1117"/>
      <c r="Z90" s="1117"/>
      <c r="AA90" s="1118"/>
      <c r="AB90" s="1119"/>
      <c r="AC90" s="1142"/>
      <c r="AD90" s="917"/>
      <c r="AE90" s="907"/>
      <c r="AF90" s="907"/>
      <c r="AG90" s="917"/>
      <c r="AH90" s="917"/>
    </row>
    <row r="91" spans="1:34" ht="20.100000000000001" hidden="1" customHeight="1">
      <c r="A91" s="1120"/>
      <c r="B91" s="1113"/>
      <c r="C91" s="1113"/>
      <c r="D91" s="1113"/>
      <c r="E91" s="1114"/>
      <c r="F91" s="1115"/>
      <c r="G91" s="1115"/>
      <c r="H91" s="1115"/>
      <c r="I91" s="1115"/>
      <c r="J91" s="1115"/>
      <c r="K91" s="1115"/>
      <c r="L91" s="1115"/>
      <c r="M91" s="1115"/>
      <c r="N91" s="1115"/>
      <c r="O91" s="1115"/>
      <c r="P91" s="1115"/>
      <c r="Q91" s="1115"/>
      <c r="R91" s="1115"/>
      <c r="S91" s="1115"/>
      <c r="T91" s="1115"/>
      <c r="U91" s="1116"/>
      <c r="V91" s="1117"/>
      <c r="W91" s="1117"/>
      <c r="X91" s="1117"/>
      <c r="Y91" s="1117"/>
      <c r="Z91" s="1117"/>
      <c r="AA91" s="1118"/>
      <c r="AB91" s="1119"/>
      <c r="AC91" s="1142"/>
      <c r="AD91" s="917"/>
      <c r="AE91" s="907"/>
      <c r="AF91" s="907"/>
      <c r="AG91" s="917"/>
      <c r="AH91" s="917"/>
    </row>
    <row r="92" spans="1:34" ht="20.100000000000001" hidden="1" customHeight="1">
      <c r="A92" s="1120"/>
      <c r="B92" s="1113"/>
      <c r="C92" s="1113"/>
      <c r="D92" s="1113"/>
      <c r="E92" s="1114"/>
      <c r="F92" s="1115"/>
      <c r="G92" s="1115"/>
      <c r="H92" s="1115"/>
      <c r="I92" s="1115"/>
      <c r="J92" s="1115"/>
      <c r="K92" s="1115"/>
      <c r="L92" s="1115"/>
      <c r="M92" s="1115"/>
      <c r="N92" s="1115"/>
      <c r="O92" s="1115"/>
      <c r="P92" s="1115"/>
      <c r="Q92" s="1115"/>
      <c r="R92" s="1115"/>
      <c r="S92" s="1115"/>
      <c r="T92" s="1115"/>
      <c r="U92" s="1116"/>
      <c r="V92" s="1117"/>
      <c r="W92" s="1117"/>
      <c r="X92" s="1117"/>
      <c r="Y92" s="1117"/>
      <c r="Z92" s="1117"/>
      <c r="AA92" s="1118"/>
      <c r="AB92" s="1119"/>
      <c r="AC92" s="1142"/>
      <c r="AD92" s="917"/>
      <c r="AE92" s="907"/>
      <c r="AF92" s="907"/>
      <c r="AG92" s="917"/>
      <c r="AH92" s="917"/>
    </row>
    <row r="93" spans="1:34" ht="20.100000000000001" hidden="1" customHeight="1">
      <c r="A93" s="1120"/>
      <c r="B93" s="1113"/>
      <c r="C93" s="1113"/>
      <c r="D93" s="1113"/>
      <c r="E93" s="1114"/>
      <c r="F93" s="1115"/>
      <c r="G93" s="1115"/>
      <c r="H93" s="1115"/>
      <c r="I93" s="1115"/>
      <c r="J93" s="1115"/>
      <c r="K93" s="1115"/>
      <c r="L93" s="1115"/>
      <c r="M93" s="1115"/>
      <c r="N93" s="1115"/>
      <c r="O93" s="1115"/>
      <c r="P93" s="1115"/>
      <c r="Q93" s="1115"/>
      <c r="R93" s="1115"/>
      <c r="S93" s="1115"/>
      <c r="T93" s="1115"/>
      <c r="U93" s="1116"/>
      <c r="V93" s="1117"/>
      <c r="W93" s="1117"/>
      <c r="X93" s="1117"/>
      <c r="Y93" s="1117"/>
      <c r="Z93" s="1117"/>
      <c r="AA93" s="1118"/>
      <c r="AB93" s="1119"/>
      <c r="AC93" s="1142"/>
      <c r="AD93" s="917"/>
      <c r="AE93" s="907"/>
      <c r="AF93" s="907"/>
      <c r="AG93" s="917"/>
      <c r="AH93" s="917"/>
    </row>
    <row r="94" spans="1:34" ht="20.100000000000001" hidden="1" customHeight="1">
      <c r="A94" s="1120"/>
      <c r="B94" s="1113"/>
      <c r="C94" s="1113"/>
      <c r="D94" s="1113"/>
      <c r="E94" s="1114"/>
      <c r="F94" s="1115"/>
      <c r="G94" s="1115"/>
      <c r="H94" s="1115"/>
      <c r="I94" s="1115"/>
      <c r="J94" s="1115"/>
      <c r="K94" s="1115"/>
      <c r="L94" s="1115"/>
      <c r="M94" s="1115"/>
      <c r="N94" s="1115"/>
      <c r="O94" s="1115"/>
      <c r="P94" s="1115"/>
      <c r="Q94" s="1115"/>
      <c r="R94" s="1115"/>
      <c r="S94" s="1115"/>
      <c r="T94" s="1115"/>
      <c r="U94" s="1116"/>
      <c r="V94" s="1117"/>
      <c r="W94" s="1117"/>
      <c r="X94" s="1117"/>
      <c r="Y94" s="1117"/>
      <c r="Z94" s="1117"/>
      <c r="AA94" s="1118"/>
      <c r="AB94" s="1119"/>
      <c r="AC94" s="1142"/>
      <c r="AD94" s="917"/>
      <c r="AE94" s="907"/>
      <c r="AF94" s="907"/>
      <c r="AG94" s="917"/>
      <c r="AH94" s="917"/>
    </row>
    <row r="95" spans="1:34" ht="20.100000000000001" hidden="1" customHeight="1">
      <c r="A95" s="1120"/>
      <c r="B95" s="1113"/>
      <c r="C95" s="1113"/>
      <c r="D95" s="1113"/>
      <c r="E95" s="1114"/>
      <c r="F95" s="1115"/>
      <c r="G95" s="1115"/>
      <c r="H95" s="1115"/>
      <c r="I95" s="1115"/>
      <c r="J95" s="1115"/>
      <c r="K95" s="1115"/>
      <c r="L95" s="1115"/>
      <c r="M95" s="1115"/>
      <c r="N95" s="1115"/>
      <c r="O95" s="1115"/>
      <c r="P95" s="1115"/>
      <c r="Q95" s="1115"/>
      <c r="R95" s="1115"/>
      <c r="S95" s="1115"/>
      <c r="T95" s="1115"/>
      <c r="U95" s="1116"/>
      <c r="V95" s="1117"/>
      <c r="W95" s="1117"/>
      <c r="X95" s="1117"/>
      <c r="Y95" s="1117"/>
      <c r="Z95" s="1117"/>
      <c r="AA95" s="1118"/>
      <c r="AB95" s="1119"/>
      <c r="AC95" s="1142"/>
      <c r="AD95" s="917"/>
      <c r="AE95" s="907"/>
      <c r="AF95" s="907"/>
      <c r="AG95" s="917"/>
      <c r="AH95" s="917"/>
    </row>
    <row r="96" spans="1:34" ht="20.100000000000001" hidden="1" customHeight="1">
      <c r="A96" s="1120"/>
      <c r="B96" s="1113"/>
      <c r="C96" s="1113"/>
      <c r="D96" s="1113"/>
      <c r="E96" s="1114"/>
      <c r="F96" s="1115"/>
      <c r="G96" s="1115"/>
      <c r="H96" s="1115"/>
      <c r="I96" s="1115"/>
      <c r="J96" s="1115"/>
      <c r="K96" s="1115"/>
      <c r="L96" s="1115"/>
      <c r="M96" s="1115"/>
      <c r="N96" s="1115"/>
      <c r="O96" s="1115"/>
      <c r="P96" s="1115"/>
      <c r="Q96" s="1115"/>
      <c r="R96" s="1115"/>
      <c r="S96" s="1115"/>
      <c r="T96" s="1115"/>
      <c r="U96" s="1116"/>
      <c r="V96" s="1117"/>
      <c r="W96" s="1117"/>
      <c r="X96" s="1117"/>
      <c r="Y96" s="1117"/>
      <c r="Z96" s="1117"/>
      <c r="AA96" s="1118"/>
      <c r="AB96" s="1119"/>
      <c r="AC96" s="1142"/>
      <c r="AD96" s="917"/>
      <c r="AE96" s="907"/>
      <c r="AF96" s="907"/>
      <c r="AG96" s="917"/>
      <c r="AH96" s="917"/>
    </row>
    <row r="97" spans="1:34" ht="20.100000000000001" hidden="1" customHeight="1">
      <c r="A97" s="1120"/>
      <c r="B97" s="1113"/>
      <c r="C97" s="1113"/>
      <c r="D97" s="1113"/>
      <c r="E97" s="1114"/>
      <c r="F97" s="1115"/>
      <c r="G97" s="1115"/>
      <c r="H97" s="1115"/>
      <c r="I97" s="1115"/>
      <c r="J97" s="1115"/>
      <c r="K97" s="1115"/>
      <c r="L97" s="1115"/>
      <c r="M97" s="1115"/>
      <c r="N97" s="1115"/>
      <c r="O97" s="1115"/>
      <c r="P97" s="1115"/>
      <c r="Q97" s="1115"/>
      <c r="R97" s="1115"/>
      <c r="S97" s="1115"/>
      <c r="T97" s="1115"/>
      <c r="U97" s="1116"/>
      <c r="V97" s="1117"/>
      <c r="W97" s="1117"/>
      <c r="X97" s="1117"/>
      <c r="Y97" s="1117"/>
      <c r="Z97" s="1117"/>
      <c r="AA97" s="1118"/>
      <c r="AB97" s="1119"/>
      <c r="AC97" s="1142"/>
      <c r="AD97" s="917"/>
      <c r="AE97" s="907"/>
      <c r="AF97" s="907"/>
      <c r="AG97" s="917"/>
      <c r="AH97" s="917"/>
    </row>
    <row r="98" spans="1:34" ht="20.100000000000001" hidden="1" customHeight="1">
      <c r="A98" s="1120"/>
      <c r="B98" s="1113"/>
      <c r="C98" s="1113"/>
      <c r="D98" s="1113"/>
      <c r="E98" s="1114"/>
      <c r="F98" s="1115"/>
      <c r="G98" s="1115"/>
      <c r="H98" s="1115"/>
      <c r="I98" s="1115"/>
      <c r="J98" s="1115"/>
      <c r="K98" s="1115"/>
      <c r="L98" s="1115"/>
      <c r="M98" s="1115"/>
      <c r="N98" s="1115"/>
      <c r="O98" s="1115"/>
      <c r="P98" s="1115"/>
      <c r="Q98" s="1115"/>
      <c r="R98" s="1115"/>
      <c r="S98" s="1115"/>
      <c r="T98" s="1115"/>
      <c r="U98" s="1116"/>
      <c r="V98" s="1117"/>
      <c r="W98" s="1117"/>
      <c r="X98" s="1117"/>
      <c r="Y98" s="1117"/>
      <c r="Z98" s="1117"/>
      <c r="AA98" s="1118"/>
      <c r="AB98" s="1119"/>
      <c r="AC98" s="1142"/>
      <c r="AD98" s="917"/>
      <c r="AE98" s="907"/>
      <c r="AF98" s="907"/>
      <c r="AG98" s="917"/>
      <c r="AH98" s="917"/>
    </row>
    <row r="99" spans="1:34" ht="20.100000000000001" hidden="1" customHeight="1">
      <c r="A99" s="1120"/>
      <c r="B99" s="1113"/>
      <c r="C99" s="1113"/>
      <c r="D99" s="1113"/>
      <c r="E99" s="1114"/>
      <c r="F99" s="1115"/>
      <c r="G99" s="1115"/>
      <c r="H99" s="1115"/>
      <c r="I99" s="1115"/>
      <c r="J99" s="1115"/>
      <c r="K99" s="1115"/>
      <c r="L99" s="1115"/>
      <c r="M99" s="1115"/>
      <c r="N99" s="1115"/>
      <c r="O99" s="1115"/>
      <c r="P99" s="1115"/>
      <c r="Q99" s="1115"/>
      <c r="R99" s="1115"/>
      <c r="S99" s="1115"/>
      <c r="T99" s="1115"/>
      <c r="U99" s="1116"/>
      <c r="V99" s="1117"/>
      <c r="W99" s="1117"/>
      <c r="X99" s="1117"/>
      <c r="Y99" s="1117"/>
      <c r="Z99" s="1117"/>
      <c r="AA99" s="1118"/>
      <c r="AB99" s="1119"/>
      <c r="AC99" s="1142"/>
      <c r="AD99" s="917"/>
      <c r="AE99" s="907"/>
      <c r="AF99" s="907"/>
      <c r="AG99" s="917"/>
      <c r="AH99" s="917"/>
    </row>
    <row r="100" spans="1:34" ht="20.100000000000001" hidden="1" customHeight="1">
      <c r="A100" s="1120"/>
      <c r="B100" s="1113"/>
      <c r="C100" s="1113"/>
      <c r="D100" s="1113"/>
      <c r="E100" s="1114"/>
      <c r="F100" s="1115"/>
      <c r="G100" s="1115"/>
      <c r="H100" s="1115"/>
      <c r="I100" s="1115"/>
      <c r="J100" s="1115"/>
      <c r="K100" s="1115"/>
      <c r="L100" s="1115"/>
      <c r="M100" s="1115"/>
      <c r="N100" s="1115"/>
      <c r="O100" s="1115"/>
      <c r="P100" s="1115"/>
      <c r="Q100" s="1115"/>
      <c r="R100" s="1115"/>
      <c r="S100" s="1115"/>
      <c r="T100" s="1115"/>
      <c r="U100" s="1116"/>
      <c r="V100" s="1117"/>
      <c r="W100" s="1117"/>
      <c r="X100" s="1117"/>
      <c r="Y100" s="1117"/>
      <c r="Z100" s="1117"/>
      <c r="AA100" s="1118"/>
      <c r="AB100" s="1119"/>
      <c r="AC100" s="1142"/>
      <c r="AD100" s="917"/>
      <c r="AE100" s="907"/>
      <c r="AF100" s="907"/>
      <c r="AG100" s="917"/>
      <c r="AH100" s="917"/>
    </row>
    <row r="101" spans="1:34" ht="20.100000000000001" hidden="1" customHeight="1">
      <c r="A101" s="1120"/>
      <c r="B101" s="1113"/>
      <c r="C101" s="1113"/>
      <c r="D101" s="1113"/>
      <c r="E101" s="1114"/>
      <c r="F101" s="1115"/>
      <c r="G101" s="1115"/>
      <c r="H101" s="1115"/>
      <c r="I101" s="1115"/>
      <c r="J101" s="1115"/>
      <c r="K101" s="1115"/>
      <c r="L101" s="1115"/>
      <c r="M101" s="1115"/>
      <c r="N101" s="1115"/>
      <c r="O101" s="1115"/>
      <c r="P101" s="1115"/>
      <c r="Q101" s="1115"/>
      <c r="R101" s="1115"/>
      <c r="S101" s="1115"/>
      <c r="T101" s="1115"/>
      <c r="U101" s="1116"/>
      <c r="V101" s="1117"/>
      <c r="W101" s="1117"/>
      <c r="X101" s="1117"/>
      <c r="Y101" s="1117"/>
      <c r="Z101" s="1117"/>
      <c r="AA101" s="1118"/>
      <c r="AB101" s="1119"/>
      <c r="AC101" s="1142"/>
      <c r="AD101" s="917"/>
      <c r="AE101" s="907"/>
      <c r="AF101" s="907"/>
      <c r="AG101" s="917"/>
      <c r="AH101" s="917"/>
    </row>
    <row r="102" spans="1:34" ht="20.100000000000001" hidden="1" customHeight="1">
      <c r="A102" s="1120"/>
      <c r="B102" s="1113"/>
      <c r="C102" s="1113"/>
      <c r="D102" s="1113"/>
      <c r="E102" s="1114"/>
      <c r="F102" s="1115"/>
      <c r="G102" s="1115"/>
      <c r="H102" s="1115"/>
      <c r="I102" s="1115"/>
      <c r="J102" s="1115"/>
      <c r="K102" s="1115"/>
      <c r="L102" s="1115"/>
      <c r="M102" s="1115"/>
      <c r="N102" s="1115"/>
      <c r="O102" s="1115"/>
      <c r="P102" s="1115"/>
      <c r="Q102" s="1115"/>
      <c r="R102" s="1115"/>
      <c r="S102" s="1115"/>
      <c r="T102" s="1115"/>
      <c r="U102" s="1116"/>
      <c r="V102" s="1117"/>
      <c r="W102" s="1117"/>
      <c r="X102" s="1117"/>
      <c r="Y102" s="1117"/>
      <c r="Z102" s="1117"/>
      <c r="AA102" s="1118"/>
      <c r="AB102" s="1119"/>
      <c r="AC102" s="1142"/>
      <c r="AD102" s="917"/>
      <c r="AE102" s="907"/>
      <c r="AF102" s="907"/>
      <c r="AG102" s="917"/>
      <c r="AH102" s="917"/>
    </row>
    <row r="103" spans="1:34" ht="20.100000000000001" hidden="1" customHeight="1">
      <c r="A103" s="1120"/>
      <c r="B103" s="1113"/>
      <c r="C103" s="1113"/>
      <c r="D103" s="1113"/>
      <c r="E103" s="1114"/>
      <c r="F103" s="1115"/>
      <c r="G103" s="1115"/>
      <c r="H103" s="1115"/>
      <c r="I103" s="1115"/>
      <c r="J103" s="1115"/>
      <c r="K103" s="1115"/>
      <c r="L103" s="1115"/>
      <c r="M103" s="1115"/>
      <c r="N103" s="1115"/>
      <c r="O103" s="1115"/>
      <c r="P103" s="1115"/>
      <c r="Q103" s="1115"/>
      <c r="R103" s="1115"/>
      <c r="S103" s="1115"/>
      <c r="T103" s="1115"/>
      <c r="U103" s="1116"/>
      <c r="V103" s="1117"/>
      <c r="W103" s="1117"/>
      <c r="X103" s="1117"/>
      <c r="Y103" s="1117"/>
      <c r="Z103" s="1117"/>
      <c r="AA103" s="1118"/>
      <c r="AB103" s="1119"/>
      <c r="AC103" s="1142"/>
      <c r="AD103" s="917"/>
      <c r="AE103" s="907"/>
      <c r="AF103" s="907"/>
      <c r="AG103" s="917"/>
      <c r="AH103" s="917"/>
    </row>
    <row r="104" spans="1:34" ht="20.100000000000001" hidden="1" customHeight="1">
      <c r="A104" s="1120"/>
      <c r="B104" s="1113"/>
      <c r="C104" s="1113"/>
      <c r="D104" s="1113"/>
      <c r="E104" s="1114"/>
      <c r="F104" s="1115"/>
      <c r="G104" s="1115"/>
      <c r="H104" s="1115"/>
      <c r="I104" s="1115"/>
      <c r="J104" s="1115"/>
      <c r="K104" s="1115"/>
      <c r="L104" s="1115"/>
      <c r="M104" s="1115"/>
      <c r="N104" s="1115"/>
      <c r="O104" s="1115"/>
      <c r="P104" s="1115"/>
      <c r="Q104" s="1115"/>
      <c r="R104" s="1115"/>
      <c r="S104" s="1115"/>
      <c r="T104" s="1115"/>
      <c r="U104" s="1116"/>
      <c r="V104" s="1117"/>
      <c r="W104" s="1117"/>
      <c r="X104" s="1117"/>
      <c r="Y104" s="1117"/>
      <c r="Z104" s="1117"/>
      <c r="AA104" s="1118"/>
      <c r="AB104" s="1119"/>
      <c r="AC104" s="1142"/>
      <c r="AD104" s="917"/>
      <c r="AE104" s="907"/>
      <c r="AF104" s="907"/>
      <c r="AG104" s="917"/>
      <c r="AH104" s="917"/>
    </row>
    <row r="105" spans="1:34" ht="20.100000000000001" hidden="1" customHeight="1">
      <c r="A105" s="1120"/>
      <c r="B105" s="1113"/>
      <c r="C105" s="1113"/>
      <c r="D105" s="1113"/>
      <c r="E105" s="1114"/>
      <c r="F105" s="1115"/>
      <c r="G105" s="1115"/>
      <c r="H105" s="1115"/>
      <c r="I105" s="1115"/>
      <c r="J105" s="1115"/>
      <c r="K105" s="1115"/>
      <c r="L105" s="1115"/>
      <c r="M105" s="1115"/>
      <c r="N105" s="1115"/>
      <c r="O105" s="1115"/>
      <c r="P105" s="1115"/>
      <c r="Q105" s="1115"/>
      <c r="R105" s="1115"/>
      <c r="S105" s="1115"/>
      <c r="T105" s="1115"/>
      <c r="U105" s="1116"/>
      <c r="V105" s="1117"/>
      <c r="W105" s="1117"/>
      <c r="X105" s="1117"/>
      <c r="Y105" s="1117"/>
      <c r="Z105" s="1117"/>
      <c r="AA105" s="1118"/>
      <c r="AB105" s="1119"/>
      <c r="AC105" s="1142"/>
      <c r="AD105" s="917"/>
      <c r="AE105" s="907"/>
      <c r="AF105" s="907"/>
      <c r="AG105" s="917"/>
      <c r="AH105" s="917"/>
    </row>
    <row r="106" spans="1:34" ht="20.100000000000001" hidden="1" customHeight="1">
      <c r="A106" s="1120"/>
      <c r="B106" s="1113"/>
      <c r="C106" s="1113"/>
      <c r="D106" s="1113"/>
      <c r="E106" s="1114"/>
      <c r="F106" s="1115"/>
      <c r="G106" s="1115"/>
      <c r="H106" s="1115"/>
      <c r="I106" s="1115"/>
      <c r="J106" s="1115"/>
      <c r="K106" s="1115"/>
      <c r="L106" s="1115"/>
      <c r="M106" s="1115"/>
      <c r="N106" s="1115"/>
      <c r="O106" s="1115"/>
      <c r="P106" s="1115"/>
      <c r="Q106" s="1115"/>
      <c r="R106" s="1115"/>
      <c r="S106" s="1115"/>
      <c r="T106" s="1115"/>
      <c r="U106" s="1116"/>
      <c r="V106" s="1117"/>
      <c r="W106" s="1117"/>
      <c r="X106" s="1117"/>
      <c r="Y106" s="1117"/>
      <c r="Z106" s="1117"/>
      <c r="AA106" s="1118"/>
      <c r="AB106" s="1119"/>
      <c r="AC106" s="1142"/>
      <c r="AD106" s="917"/>
      <c r="AE106" s="907"/>
      <c r="AF106" s="907"/>
      <c r="AG106" s="917"/>
      <c r="AH106" s="917"/>
    </row>
    <row r="107" spans="1:34" ht="20.100000000000001" hidden="1" customHeight="1">
      <c r="A107" s="1120"/>
      <c r="B107" s="1113"/>
      <c r="C107" s="1113"/>
      <c r="D107" s="1113"/>
      <c r="E107" s="1114"/>
      <c r="F107" s="1115"/>
      <c r="G107" s="1115"/>
      <c r="H107" s="1115"/>
      <c r="I107" s="1115"/>
      <c r="J107" s="1115"/>
      <c r="K107" s="1115"/>
      <c r="L107" s="1115"/>
      <c r="M107" s="1115"/>
      <c r="N107" s="1115"/>
      <c r="O107" s="1115"/>
      <c r="P107" s="1115"/>
      <c r="Q107" s="1115"/>
      <c r="R107" s="1115"/>
      <c r="S107" s="1115"/>
      <c r="T107" s="1115"/>
      <c r="U107" s="1116"/>
      <c r="V107" s="1117"/>
      <c r="W107" s="1117"/>
      <c r="X107" s="1117"/>
      <c r="Y107" s="1117"/>
      <c r="Z107" s="1117"/>
      <c r="AA107" s="1118"/>
      <c r="AB107" s="1119"/>
      <c r="AC107" s="1142"/>
      <c r="AD107" s="917"/>
      <c r="AE107" s="907"/>
      <c r="AF107" s="907"/>
      <c r="AG107" s="917"/>
      <c r="AH107" s="917"/>
    </row>
    <row r="108" spans="1:34" ht="20.100000000000001" hidden="1" customHeight="1">
      <c r="A108" s="1120"/>
      <c r="B108" s="1113"/>
      <c r="C108" s="1113"/>
      <c r="D108" s="1113"/>
      <c r="E108" s="1114"/>
      <c r="F108" s="1115"/>
      <c r="G108" s="1115"/>
      <c r="H108" s="1115"/>
      <c r="I108" s="1115"/>
      <c r="J108" s="1115"/>
      <c r="K108" s="1115"/>
      <c r="L108" s="1115"/>
      <c r="M108" s="1115"/>
      <c r="N108" s="1115"/>
      <c r="O108" s="1115"/>
      <c r="P108" s="1115"/>
      <c r="Q108" s="1115"/>
      <c r="R108" s="1115"/>
      <c r="S108" s="1115"/>
      <c r="T108" s="1115"/>
      <c r="U108" s="1116"/>
      <c r="V108" s="1117"/>
      <c r="W108" s="1117"/>
      <c r="X108" s="1117"/>
      <c r="Y108" s="1117"/>
      <c r="Z108" s="1117"/>
      <c r="AA108" s="1118"/>
      <c r="AB108" s="1119"/>
      <c r="AC108" s="1142"/>
      <c r="AD108" s="917"/>
      <c r="AE108" s="907"/>
      <c r="AF108" s="907"/>
      <c r="AG108" s="917"/>
      <c r="AH108" s="917"/>
    </row>
    <row r="109" spans="1:34" ht="20.100000000000001" hidden="1" customHeight="1">
      <c r="A109" s="1120"/>
      <c r="B109" s="1113"/>
      <c r="C109" s="1113"/>
      <c r="D109" s="1113"/>
      <c r="E109" s="1114"/>
      <c r="F109" s="1115"/>
      <c r="G109" s="1115"/>
      <c r="H109" s="1115"/>
      <c r="I109" s="1115"/>
      <c r="J109" s="1115"/>
      <c r="K109" s="1115"/>
      <c r="L109" s="1115"/>
      <c r="M109" s="1115"/>
      <c r="N109" s="1115"/>
      <c r="O109" s="1115"/>
      <c r="P109" s="1115"/>
      <c r="Q109" s="1115"/>
      <c r="R109" s="1115"/>
      <c r="S109" s="1115"/>
      <c r="T109" s="1115"/>
      <c r="U109" s="1116"/>
      <c r="V109" s="1117"/>
      <c r="W109" s="1117"/>
      <c r="X109" s="1117"/>
      <c r="Y109" s="1117"/>
      <c r="Z109" s="1117"/>
      <c r="AA109" s="1118"/>
      <c r="AB109" s="1119"/>
      <c r="AC109" s="1142"/>
      <c r="AD109" s="917"/>
      <c r="AE109" s="907"/>
      <c r="AF109" s="907"/>
      <c r="AG109" s="917"/>
      <c r="AH109" s="917"/>
    </row>
    <row r="110" spans="1:34" s="1146" customFormat="1" ht="20.100000000000001" hidden="1" customHeight="1">
      <c r="A110" s="1120"/>
      <c r="B110" s="1113"/>
      <c r="C110" s="1113"/>
      <c r="D110" s="1113"/>
      <c r="E110" s="1114"/>
      <c r="F110" s="1115"/>
      <c r="G110" s="1115"/>
      <c r="H110" s="1115"/>
      <c r="I110" s="1115"/>
      <c r="J110" s="1115"/>
      <c r="K110" s="1115"/>
      <c r="L110" s="1115"/>
      <c r="M110" s="1115"/>
      <c r="N110" s="1115"/>
      <c r="O110" s="1115"/>
      <c r="P110" s="1115"/>
      <c r="Q110" s="1115"/>
      <c r="R110" s="1115"/>
      <c r="S110" s="1115"/>
      <c r="T110" s="1115"/>
      <c r="U110" s="1116"/>
      <c r="V110" s="1117"/>
      <c r="W110" s="1117"/>
      <c r="X110" s="1117"/>
      <c r="Y110" s="1117"/>
      <c r="Z110" s="1117"/>
      <c r="AA110" s="1118"/>
      <c r="AB110" s="1144"/>
      <c r="AC110" s="1142"/>
      <c r="AD110" s="1145"/>
      <c r="AE110" s="907"/>
      <c r="AF110" s="907"/>
      <c r="AG110" s="1145"/>
      <c r="AH110" s="1145"/>
    </row>
    <row r="111" spans="1:34" ht="20.100000000000001" hidden="1" customHeight="1">
      <c r="A111" s="1120"/>
      <c r="B111" s="1113"/>
      <c r="C111" s="1113"/>
      <c r="D111" s="1113"/>
      <c r="E111" s="1114"/>
      <c r="F111" s="1115"/>
      <c r="G111" s="1115"/>
      <c r="H111" s="1115"/>
      <c r="I111" s="1115"/>
      <c r="J111" s="1115"/>
      <c r="K111" s="1115"/>
      <c r="L111" s="1115"/>
      <c r="M111" s="1115"/>
      <c r="N111" s="1115"/>
      <c r="O111" s="1115"/>
      <c r="P111" s="1115"/>
      <c r="Q111" s="1115"/>
      <c r="R111" s="1115"/>
      <c r="S111" s="1115"/>
      <c r="T111" s="1115"/>
      <c r="U111" s="1116"/>
      <c r="V111" s="1117"/>
      <c r="W111" s="1117"/>
      <c r="X111" s="1117"/>
      <c r="Y111" s="1117"/>
      <c r="Z111" s="1117"/>
      <c r="AA111" s="1118"/>
      <c r="AB111" s="1119"/>
      <c r="AC111" s="1142"/>
      <c r="AD111" s="917"/>
      <c r="AE111" s="907"/>
      <c r="AF111" s="907"/>
      <c r="AG111" s="917"/>
      <c r="AH111" s="917"/>
    </row>
    <row r="112" spans="1:34" ht="20.100000000000001" hidden="1" customHeight="1">
      <c r="A112" s="1120"/>
      <c r="B112" s="1113"/>
      <c r="C112" s="1113"/>
      <c r="D112" s="1113"/>
      <c r="E112" s="1114"/>
      <c r="F112" s="1115"/>
      <c r="G112" s="1115"/>
      <c r="H112" s="1115"/>
      <c r="I112" s="1115"/>
      <c r="J112" s="1115"/>
      <c r="K112" s="1115"/>
      <c r="L112" s="1115"/>
      <c r="M112" s="1115"/>
      <c r="N112" s="1115"/>
      <c r="O112" s="1115"/>
      <c r="P112" s="1115"/>
      <c r="Q112" s="1115"/>
      <c r="R112" s="1115"/>
      <c r="S112" s="1115"/>
      <c r="T112" s="1115"/>
      <c r="U112" s="1116"/>
      <c r="V112" s="1117"/>
      <c r="W112" s="1117"/>
      <c r="X112" s="1117"/>
      <c r="Y112" s="1117"/>
      <c r="Z112" s="1117"/>
      <c r="AA112" s="1118"/>
      <c r="AB112" s="1119"/>
      <c r="AC112" s="1142"/>
      <c r="AD112" s="917"/>
      <c r="AE112" s="907"/>
      <c r="AF112" s="907"/>
      <c r="AG112" s="917"/>
      <c r="AH112" s="917"/>
    </row>
    <row r="113" spans="1:34" ht="20.100000000000001" hidden="1" customHeight="1">
      <c r="A113" s="1120"/>
      <c r="B113" s="1113"/>
      <c r="C113" s="1113"/>
      <c r="D113" s="1113"/>
      <c r="E113" s="1114"/>
      <c r="F113" s="1115"/>
      <c r="G113" s="1115"/>
      <c r="H113" s="1115"/>
      <c r="I113" s="1115"/>
      <c r="J113" s="1115"/>
      <c r="K113" s="1115"/>
      <c r="L113" s="1115"/>
      <c r="M113" s="1115"/>
      <c r="N113" s="1115"/>
      <c r="O113" s="1115"/>
      <c r="P113" s="1115"/>
      <c r="Q113" s="1115"/>
      <c r="R113" s="1115"/>
      <c r="S113" s="1115"/>
      <c r="T113" s="1115"/>
      <c r="U113" s="1116"/>
      <c r="V113" s="1117"/>
      <c r="W113" s="1117"/>
      <c r="X113" s="1117"/>
      <c r="Y113" s="1117"/>
      <c r="Z113" s="1117"/>
      <c r="AA113" s="1118"/>
      <c r="AB113" s="1119"/>
      <c r="AC113" s="1142"/>
      <c r="AD113" s="917"/>
      <c r="AE113" s="907"/>
      <c r="AF113" s="907"/>
      <c r="AG113" s="917"/>
      <c r="AH113" s="917"/>
    </row>
    <row r="114" spans="1:34" ht="20.100000000000001" hidden="1" customHeight="1">
      <c r="A114" s="1120"/>
      <c r="B114" s="1113"/>
      <c r="C114" s="1113"/>
      <c r="D114" s="1113"/>
      <c r="E114" s="1114"/>
      <c r="F114" s="1115"/>
      <c r="G114" s="1115"/>
      <c r="H114" s="1115"/>
      <c r="I114" s="1115"/>
      <c r="J114" s="1115"/>
      <c r="K114" s="1115"/>
      <c r="L114" s="1115"/>
      <c r="M114" s="1115"/>
      <c r="N114" s="1115"/>
      <c r="O114" s="1115"/>
      <c r="P114" s="1115"/>
      <c r="Q114" s="1115"/>
      <c r="R114" s="1115"/>
      <c r="S114" s="1115"/>
      <c r="T114" s="1115"/>
      <c r="U114" s="1116"/>
      <c r="V114" s="1117"/>
      <c r="W114" s="1117"/>
      <c r="X114" s="1117"/>
      <c r="Y114" s="1117"/>
      <c r="Z114" s="1117"/>
      <c r="AA114" s="1118"/>
      <c r="AB114" s="1119"/>
      <c r="AC114" s="1142"/>
      <c r="AD114" s="917"/>
      <c r="AE114" s="907"/>
      <c r="AF114" s="907"/>
      <c r="AG114" s="917"/>
      <c r="AH114" s="917"/>
    </row>
    <row r="115" spans="1:34" ht="20.100000000000001" hidden="1" customHeight="1">
      <c r="A115" s="1120"/>
      <c r="B115" s="1113"/>
      <c r="C115" s="1113"/>
      <c r="D115" s="1113"/>
      <c r="E115" s="1114"/>
      <c r="F115" s="1115"/>
      <c r="G115" s="1115"/>
      <c r="H115" s="1115"/>
      <c r="I115" s="1115"/>
      <c r="J115" s="1115"/>
      <c r="K115" s="1115"/>
      <c r="L115" s="1115"/>
      <c r="M115" s="1115"/>
      <c r="N115" s="1115"/>
      <c r="O115" s="1115"/>
      <c r="P115" s="1115"/>
      <c r="Q115" s="1115"/>
      <c r="R115" s="1115"/>
      <c r="S115" s="1115"/>
      <c r="T115" s="1115"/>
      <c r="U115" s="1116"/>
      <c r="V115" s="1117"/>
      <c r="W115" s="1117"/>
      <c r="X115" s="1117"/>
      <c r="Y115" s="1117"/>
      <c r="Z115" s="1117"/>
      <c r="AA115" s="1118"/>
      <c r="AB115" s="1119"/>
      <c r="AC115" s="1142"/>
      <c r="AD115" s="917"/>
      <c r="AE115" s="907"/>
      <c r="AF115" s="907"/>
      <c r="AG115" s="917"/>
      <c r="AH115" s="917"/>
    </row>
    <row r="116" spans="1:34" ht="20.100000000000001" hidden="1" customHeight="1">
      <c r="A116" s="1120"/>
      <c r="B116" s="1113"/>
      <c r="C116" s="1113"/>
      <c r="D116" s="1113"/>
      <c r="E116" s="1114"/>
      <c r="F116" s="1115"/>
      <c r="G116" s="1115"/>
      <c r="H116" s="1115"/>
      <c r="I116" s="1115"/>
      <c r="J116" s="1115"/>
      <c r="K116" s="1115"/>
      <c r="L116" s="1115"/>
      <c r="M116" s="1115"/>
      <c r="N116" s="1115"/>
      <c r="O116" s="1115"/>
      <c r="P116" s="1115"/>
      <c r="Q116" s="1115"/>
      <c r="R116" s="1115"/>
      <c r="S116" s="1115"/>
      <c r="T116" s="1115"/>
      <c r="U116" s="1116"/>
      <c r="V116" s="1117"/>
      <c r="W116" s="1117"/>
      <c r="X116" s="1117"/>
      <c r="Y116" s="1117"/>
      <c r="Z116" s="1117"/>
      <c r="AA116" s="1118"/>
      <c r="AB116" s="1119"/>
      <c r="AC116" s="1142"/>
      <c r="AD116" s="917"/>
      <c r="AE116" s="907"/>
      <c r="AF116" s="907"/>
      <c r="AG116" s="917"/>
      <c r="AH116" s="917"/>
    </row>
    <row r="117" spans="1:34" ht="20.100000000000001" hidden="1" customHeight="1">
      <c r="A117" s="1120"/>
      <c r="B117" s="1113"/>
      <c r="C117" s="1113"/>
      <c r="D117" s="1113"/>
      <c r="E117" s="1114"/>
      <c r="F117" s="1115"/>
      <c r="G117" s="1115"/>
      <c r="H117" s="1115"/>
      <c r="I117" s="1115"/>
      <c r="J117" s="1115"/>
      <c r="K117" s="1115"/>
      <c r="L117" s="1115"/>
      <c r="M117" s="1115"/>
      <c r="N117" s="1115"/>
      <c r="O117" s="1115"/>
      <c r="P117" s="1115"/>
      <c r="Q117" s="1115"/>
      <c r="R117" s="1115"/>
      <c r="S117" s="1115"/>
      <c r="T117" s="1115"/>
      <c r="U117" s="1116"/>
      <c r="V117" s="1117"/>
      <c r="W117" s="1117"/>
      <c r="X117" s="1117"/>
      <c r="Y117" s="1117"/>
      <c r="Z117" s="1117"/>
      <c r="AA117" s="1118"/>
      <c r="AB117" s="1119"/>
      <c r="AC117" s="1142"/>
      <c r="AD117" s="917"/>
      <c r="AE117" s="907"/>
      <c r="AF117" s="907"/>
      <c r="AG117" s="917"/>
      <c r="AH117" s="917"/>
    </row>
    <row r="118" spans="1:34" ht="20.100000000000001" hidden="1" customHeight="1">
      <c r="A118" s="1120"/>
      <c r="B118" s="1113"/>
      <c r="C118" s="1113"/>
      <c r="D118" s="1113"/>
      <c r="E118" s="1114"/>
      <c r="F118" s="1115"/>
      <c r="G118" s="1115"/>
      <c r="H118" s="1115"/>
      <c r="I118" s="1115"/>
      <c r="J118" s="1115"/>
      <c r="K118" s="1115"/>
      <c r="L118" s="1115"/>
      <c r="M118" s="1115"/>
      <c r="N118" s="1115"/>
      <c r="O118" s="1115"/>
      <c r="P118" s="1115"/>
      <c r="Q118" s="1115"/>
      <c r="R118" s="1115"/>
      <c r="S118" s="1115"/>
      <c r="T118" s="1115"/>
      <c r="U118" s="1116"/>
      <c r="V118" s="1117"/>
      <c r="W118" s="1117"/>
      <c r="X118" s="1117"/>
      <c r="Y118" s="1117"/>
      <c r="Z118" s="1117"/>
      <c r="AA118" s="1118"/>
      <c r="AB118" s="1119"/>
      <c r="AC118" s="1142"/>
      <c r="AD118" s="917"/>
      <c r="AE118" s="907"/>
      <c r="AF118" s="907"/>
      <c r="AG118" s="917"/>
      <c r="AH118" s="917"/>
    </row>
    <row r="119" spans="1:34" ht="20.100000000000001" hidden="1" customHeight="1">
      <c r="A119" s="1120"/>
      <c r="B119" s="1113"/>
      <c r="C119" s="1113"/>
      <c r="D119" s="1113"/>
      <c r="E119" s="1114"/>
      <c r="F119" s="1115"/>
      <c r="G119" s="1115"/>
      <c r="H119" s="1115"/>
      <c r="I119" s="1115"/>
      <c r="J119" s="1115"/>
      <c r="K119" s="1115"/>
      <c r="L119" s="1115"/>
      <c r="M119" s="1115"/>
      <c r="N119" s="1115"/>
      <c r="O119" s="1115"/>
      <c r="P119" s="1115"/>
      <c r="Q119" s="1115"/>
      <c r="R119" s="1115"/>
      <c r="S119" s="1115"/>
      <c r="T119" s="1115"/>
      <c r="U119" s="1116"/>
      <c r="V119" s="1117"/>
      <c r="W119" s="1117"/>
      <c r="X119" s="1117"/>
      <c r="Y119" s="1117"/>
      <c r="Z119" s="1117"/>
      <c r="AA119" s="1118"/>
      <c r="AB119" s="1119"/>
      <c r="AC119" s="1142"/>
      <c r="AD119" s="917"/>
      <c r="AE119" s="907"/>
      <c r="AF119" s="907"/>
      <c r="AG119" s="917"/>
      <c r="AH119" s="917"/>
    </row>
    <row r="120" spans="1:34" ht="20.100000000000001" hidden="1" customHeight="1">
      <c r="A120" s="1120"/>
      <c r="B120" s="1113"/>
      <c r="C120" s="1113"/>
      <c r="D120" s="1113"/>
      <c r="E120" s="1114"/>
      <c r="F120" s="1115"/>
      <c r="G120" s="1115"/>
      <c r="H120" s="1115"/>
      <c r="I120" s="1115"/>
      <c r="J120" s="1115"/>
      <c r="K120" s="1115"/>
      <c r="L120" s="1115"/>
      <c r="M120" s="1115"/>
      <c r="N120" s="1115"/>
      <c r="O120" s="1115"/>
      <c r="P120" s="1115"/>
      <c r="Q120" s="1115"/>
      <c r="R120" s="1115"/>
      <c r="S120" s="1115"/>
      <c r="T120" s="1115"/>
      <c r="U120" s="1116"/>
      <c r="V120" s="1117"/>
      <c r="W120" s="1117"/>
      <c r="X120" s="1117"/>
      <c r="Y120" s="1117"/>
      <c r="Z120" s="1117"/>
      <c r="AA120" s="1118"/>
      <c r="AB120" s="1119"/>
      <c r="AC120" s="1142"/>
      <c r="AD120" s="917"/>
      <c r="AE120" s="907"/>
      <c r="AF120" s="907"/>
      <c r="AG120" s="917"/>
      <c r="AH120" s="917"/>
    </row>
    <row r="121" spans="1:34" ht="20.100000000000001" hidden="1" customHeight="1">
      <c r="A121" s="1120"/>
      <c r="B121" s="1113"/>
      <c r="C121" s="1113"/>
      <c r="D121" s="1113"/>
      <c r="E121" s="1114"/>
      <c r="F121" s="1115"/>
      <c r="G121" s="1115"/>
      <c r="H121" s="1115"/>
      <c r="I121" s="1115"/>
      <c r="J121" s="1115"/>
      <c r="K121" s="1115"/>
      <c r="L121" s="1115"/>
      <c r="M121" s="1115"/>
      <c r="N121" s="1115"/>
      <c r="O121" s="1115"/>
      <c r="P121" s="1115"/>
      <c r="Q121" s="1115"/>
      <c r="R121" s="1115"/>
      <c r="S121" s="1115"/>
      <c r="T121" s="1115"/>
      <c r="U121" s="1116"/>
      <c r="V121" s="1117"/>
      <c r="W121" s="1117"/>
      <c r="X121" s="1117"/>
      <c r="Y121" s="1117"/>
      <c r="Z121" s="1117"/>
      <c r="AA121" s="1118"/>
      <c r="AB121" s="1119"/>
      <c r="AC121" s="1142"/>
      <c r="AD121" s="917"/>
      <c r="AE121" s="907"/>
      <c r="AF121" s="907"/>
      <c r="AG121" s="917"/>
      <c r="AH121" s="917"/>
    </row>
    <row r="122" spans="1:34" ht="20.100000000000001" hidden="1" customHeight="1">
      <c r="A122" s="1120"/>
      <c r="B122" s="1113"/>
      <c r="C122" s="1113"/>
      <c r="D122" s="1113"/>
      <c r="E122" s="1114"/>
      <c r="F122" s="1115"/>
      <c r="G122" s="1115"/>
      <c r="H122" s="1115"/>
      <c r="I122" s="1115"/>
      <c r="J122" s="1115"/>
      <c r="K122" s="1115"/>
      <c r="L122" s="1115"/>
      <c r="M122" s="1115"/>
      <c r="N122" s="1115"/>
      <c r="O122" s="1115"/>
      <c r="P122" s="1115"/>
      <c r="Q122" s="1115"/>
      <c r="R122" s="1115"/>
      <c r="S122" s="1115"/>
      <c r="T122" s="1115"/>
      <c r="U122" s="1116"/>
      <c r="V122" s="1117"/>
      <c r="W122" s="1117"/>
      <c r="X122" s="1117"/>
      <c r="Y122" s="1117"/>
      <c r="Z122" s="1117"/>
      <c r="AA122" s="1118"/>
      <c r="AB122" s="1119"/>
      <c r="AC122" s="1142"/>
      <c r="AD122" s="917"/>
      <c r="AE122" s="907"/>
      <c r="AF122" s="907"/>
      <c r="AG122" s="917"/>
      <c r="AH122" s="917"/>
    </row>
    <row r="123" spans="1:34" ht="20.100000000000001" hidden="1" customHeight="1">
      <c r="A123" s="1120"/>
      <c r="B123" s="1113"/>
      <c r="C123" s="1113"/>
      <c r="D123" s="1113"/>
      <c r="E123" s="1114"/>
      <c r="F123" s="1115"/>
      <c r="G123" s="1115"/>
      <c r="H123" s="1115"/>
      <c r="I123" s="1115"/>
      <c r="J123" s="1115"/>
      <c r="K123" s="1115"/>
      <c r="L123" s="1115"/>
      <c r="M123" s="1115"/>
      <c r="N123" s="1115"/>
      <c r="O123" s="1115"/>
      <c r="P123" s="1115"/>
      <c r="Q123" s="1115"/>
      <c r="R123" s="1115"/>
      <c r="S123" s="1115"/>
      <c r="T123" s="1115"/>
      <c r="U123" s="1116"/>
      <c r="V123" s="1117"/>
      <c r="W123" s="1117"/>
      <c r="X123" s="1117"/>
      <c r="Y123" s="1117"/>
      <c r="Z123" s="1117"/>
      <c r="AA123" s="1118"/>
      <c r="AB123" s="1119"/>
      <c r="AC123" s="1142"/>
      <c r="AD123" s="917"/>
      <c r="AE123" s="907"/>
      <c r="AF123" s="907"/>
      <c r="AG123" s="917"/>
      <c r="AH123" s="917"/>
    </row>
    <row r="124" spans="1:34" ht="20.100000000000001" hidden="1" customHeight="1">
      <c r="A124" s="1120"/>
      <c r="B124" s="1113"/>
      <c r="C124" s="1113"/>
      <c r="D124" s="1113"/>
      <c r="E124" s="1114"/>
      <c r="F124" s="1115"/>
      <c r="G124" s="1115"/>
      <c r="H124" s="1115"/>
      <c r="I124" s="1115"/>
      <c r="J124" s="1115"/>
      <c r="K124" s="1115"/>
      <c r="L124" s="1115"/>
      <c r="M124" s="1115"/>
      <c r="N124" s="1115"/>
      <c r="O124" s="1115"/>
      <c r="P124" s="1115"/>
      <c r="Q124" s="1115"/>
      <c r="R124" s="1115"/>
      <c r="S124" s="1115"/>
      <c r="T124" s="1115"/>
      <c r="U124" s="1116"/>
      <c r="V124" s="1117"/>
      <c r="W124" s="1117"/>
      <c r="X124" s="1117"/>
      <c r="Y124" s="1117"/>
      <c r="Z124" s="1117"/>
      <c r="AA124" s="1118"/>
      <c r="AB124" s="1119"/>
      <c r="AC124" s="1142"/>
      <c r="AD124" s="917"/>
      <c r="AE124" s="907"/>
      <c r="AF124" s="907"/>
      <c r="AG124" s="917"/>
      <c r="AH124" s="917"/>
    </row>
    <row r="125" spans="1:34" ht="20.100000000000001" hidden="1" customHeight="1">
      <c r="A125" s="1120"/>
      <c r="B125" s="1113"/>
      <c r="C125" s="1113"/>
      <c r="D125" s="1113"/>
      <c r="E125" s="1114"/>
      <c r="F125" s="1115"/>
      <c r="G125" s="1115"/>
      <c r="H125" s="1115"/>
      <c r="I125" s="1115"/>
      <c r="J125" s="1115"/>
      <c r="K125" s="1115"/>
      <c r="L125" s="1115"/>
      <c r="M125" s="1115"/>
      <c r="N125" s="1115"/>
      <c r="O125" s="1115"/>
      <c r="P125" s="1115"/>
      <c r="Q125" s="1115"/>
      <c r="R125" s="1115"/>
      <c r="S125" s="1115"/>
      <c r="T125" s="1115"/>
      <c r="U125" s="1116"/>
      <c r="V125" s="1117"/>
      <c r="W125" s="1117"/>
      <c r="X125" s="1117"/>
      <c r="Y125" s="1117"/>
      <c r="Z125" s="1117"/>
      <c r="AA125" s="1118"/>
      <c r="AB125" s="1119"/>
      <c r="AC125" s="1142"/>
      <c r="AD125" s="917"/>
      <c r="AE125" s="907"/>
      <c r="AF125" s="907"/>
      <c r="AG125" s="917"/>
      <c r="AH125" s="917"/>
    </row>
    <row r="126" spans="1:34" ht="20.100000000000001" hidden="1" customHeight="1">
      <c r="A126" s="1120"/>
      <c r="B126" s="1113"/>
      <c r="C126" s="1113"/>
      <c r="D126" s="1113"/>
      <c r="E126" s="1114"/>
      <c r="F126" s="1115"/>
      <c r="G126" s="1115"/>
      <c r="H126" s="1115"/>
      <c r="I126" s="1115"/>
      <c r="J126" s="1115"/>
      <c r="K126" s="1115"/>
      <c r="L126" s="1115"/>
      <c r="M126" s="1115"/>
      <c r="N126" s="1115"/>
      <c r="O126" s="1115"/>
      <c r="P126" s="1115"/>
      <c r="Q126" s="1115"/>
      <c r="R126" s="1115"/>
      <c r="S126" s="1115"/>
      <c r="T126" s="1115"/>
      <c r="U126" s="1116"/>
      <c r="V126" s="1117"/>
      <c r="W126" s="1117"/>
      <c r="X126" s="1117"/>
      <c r="Y126" s="1117"/>
      <c r="Z126" s="1117"/>
      <c r="AA126" s="1118"/>
      <c r="AB126" s="1119"/>
      <c r="AC126" s="1142"/>
      <c r="AD126" s="917"/>
      <c r="AE126" s="907"/>
      <c r="AF126" s="907"/>
      <c r="AG126" s="917"/>
      <c r="AH126" s="917"/>
    </row>
    <row r="127" spans="1:34" ht="20.100000000000001" hidden="1" customHeight="1">
      <c r="A127" s="1120"/>
      <c r="B127" s="1113"/>
      <c r="C127" s="1113"/>
      <c r="D127" s="1113"/>
      <c r="E127" s="1114"/>
      <c r="F127" s="1115"/>
      <c r="G127" s="1115"/>
      <c r="H127" s="1115"/>
      <c r="I127" s="1115"/>
      <c r="J127" s="1115"/>
      <c r="K127" s="1115"/>
      <c r="L127" s="1115"/>
      <c r="M127" s="1115"/>
      <c r="N127" s="1115"/>
      <c r="O127" s="1115"/>
      <c r="P127" s="1115"/>
      <c r="Q127" s="1115"/>
      <c r="R127" s="1115"/>
      <c r="S127" s="1115"/>
      <c r="T127" s="1115"/>
      <c r="U127" s="1116"/>
      <c r="V127" s="1117"/>
      <c r="W127" s="1117"/>
      <c r="X127" s="1117"/>
      <c r="Y127" s="1117"/>
      <c r="Z127" s="1117"/>
      <c r="AA127" s="1118"/>
      <c r="AB127" s="1119"/>
      <c r="AC127" s="1142"/>
      <c r="AD127" s="917"/>
      <c r="AE127" s="907"/>
      <c r="AF127" s="907"/>
      <c r="AG127" s="917"/>
      <c r="AH127" s="917"/>
    </row>
    <row r="128" spans="1:34" ht="20.100000000000001" hidden="1" customHeight="1">
      <c r="A128" s="1120"/>
      <c r="B128" s="1113"/>
      <c r="C128" s="1113"/>
      <c r="D128" s="1113"/>
      <c r="E128" s="1114"/>
      <c r="F128" s="1115"/>
      <c r="G128" s="1115"/>
      <c r="H128" s="1115"/>
      <c r="I128" s="1115"/>
      <c r="J128" s="1115"/>
      <c r="K128" s="1115"/>
      <c r="L128" s="1115"/>
      <c r="M128" s="1115"/>
      <c r="N128" s="1115"/>
      <c r="O128" s="1115"/>
      <c r="P128" s="1115"/>
      <c r="Q128" s="1115"/>
      <c r="R128" s="1115"/>
      <c r="S128" s="1115"/>
      <c r="T128" s="1115"/>
      <c r="U128" s="1116"/>
      <c r="V128" s="1117"/>
      <c r="W128" s="1117"/>
      <c r="X128" s="1117"/>
      <c r="Y128" s="1117"/>
      <c r="Z128" s="1117"/>
      <c r="AA128" s="1118"/>
      <c r="AB128" s="1119"/>
      <c r="AC128" s="1142"/>
      <c r="AD128" s="917"/>
      <c r="AE128" s="907"/>
      <c r="AF128" s="907"/>
      <c r="AG128" s="917"/>
      <c r="AH128" s="917"/>
    </row>
    <row r="129" spans="1:34" ht="20.100000000000001" hidden="1" customHeight="1">
      <c r="A129" s="1120"/>
      <c r="B129" s="1113"/>
      <c r="C129" s="1113"/>
      <c r="D129" s="1113"/>
      <c r="E129" s="1114"/>
      <c r="F129" s="1115"/>
      <c r="G129" s="1115"/>
      <c r="H129" s="1115"/>
      <c r="I129" s="1115"/>
      <c r="J129" s="1115"/>
      <c r="K129" s="1115"/>
      <c r="L129" s="1115"/>
      <c r="M129" s="1115"/>
      <c r="N129" s="1115"/>
      <c r="O129" s="1115"/>
      <c r="P129" s="1115"/>
      <c r="Q129" s="1115"/>
      <c r="R129" s="1115"/>
      <c r="S129" s="1115"/>
      <c r="T129" s="1115"/>
      <c r="U129" s="1116"/>
      <c r="V129" s="1117"/>
      <c r="W129" s="1117"/>
      <c r="X129" s="1117"/>
      <c r="Y129" s="1117"/>
      <c r="Z129" s="1117"/>
      <c r="AA129" s="1118"/>
      <c r="AB129" s="1119"/>
      <c r="AC129" s="1142"/>
      <c r="AD129" s="917"/>
      <c r="AE129" s="907"/>
      <c r="AF129" s="907"/>
      <c r="AG129" s="917"/>
      <c r="AH129" s="917"/>
    </row>
    <row r="130" spans="1:34" ht="20.100000000000001" hidden="1" customHeight="1">
      <c r="A130" s="1120"/>
      <c r="B130" s="1113"/>
      <c r="C130" s="1113"/>
      <c r="D130" s="1113"/>
      <c r="E130" s="1114"/>
      <c r="F130" s="1115"/>
      <c r="G130" s="1115"/>
      <c r="H130" s="1115"/>
      <c r="I130" s="1115"/>
      <c r="J130" s="1115"/>
      <c r="K130" s="1115"/>
      <c r="L130" s="1115"/>
      <c r="M130" s="1115"/>
      <c r="N130" s="1115"/>
      <c r="O130" s="1115"/>
      <c r="P130" s="1115"/>
      <c r="Q130" s="1115"/>
      <c r="R130" s="1115"/>
      <c r="S130" s="1115"/>
      <c r="T130" s="1115"/>
      <c r="U130" s="1116"/>
      <c r="V130" s="1117"/>
      <c r="W130" s="1117"/>
      <c r="X130" s="1117"/>
      <c r="Y130" s="1117"/>
      <c r="Z130" s="1117"/>
      <c r="AA130" s="1118"/>
      <c r="AB130" s="1119"/>
      <c r="AC130" s="1142"/>
      <c r="AD130" s="917"/>
      <c r="AE130" s="907"/>
      <c r="AF130" s="907"/>
      <c r="AG130" s="917"/>
      <c r="AH130" s="917"/>
    </row>
    <row r="131" spans="1:34" ht="20.100000000000001" hidden="1" customHeight="1">
      <c r="A131" s="1120"/>
      <c r="B131" s="1113"/>
      <c r="C131" s="1113"/>
      <c r="D131" s="1113"/>
      <c r="E131" s="1114"/>
      <c r="F131" s="1115"/>
      <c r="G131" s="1115"/>
      <c r="H131" s="1115"/>
      <c r="I131" s="1115"/>
      <c r="J131" s="1115"/>
      <c r="K131" s="1115"/>
      <c r="L131" s="1115"/>
      <c r="M131" s="1115"/>
      <c r="N131" s="1115"/>
      <c r="O131" s="1115"/>
      <c r="P131" s="1115"/>
      <c r="Q131" s="1115"/>
      <c r="R131" s="1115"/>
      <c r="S131" s="1115"/>
      <c r="T131" s="1115"/>
      <c r="U131" s="1116"/>
      <c r="V131" s="1117"/>
      <c r="W131" s="1117"/>
      <c r="X131" s="1117"/>
      <c r="Y131" s="1117"/>
      <c r="Z131" s="1117"/>
      <c r="AA131" s="1118"/>
      <c r="AB131" s="1119"/>
      <c r="AC131" s="1142"/>
      <c r="AD131" s="917"/>
      <c r="AE131" s="907"/>
      <c r="AF131" s="907"/>
      <c r="AG131" s="917"/>
      <c r="AH131" s="917"/>
    </row>
    <row r="132" spans="1:34" ht="20.100000000000001" hidden="1" customHeight="1">
      <c r="A132" s="1120"/>
      <c r="B132" s="1113"/>
      <c r="C132" s="1113"/>
      <c r="D132" s="1113"/>
      <c r="E132" s="1114"/>
      <c r="F132" s="1115"/>
      <c r="G132" s="1115"/>
      <c r="H132" s="1115"/>
      <c r="I132" s="1115"/>
      <c r="J132" s="1115"/>
      <c r="K132" s="1115"/>
      <c r="L132" s="1115"/>
      <c r="M132" s="1115"/>
      <c r="N132" s="1115"/>
      <c r="O132" s="1115"/>
      <c r="P132" s="1115"/>
      <c r="Q132" s="1115"/>
      <c r="R132" s="1115"/>
      <c r="S132" s="1115"/>
      <c r="T132" s="1115"/>
      <c r="U132" s="1116"/>
      <c r="V132" s="1117"/>
      <c r="W132" s="1117"/>
      <c r="X132" s="1117"/>
      <c r="Y132" s="1117"/>
      <c r="Z132" s="1117"/>
      <c r="AA132" s="1118"/>
      <c r="AB132" s="1119"/>
      <c r="AC132" s="1142"/>
      <c r="AD132" s="917"/>
      <c r="AE132" s="907"/>
      <c r="AF132" s="907"/>
      <c r="AG132" s="917"/>
      <c r="AH132" s="917"/>
    </row>
    <row r="133" spans="1:34" s="1146" customFormat="1" ht="20.100000000000001" hidden="1" customHeight="1">
      <c r="A133" s="1120"/>
      <c r="B133" s="1113"/>
      <c r="C133" s="1113"/>
      <c r="D133" s="1113"/>
      <c r="E133" s="1114"/>
      <c r="F133" s="1115"/>
      <c r="G133" s="1115"/>
      <c r="H133" s="1115"/>
      <c r="I133" s="1115"/>
      <c r="J133" s="1115"/>
      <c r="K133" s="1115"/>
      <c r="L133" s="1115"/>
      <c r="M133" s="1115"/>
      <c r="N133" s="1115"/>
      <c r="O133" s="1115"/>
      <c r="P133" s="1115"/>
      <c r="Q133" s="1115"/>
      <c r="R133" s="1115"/>
      <c r="S133" s="1115"/>
      <c r="T133" s="1115"/>
      <c r="U133" s="1116"/>
      <c r="V133" s="1117"/>
      <c r="W133" s="1117"/>
      <c r="X133" s="1117"/>
      <c r="Y133" s="1117"/>
      <c r="Z133" s="1117"/>
      <c r="AA133" s="1118"/>
      <c r="AB133" s="1144"/>
      <c r="AC133" s="1142"/>
      <c r="AD133" s="1145"/>
      <c r="AE133" s="907"/>
      <c r="AF133" s="907"/>
      <c r="AG133" s="1145"/>
      <c r="AH133" s="1145"/>
    </row>
    <row r="134" spans="1:34" ht="20.100000000000001" hidden="1" customHeight="1">
      <c r="A134" s="1120"/>
      <c r="B134" s="1113"/>
      <c r="C134" s="1113"/>
      <c r="D134" s="1113"/>
      <c r="E134" s="1114"/>
      <c r="F134" s="1115"/>
      <c r="G134" s="1115"/>
      <c r="H134" s="1115"/>
      <c r="I134" s="1115"/>
      <c r="J134" s="1115"/>
      <c r="K134" s="1115"/>
      <c r="L134" s="1115"/>
      <c r="M134" s="1115"/>
      <c r="N134" s="1115"/>
      <c r="O134" s="1115"/>
      <c r="P134" s="1115"/>
      <c r="Q134" s="1115"/>
      <c r="R134" s="1115"/>
      <c r="S134" s="1115"/>
      <c r="T134" s="1115"/>
      <c r="U134" s="1116"/>
      <c r="V134" s="1117"/>
      <c r="W134" s="1117"/>
      <c r="X134" s="1117"/>
      <c r="Y134" s="1117"/>
      <c r="Z134" s="1117"/>
      <c r="AA134" s="1118"/>
      <c r="AB134" s="1119"/>
      <c r="AC134" s="1142"/>
      <c r="AD134" s="917"/>
      <c r="AE134" s="907"/>
      <c r="AF134" s="907"/>
      <c r="AG134" s="917"/>
      <c r="AH134" s="917"/>
    </row>
    <row r="135" spans="1:34" ht="20.100000000000001" hidden="1" customHeight="1">
      <c r="A135" s="1120"/>
      <c r="B135" s="1113"/>
      <c r="C135" s="1113"/>
      <c r="D135" s="1113"/>
      <c r="E135" s="1114"/>
      <c r="F135" s="1115"/>
      <c r="G135" s="1115"/>
      <c r="H135" s="1115"/>
      <c r="I135" s="1115"/>
      <c r="J135" s="1115"/>
      <c r="K135" s="1115"/>
      <c r="L135" s="1115"/>
      <c r="M135" s="1115"/>
      <c r="N135" s="1115"/>
      <c r="O135" s="1115"/>
      <c r="P135" s="1115"/>
      <c r="Q135" s="1115"/>
      <c r="R135" s="1115"/>
      <c r="S135" s="1115"/>
      <c r="T135" s="1115"/>
      <c r="U135" s="1116"/>
      <c r="V135" s="1117"/>
      <c r="W135" s="1117"/>
      <c r="X135" s="1117"/>
      <c r="Y135" s="1117"/>
      <c r="Z135" s="1117"/>
      <c r="AA135" s="1118"/>
      <c r="AB135" s="1119"/>
      <c r="AC135" s="1142"/>
      <c r="AD135" s="917"/>
      <c r="AE135" s="907"/>
      <c r="AF135" s="907"/>
      <c r="AG135" s="917"/>
      <c r="AH135" s="917"/>
    </row>
    <row r="136" spans="1:34" ht="20.100000000000001" hidden="1" customHeight="1">
      <c r="A136" s="1120"/>
      <c r="B136" s="1113"/>
      <c r="C136" s="1113"/>
      <c r="D136" s="1113"/>
      <c r="E136" s="1114"/>
      <c r="F136" s="1115"/>
      <c r="G136" s="1115"/>
      <c r="H136" s="1115"/>
      <c r="I136" s="1115"/>
      <c r="J136" s="1115"/>
      <c r="K136" s="1115"/>
      <c r="L136" s="1115"/>
      <c r="M136" s="1115"/>
      <c r="N136" s="1115"/>
      <c r="O136" s="1115"/>
      <c r="P136" s="1115"/>
      <c r="Q136" s="1115"/>
      <c r="R136" s="1115"/>
      <c r="S136" s="1115"/>
      <c r="T136" s="1115"/>
      <c r="U136" s="1116"/>
      <c r="V136" s="1117"/>
      <c r="W136" s="1117"/>
      <c r="X136" s="1117"/>
      <c r="Y136" s="1117"/>
      <c r="Z136" s="1117"/>
      <c r="AA136" s="1118"/>
      <c r="AB136" s="1119"/>
      <c r="AC136" s="1142"/>
      <c r="AD136" s="917"/>
      <c r="AE136" s="907"/>
      <c r="AF136" s="907"/>
      <c r="AG136" s="917"/>
      <c r="AH136" s="917"/>
    </row>
    <row r="137" spans="1:34" ht="20.100000000000001" hidden="1" customHeight="1">
      <c r="A137" s="1120"/>
      <c r="B137" s="1113"/>
      <c r="C137" s="1113"/>
      <c r="D137" s="1113"/>
      <c r="E137" s="1114"/>
      <c r="F137" s="1115"/>
      <c r="G137" s="1115"/>
      <c r="H137" s="1115"/>
      <c r="I137" s="1115"/>
      <c r="J137" s="1115"/>
      <c r="K137" s="1115"/>
      <c r="L137" s="1115"/>
      <c r="M137" s="1115"/>
      <c r="N137" s="1115"/>
      <c r="O137" s="1115"/>
      <c r="P137" s="1115"/>
      <c r="Q137" s="1115"/>
      <c r="R137" s="1115"/>
      <c r="S137" s="1115"/>
      <c r="T137" s="1115"/>
      <c r="U137" s="1116"/>
      <c r="V137" s="1117"/>
      <c r="W137" s="1117"/>
      <c r="X137" s="1117"/>
      <c r="Y137" s="1117"/>
      <c r="Z137" s="1117"/>
      <c r="AA137" s="1118"/>
      <c r="AB137" s="1119"/>
      <c r="AC137" s="1142"/>
      <c r="AD137" s="917"/>
      <c r="AE137" s="907"/>
      <c r="AF137" s="907"/>
      <c r="AG137" s="917"/>
      <c r="AH137" s="917"/>
    </row>
    <row r="138" spans="1:34" ht="20.100000000000001" hidden="1" customHeight="1">
      <c r="A138" s="1120"/>
      <c r="B138" s="1113"/>
      <c r="C138" s="1113"/>
      <c r="D138" s="1113"/>
      <c r="E138" s="1114"/>
      <c r="F138" s="1115"/>
      <c r="G138" s="1115"/>
      <c r="H138" s="1115"/>
      <c r="I138" s="1115"/>
      <c r="J138" s="1115"/>
      <c r="K138" s="1115"/>
      <c r="L138" s="1115"/>
      <c r="M138" s="1115"/>
      <c r="N138" s="1115"/>
      <c r="O138" s="1115"/>
      <c r="P138" s="1115"/>
      <c r="Q138" s="1115"/>
      <c r="R138" s="1115"/>
      <c r="S138" s="1115"/>
      <c r="T138" s="1115"/>
      <c r="U138" s="1116"/>
      <c r="V138" s="1117"/>
      <c r="W138" s="1117"/>
      <c r="X138" s="1117"/>
      <c r="Y138" s="1117"/>
      <c r="Z138" s="1117"/>
      <c r="AA138" s="1118"/>
      <c r="AB138" s="1119"/>
      <c r="AC138" s="1142"/>
      <c r="AD138" s="917"/>
      <c r="AE138" s="907"/>
      <c r="AF138" s="907"/>
      <c r="AG138" s="917"/>
      <c r="AH138" s="917"/>
    </row>
    <row r="139" spans="1:34" ht="20.100000000000001" hidden="1" customHeight="1">
      <c r="A139" s="1120"/>
      <c r="B139" s="1113"/>
      <c r="C139" s="1113"/>
      <c r="D139" s="1113"/>
      <c r="E139" s="1114"/>
      <c r="F139" s="1115"/>
      <c r="G139" s="1115"/>
      <c r="H139" s="1115"/>
      <c r="I139" s="1115"/>
      <c r="J139" s="1115"/>
      <c r="K139" s="1115"/>
      <c r="L139" s="1115"/>
      <c r="M139" s="1115"/>
      <c r="N139" s="1115"/>
      <c r="O139" s="1115"/>
      <c r="P139" s="1115"/>
      <c r="Q139" s="1115"/>
      <c r="R139" s="1115"/>
      <c r="S139" s="1115"/>
      <c r="T139" s="1115"/>
      <c r="U139" s="1116"/>
      <c r="V139" s="1117"/>
      <c r="W139" s="1117"/>
      <c r="X139" s="1117"/>
      <c r="Y139" s="1117"/>
      <c r="Z139" s="1117"/>
      <c r="AA139" s="1118"/>
      <c r="AB139" s="1119"/>
      <c r="AC139" s="1142"/>
      <c r="AD139" s="917"/>
      <c r="AE139" s="907"/>
      <c r="AF139" s="907"/>
      <c r="AG139" s="917"/>
      <c r="AH139" s="917"/>
    </row>
    <row r="140" spans="1:34" ht="20.100000000000001" hidden="1" customHeight="1">
      <c r="A140" s="1120"/>
      <c r="B140" s="1113"/>
      <c r="C140" s="1113"/>
      <c r="D140" s="1113"/>
      <c r="E140" s="1114"/>
      <c r="F140" s="1115"/>
      <c r="G140" s="1115"/>
      <c r="H140" s="1115"/>
      <c r="I140" s="1115"/>
      <c r="J140" s="1115"/>
      <c r="K140" s="1115"/>
      <c r="L140" s="1115"/>
      <c r="M140" s="1115"/>
      <c r="N140" s="1115"/>
      <c r="O140" s="1115"/>
      <c r="P140" s="1115"/>
      <c r="Q140" s="1115"/>
      <c r="R140" s="1115"/>
      <c r="S140" s="1115"/>
      <c r="T140" s="1115"/>
      <c r="U140" s="1116"/>
      <c r="V140" s="1117"/>
      <c r="W140" s="1117"/>
      <c r="X140" s="1117"/>
      <c r="Y140" s="1117"/>
      <c r="Z140" s="1117"/>
      <c r="AA140" s="1118"/>
      <c r="AB140" s="1119"/>
      <c r="AC140" s="1142"/>
      <c r="AD140" s="917"/>
      <c r="AE140" s="907"/>
      <c r="AF140" s="907"/>
      <c r="AG140" s="917"/>
      <c r="AH140" s="917"/>
    </row>
    <row r="141" spans="1:34" ht="20.100000000000001" hidden="1" customHeight="1">
      <c r="A141" s="1120"/>
      <c r="B141" s="1113"/>
      <c r="C141" s="1113"/>
      <c r="D141" s="1113"/>
      <c r="E141" s="1114"/>
      <c r="F141" s="1115"/>
      <c r="G141" s="1115"/>
      <c r="H141" s="1115"/>
      <c r="I141" s="1115"/>
      <c r="J141" s="1115"/>
      <c r="K141" s="1115"/>
      <c r="L141" s="1115"/>
      <c r="M141" s="1115"/>
      <c r="N141" s="1115"/>
      <c r="O141" s="1115"/>
      <c r="P141" s="1115"/>
      <c r="Q141" s="1115"/>
      <c r="R141" s="1115"/>
      <c r="S141" s="1115"/>
      <c r="T141" s="1115"/>
      <c r="U141" s="1116"/>
      <c r="V141" s="1117"/>
      <c r="W141" s="1117"/>
      <c r="X141" s="1117"/>
      <c r="Y141" s="1117"/>
      <c r="Z141" s="1117"/>
      <c r="AA141" s="1118"/>
      <c r="AB141" s="1119"/>
      <c r="AC141" s="1142"/>
      <c r="AD141" s="917"/>
      <c r="AE141" s="907"/>
      <c r="AF141" s="907"/>
      <c r="AG141" s="917"/>
      <c r="AH141" s="917"/>
    </row>
    <row r="142" spans="1:34" ht="20.100000000000001" hidden="1" customHeight="1">
      <c r="A142" s="1120"/>
      <c r="B142" s="1113"/>
      <c r="C142" s="1113"/>
      <c r="D142" s="1113"/>
      <c r="E142" s="1114"/>
      <c r="F142" s="1115"/>
      <c r="G142" s="1115"/>
      <c r="H142" s="1115"/>
      <c r="I142" s="1115"/>
      <c r="J142" s="1115"/>
      <c r="K142" s="1115"/>
      <c r="L142" s="1115"/>
      <c r="M142" s="1115"/>
      <c r="N142" s="1115"/>
      <c r="O142" s="1115"/>
      <c r="P142" s="1115"/>
      <c r="Q142" s="1115"/>
      <c r="R142" s="1115"/>
      <c r="S142" s="1115"/>
      <c r="T142" s="1115"/>
      <c r="U142" s="1116"/>
      <c r="V142" s="1117"/>
      <c r="W142" s="1117"/>
      <c r="X142" s="1117"/>
      <c r="Y142" s="1117"/>
      <c r="Z142" s="1117"/>
      <c r="AA142" s="1118"/>
      <c r="AB142" s="1119"/>
      <c r="AC142" s="1142"/>
      <c r="AD142" s="917"/>
      <c r="AE142" s="907"/>
      <c r="AF142" s="907"/>
      <c r="AG142" s="917"/>
      <c r="AH142" s="917"/>
    </row>
    <row r="143" spans="1:34" ht="20.100000000000001" hidden="1" customHeight="1">
      <c r="A143" s="1120"/>
      <c r="B143" s="1113"/>
      <c r="C143" s="1113"/>
      <c r="D143" s="1113"/>
      <c r="E143" s="1114"/>
      <c r="F143" s="1115"/>
      <c r="G143" s="1115"/>
      <c r="H143" s="1115"/>
      <c r="I143" s="1115"/>
      <c r="J143" s="1115"/>
      <c r="K143" s="1115"/>
      <c r="L143" s="1115"/>
      <c r="M143" s="1115"/>
      <c r="N143" s="1115"/>
      <c r="O143" s="1115"/>
      <c r="P143" s="1115"/>
      <c r="Q143" s="1115"/>
      <c r="R143" s="1115"/>
      <c r="S143" s="1115"/>
      <c r="T143" s="1115"/>
      <c r="U143" s="1116"/>
      <c r="V143" s="1117"/>
      <c r="W143" s="1117"/>
      <c r="X143" s="1117"/>
      <c r="Y143" s="1117"/>
      <c r="Z143" s="1117"/>
      <c r="AA143" s="1118"/>
      <c r="AB143" s="1119"/>
      <c r="AC143" s="1142"/>
      <c r="AD143" s="917"/>
      <c r="AE143" s="907"/>
      <c r="AF143" s="907"/>
      <c r="AG143" s="917"/>
      <c r="AH143" s="917"/>
    </row>
    <row r="144" spans="1:34" ht="20.100000000000001" hidden="1" customHeight="1">
      <c r="A144" s="1120"/>
      <c r="B144" s="1113"/>
      <c r="C144" s="1113"/>
      <c r="D144" s="1113"/>
      <c r="E144" s="1114"/>
      <c r="F144" s="1115"/>
      <c r="G144" s="1115"/>
      <c r="H144" s="1115"/>
      <c r="I144" s="1115"/>
      <c r="J144" s="1115"/>
      <c r="K144" s="1115"/>
      <c r="L144" s="1115"/>
      <c r="M144" s="1115"/>
      <c r="N144" s="1115"/>
      <c r="O144" s="1115"/>
      <c r="P144" s="1115"/>
      <c r="Q144" s="1115"/>
      <c r="R144" s="1115"/>
      <c r="S144" s="1115"/>
      <c r="T144" s="1115"/>
      <c r="U144" s="1116"/>
      <c r="V144" s="1117"/>
      <c r="W144" s="1117"/>
      <c r="X144" s="1117"/>
      <c r="Y144" s="1117"/>
      <c r="Z144" s="1117"/>
      <c r="AA144" s="1118"/>
      <c r="AB144" s="1119"/>
      <c r="AC144" s="1142"/>
      <c r="AD144" s="917"/>
      <c r="AE144" s="907"/>
      <c r="AF144" s="907"/>
      <c r="AG144" s="917"/>
      <c r="AH144" s="917"/>
    </row>
    <row r="145" spans="1:34" ht="20.100000000000001" hidden="1" customHeight="1">
      <c r="A145" s="1120"/>
      <c r="B145" s="1113"/>
      <c r="C145" s="1113"/>
      <c r="D145" s="1113"/>
      <c r="E145" s="1114"/>
      <c r="F145" s="1115"/>
      <c r="G145" s="1115"/>
      <c r="H145" s="1115"/>
      <c r="I145" s="1115"/>
      <c r="J145" s="1115"/>
      <c r="K145" s="1115"/>
      <c r="L145" s="1115"/>
      <c r="M145" s="1115"/>
      <c r="N145" s="1115"/>
      <c r="O145" s="1115"/>
      <c r="P145" s="1115"/>
      <c r="Q145" s="1115"/>
      <c r="R145" s="1115"/>
      <c r="S145" s="1115"/>
      <c r="T145" s="1115"/>
      <c r="U145" s="1116"/>
      <c r="V145" s="1117"/>
      <c r="W145" s="1117"/>
      <c r="X145" s="1117"/>
      <c r="Y145" s="1117"/>
      <c r="Z145" s="1117"/>
      <c r="AA145" s="1118"/>
      <c r="AB145" s="1119"/>
      <c r="AC145" s="1142"/>
      <c r="AD145" s="917"/>
      <c r="AE145" s="907"/>
      <c r="AF145" s="907"/>
      <c r="AG145" s="917"/>
      <c r="AH145" s="917"/>
    </row>
    <row r="146" spans="1:34" ht="20.100000000000001" hidden="1" customHeight="1">
      <c r="A146" s="1120"/>
      <c r="B146" s="1113"/>
      <c r="C146" s="1113"/>
      <c r="D146" s="1113"/>
      <c r="E146" s="1114"/>
      <c r="F146" s="1115"/>
      <c r="G146" s="1115"/>
      <c r="H146" s="1115"/>
      <c r="I146" s="1115"/>
      <c r="J146" s="1115"/>
      <c r="K146" s="1115"/>
      <c r="L146" s="1115"/>
      <c r="M146" s="1115"/>
      <c r="N146" s="1115"/>
      <c r="O146" s="1115"/>
      <c r="P146" s="1115"/>
      <c r="Q146" s="1115"/>
      <c r="R146" s="1115"/>
      <c r="S146" s="1115"/>
      <c r="T146" s="1115"/>
      <c r="U146" s="1116"/>
      <c r="V146" s="1117"/>
      <c r="W146" s="1117"/>
      <c r="X146" s="1117"/>
      <c r="Y146" s="1117"/>
      <c r="Z146" s="1117"/>
      <c r="AA146" s="1118"/>
      <c r="AB146" s="1119"/>
      <c r="AC146" s="1142"/>
      <c r="AD146" s="917"/>
      <c r="AE146" s="907"/>
      <c r="AF146" s="907"/>
      <c r="AG146" s="917"/>
      <c r="AH146" s="917"/>
    </row>
    <row r="147" spans="1:34" ht="20.100000000000001" hidden="1" customHeight="1">
      <c r="A147" s="1120"/>
      <c r="B147" s="1113"/>
      <c r="C147" s="1113"/>
      <c r="D147" s="1113"/>
      <c r="E147" s="1114"/>
      <c r="F147" s="1115"/>
      <c r="G147" s="1115"/>
      <c r="H147" s="1115"/>
      <c r="I147" s="1115"/>
      <c r="J147" s="1115"/>
      <c r="K147" s="1115"/>
      <c r="L147" s="1115"/>
      <c r="M147" s="1115"/>
      <c r="N147" s="1115"/>
      <c r="O147" s="1115"/>
      <c r="P147" s="1115"/>
      <c r="Q147" s="1115"/>
      <c r="R147" s="1115"/>
      <c r="S147" s="1115"/>
      <c r="T147" s="1115"/>
      <c r="U147" s="1116"/>
      <c r="V147" s="1117"/>
      <c r="W147" s="1117"/>
      <c r="X147" s="1117"/>
      <c r="Y147" s="1117"/>
      <c r="Z147" s="1117"/>
      <c r="AA147" s="1118"/>
      <c r="AB147" s="1119"/>
      <c r="AC147" s="1142"/>
      <c r="AD147" s="917"/>
      <c r="AE147" s="907"/>
      <c r="AF147" s="907"/>
      <c r="AG147" s="917"/>
      <c r="AH147" s="917"/>
    </row>
    <row r="148" spans="1:34" ht="20.100000000000001" hidden="1" customHeight="1">
      <c r="A148" s="1120"/>
      <c r="B148" s="1113"/>
      <c r="C148" s="1113"/>
      <c r="D148" s="1113"/>
      <c r="E148" s="1114"/>
      <c r="F148" s="1115"/>
      <c r="G148" s="1115"/>
      <c r="H148" s="1115"/>
      <c r="I148" s="1115"/>
      <c r="J148" s="1115"/>
      <c r="K148" s="1115"/>
      <c r="L148" s="1115"/>
      <c r="M148" s="1115"/>
      <c r="N148" s="1115"/>
      <c r="O148" s="1115"/>
      <c r="P148" s="1115"/>
      <c r="Q148" s="1115"/>
      <c r="R148" s="1115"/>
      <c r="S148" s="1115"/>
      <c r="T148" s="1115"/>
      <c r="U148" s="1116"/>
      <c r="V148" s="1117"/>
      <c r="W148" s="1117"/>
      <c r="X148" s="1117"/>
      <c r="Y148" s="1117"/>
      <c r="Z148" s="1117"/>
      <c r="AA148" s="1118"/>
      <c r="AB148" s="1119"/>
      <c r="AC148" s="1142"/>
      <c r="AD148" s="917"/>
      <c r="AE148" s="907"/>
      <c r="AF148" s="907"/>
      <c r="AG148" s="917"/>
      <c r="AH148" s="917"/>
    </row>
    <row r="149" spans="1:34" ht="20.100000000000001" hidden="1" customHeight="1">
      <c r="A149" s="1120"/>
      <c r="B149" s="1113"/>
      <c r="C149" s="1113"/>
      <c r="D149" s="1113"/>
      <c r="E149" s="1114"/>
      <c r="F149" s="1115"/>
      <c r="G149" s="1115"/>
      <c r="H149" s="1115"/>
      <c r="I149" s="1115"/>
      <c r="J149" s="1115"/>
      <c r="K149" s="1115"/>
      <c r="L149" s="1115"/>
      <c r="M149" s="1115"/>
      <c r="N149" s="1115"/>
      <c r="O149" s="1115"/>
      <c r="P149" s="1115"/>
      <c r="Q149" s="1115"/>
      <c r="R149" s="1115"/>
      <c r="S149" s="1115"/>
      <c r="T149" s="1115"/>
      <c r="U149" s="1116"/>
      <c r="V149" s="1117"/>
      <c r="W149" s="1117"/>
      <c r="X149" s="1117"/>
      <c r="Y149" s="1117"/>
      <c r="Z149" s="1117"/>
      <c r="AA149" s="1118"/>
      <c r="AB149" s="1119"/>
      <c r="AC149" s="1142"/>
      <c r="AD149" s="917"/>
      <c r="AE149" s="907"/>
      <c r="AF149" s="907"/>
      <c r="AG149" s="917"/>
      <c r="AH149" s="917"/>
    </row>
    <row r="150" spans="1:34" ht="20.100000000000001" hidden="1" customHeight="1">
      <c r="A150" s="1120"/>
      <c r="B150" s="1113"/>
      <c r="C150" s="1113"/>
      <c r="D150" s="1113"/>
      <c r="E150" s="1114"/>
      <c r="F150" s="1115"/>
      <c r="G150" s="1115"/>
      <c r="H150" s="1115"/>
      <c r="I150" s="1115"/>
      <c r="J150" s="1115"/>
      <c r="K150" s="1115"/>
      <c r="L150" s="1115"/>
      <c r="M150" s="1115"/>
      <c r="N150" s="1115"/>
      <c r="O150" s="1115"/>
      <c r="P150" s="1115"/>
      <c r="Q150" s="1115"/>
      <c r="R150" s="1115"/>
      <c r="S150" s="1115"/>
      <c r="T150" s="1115"/>
      <c r="U150" s="1116"/>
      <c r="V150" s="1117"/>
      <c r="W150" s="1117"/>
      <c r="X150" s="1117"/>
      <c r="Y150" s="1117"/>
      <c r="Z150" s="1117"/>
      <c r="AA150" s="1118"/>
      <c r="AB150" s="1119"/>
      <c r="AC150" s="1142"/>
      <c r="AD150" s="917"/>
      <c r="AE150" s="907"/>
      <c r="AF150" s="907"/>
      <c r="AG150" s="917"/>
      <c r="AH150" s="917"/>
    </row>
    <row r="151" spans="1:34" ht="20.100000000000001" hidden="1" customHeight="1">
      <c r="A151" s="1120"/>
      <c r="B151" s="1113"/>
      <c r="C151" s="1113"/>
      <c r="D151" s="1113"/>
      <c r="E151" s="1114"/>
      <c r="F151" s="1115"/>
      <c r="G151" s="1115"/>
      <c r="H151" s="1115"/>
      <c r="I151" s="1115"/>
      <c r="J151" s="1115"/>
      <c r="K151" s="1115"/>
      <c r="L151" s="1115"/>
      <c r="M151" s="1115"/>
      <c r="N151" s="1115"/>
      <c r="O151" s="1115"/>
      <c r="P151" s="1115"/>
      <c r="Q151" s="1115"/>
      <c r="R151" s="1115"/>
      <c r="S151" s="1115"/>
      <c r="T151" s="1115"/>
      <c r="U151" s="1116"/>
      <c r="V151" s="1117"/>
      <c r="W151" s="1117"/>
      <c r="X151" s="1117"/>
      <c r="Y151" s="1117"/>
      <c r="Z151" s="1117"/>
      <c r="AA151" s="1118"/>
      <c r="AB151" s="1119"/>
      <c r="AC151" s="1142"/>
      <c r="AD151" s="917"/>
      <c r="AE151" s="907"/>
      <c r="AF151" s="907"/>
      <c r="AG151" s="917"/>
      <c r="AH151" s="917"/>
    </row>
    <row r="152" spans="1:34" ht="20.100000000000001" hidden="1" customHeight="1">
      <c r="A152" s="1120"/>
      <c r="B152" s="1113"/>
      <c r="C152" s="1113"/>
      <c r="D152" s="1113"/>
      <c r="E152" s="1114"/>
      <c r="F152" s="1115"/>
      <c r="G152" s="1115"/>
      <c r="H152" s="1115"/>
      <c r="I152" s="1115"/>
      <c r="J152" s="1115"/>
      <c r="K152" s="1115"/>
      <c r="L152" s="1115"/>
      <c r="M152" s="1115"/>
      <c r="N152" s="1115"/>
      <c r="O152" s="1115"/>
      <c r="P152" s="1115"/>
      <c r="Q152" s="1115"/>
      <c r="R152" s="1115"/>
      <c r="S152" s="1115"/>
      <c r="T152" s="1115"/>
      <c r="U152" s="1116"/>
      <c r="V152" s="1117"/>
      <c r="W152" s="1117"/>
      <c r="X152" s="1117"/>
      <c r="Y152" s="1117"/>
      <c r="Z152" s="1117"/>
      <c r="AA152" s="1118"/>
      <c r="AB152" s="1119"/>
      <c r="AC152" s="1142"/>
      <c r="AD152" s="917"/>
      <c r="AE152" s="907"/>
      <c r="AF152" s="907"/>
      <c r="AG152" s="917"/>
      <c r="AH152" s="917"/>
    </row>
    <row r="153" spans="1:34" ht="20.100000000000001" hidden="1" customHeight="1">
      <c r="A153" s="1120"/>
      <c r="B153" s="1113"/>
      <c r="C153" s="1113"/>
      <c r="D153" s="1113"/>
      <c r="E153" s="1114"/>
      <c r="F153" s="1115"/>
      <c r="G153" s="1115"/>
      <c r="H153" s="1115"/>
      <c r="I153" s="1115"/>
      <c r="J153" s="1115"/>
      <c r="K153" s="1115"/>
      <c r="L153" s="1115"/>
      <c r="M153" s="1115"/>
      <c r="N153" s="1115"/>
      <c r="O153" s="1115"/>
      <c r="P153" s="1115"/>
      <c r="Q153" s="1115"/>
      <c r="R153" s="1115"/>
      <c r="S153" s="1115"/>
      <c r="T153" s="1115"/>
      <c r="U153" s="1116"/>
      <c r="V153" s="1117"/>
      <c r="W153" s="1117"/>
      <c r="X153" s="1117"/>
      <c r="Y153" s="1117"/>
      <c r="Z153" s="1117"/>
      <c r="AA153" s="1118"/>
      <c r="AB153" s="1119"/>
      <c r="AC153" s="1142"/>
      <c r="AD153" s="917"/>
      <c r="AE153" s="907"/>
      <c r="AF153" s="907"/>
      <c r="AG153" s="917"/>
      <c r="AH153" s="917"/>
    </row>
    <row r="154" spans="1:34" ht="20.100000000000001" hidden="1" customHeight="1">
      <c r="A154" s="1120"/>
      <c r="B154" s="1113"/>
      <c r="C154" s="1113"/>
      <c r="D154" s="1113"/>
      <c r="E154" s="1114"/>
      <c r="F154" s="1115"/>
      <c r="G154" s="1115"/>
      <c r="H154" s="1115"/>
      <c r="I154" s="1115"/>
      <c r="J154" s="1115"/>
      <c r="K154" s="1115"/>
      <c r="L154" s="1115"/>
      <c r="M154" s="1115"/>
      <c r="N154" s="1115"/>
      <c r="O154" s="1115"/>
      <c r="P154" s="1115"/>
      <c r="Q154" s="1115"/>
      <c r="R154" s="1115"/>
      <c r="S154" s="1115"/>
      <c r="T154" s="1115"/>
      <c r="U154" s="1116"/>
      <c r="V154" s="1117"/>
      <c r="W154" s="1117"/>
      <c r="X154" s="1117"/>
      <c r="Y154" s="1117"/>
      <c r="Z154" s="1117"/>
      <c r="AA154" s="1118"/>
      <c r="AB154" s="1119"/>
      <c r="AC154" s="1142"/>
      <c r="AD154" s="917"/>
      <c r="AE154" s="907"/>
      <c r="AF154" s="907"/>
      <c r="AG154" s="917"/>
      <c r="AH154" s="917"/>
    </row>
    <row r="155" spans="1:34" s="1146" customFormat="1" ht="20.100000000000001" hidden="1" customHeight="1">
      <c r="A155" s="1120"/>
      <c r="B155" s="1113"/>
      <c r="C155" s="1113"/>
      <c r="D155" s="1113"/>
      <c r="E155" s="1114"/>
      <c r="F155" s="1115"/>
      <c r="G155" s="1115"/>
      <c r="H155" s="1115"/>
      <c r="I155" s="1115"/>
      <c r="J155" s="1115"/>
      <c r="K155" s="1115"/>
      <c r="L155" s="1115"/>
      <c r="M155" s="1115"/>
      <c r="N155" s="1115"/>
      <c r="O155" s="1115"/>
      <c r="P155" s="1115"/>
      <c r="Q155" s="1115"/>
      <c r="R155" s="1115"/>
      <c r="S155" s="1115"/>
      <c r="T155" s="1115"/>
      <c r="U155" s="1116"/>
      <c r="V155" s="1117"/>
      <c r="W155" s="1117"/>
      <c r="X155" s="1117"/>
      <c r="Y155" s="1117"/>
      <c r="Z155" s="1117"/>
      <c r="AA155" s="1118"/>
      <c r="AB155" s="1144"/>
      <c r="AC155" s="1142"/>
      <c r="AD155" s="1145"/>
      <c r="AE155" s="908"/>
      <c r="AF155" s="909"/>
      <c r="AG155" s="1145"/>
      <c r="AH155" s="1145"/>
    </row>
    <row r="156" spans="1:34" ht="20.100000000000001" hidden="1" customHeight="1">
      <c r="A156" s="1120"/>
      <c r="B156" s="1113"/>
      <c r="C156" s="1113"/>
      <c r="D156" s="1113"/>
      <c r="E156" s="1114"/>
      <c r="F156" s="1115"/>
      <c r="G156" s="1115"/>
      <c r="H156" s="1115"/>
      <c r="I156" s="1115"/>
      <c r="J156" s="1115"/>
      <c r="K156" s="1115"/>
      <c r="L156" s="1115"/>
      <c r="M156" s="1115"/>
      <c r="N156" s="1115"/>
      <c r="O156" s="1115"/>
      <c r="P156" s="1115"/>
      <c r="Q156" s="1115"/>
      <c r="R156" s="1115"/>
      <c r="S156" s="1115"/>
      <c r="T156" s="1115"/>
      <c r="U156" s="1116"/>
      <c r="V156" s="1117"/>
      <c r="W156" s="1117"/>
      <c r="X156" s="1117"/>
      <c r="Y156" s="1117"/>
      <c r="Z156" s="1117"/>
      <c r="AA156" s="1118"/>
      <c r="AB156" s="1119"/>
      <c r="AC156" s="1142"/>
      <c r="AD156" s="917"/>
      <c r="AE156" s="908"/>
      <c r="AF156" s="909"/>
      <c r="AG156" s="917"/>
      <c r="AH156" s="917"/>
    </row>
    <row r="157" spans="1:34" ht="20.100000000000001" hidden="1" customHeight="1">
      <c r="A157" s="1120"/>
      <c r="B157" s="1113"/>
      <c r="C157" s="1113"/>
      <c r="D157" s="1113"/>
      <c r="E157" s="1114"/>
      <c r="F157" s="1115"/>
      <c r="G157" s="1115"/>
      <c r="H157" s="1115"/>
      <c r="I157" s="1115"/>
      <c r="J157" s="1115"/>
      <c r="K157" s="1115"/>
      <c r="L157" s="1115"/>
      <c r="M157" s="1115"/>
      <c r="N157" s="1115"/>
      <c r="O157" s="1115"/>
      <c r="P157" s="1115"/>
      <c r="Q157" s="1115"/>
      <c r="R157" s="1115"/>
      <c r="S157" s="1115"/>
      <c r="T157" s="1115"/>
      <c r="U157" s="1116"/>
      <c r="V157" s="1117"/>
      <c r="W157" s="1117"/>
      <c r="X157" s="1117"/>
      <c r="Y157" s="1117"/>
      <c r="Z157" s="1117"/>
      <c r="AA157" s="1118"/>
      <c r="AB157" s="1119"/>
      <c r="AC157" s="1142"/>
      <c r="AD157" s="917"/>
      <c r="AE157" s="908"/>
      <c r="AF157" s="909"/>
      <c r="AG157" s="917"/>
      <c r="AH157" s="917"/>
    </row>
    <row r="158" spans="1:34" ht="20.100000000000001" hidden="1" customHeight="1">
      <c r="A158" s="1120"/>
      <c r="B158" s="1113"/>
      <c r="C158" s="1113"/>
      <c r="D158" s="1113"/>
      <c r="E158" s="1114"/>
      <c r="F158" s="1115"/>
      <c r="G158" s="1115"/>
      <c r="H158" s="1115"/>
      <c r="I158" s="1115"/>
      <c r="J158" s="1115"/>
      <c r="K158" s="1115"/>
      <c r="L158" s="1115"/>
      <c r="M158" s="1115"/>
      <c r="N158" s="1115"/>
      <c r="O158" s="1115"/>
      <c r="P158" s="1115"/>
      <c r="Q158" s="1115"/>
      <c r="R158" s="1115"/>
      <c r="S158" s="1115"/>
      <c r="T158" s="1115"/>
      <c r="U158" s="1116"/>
      <c r="V158" s="1117"/>
      <c r="W158" s="1117"/>
      <c r="X158" s="1117"/>
      <c r="Y158" s="1117"/>
      <c r="Z158" s="1117"/>
      <c r="AA158" s="1118"/>
      <c r="AB158" s="1119"/>
      <c r="AC158" s="1142"/>
      <c r="AD158" s="917"/>
      <c r="AE158" s="908"/>
      <c r="AF158" s="909"/>
      <c r="AG158" s="917"/>
      <c r="AH158" s="917"/>
    </row>
    <row r="159" spans="1:34" ht="20.100000000000001" hidden="1" customHeight="1">
      <c r="A159" s="1120"/>
      <c r="B159" s="1113"/>
      <c r="C159" s="1113"/>
      <c r="D159" s="1113"/>
      <c r="E159" s="1114"/>
      <c r="F159" s="1115"/>
      <c r="G159" s="1115"/>
      <c r="H159" s="1115"/>
      <c r="I159" s="1115"/>
      <c r="J159" s="1115"/>
      <c r="K159" s="1115"/>
      <c r="L159" s="1115"/>
      <c r="M159" s="1115"/>
      <c r="N159" s="1115"/>
      <c r="O159" s="1115"/>
      <c r="P159" s="1115"/>
      <c r="Q159" s="1115"/>
      <c r="R159" s="1115"/>
      <c r="S159" s="1115"/>
      <c r="T159" s="1115"/>
      <c r="U159" s="1116"/>
      <c r="V159" s="1117"/>
      <c r="W159" s="1117"/>
      <c r="X159" s="1117"/>
      <c r="Y159" s="1117"/>
      <c r="Z159" s="1117"/>
      <c r="AA159" s="1118"/>
      <c r="AB159" s="1119"/>
      <c r="AC159" s="1142"/>
      <c r="AD159" s="917"/>
      <c r="AE159" s="908"/>
      <c r="AF159" s="909"/>
      <c r="AG159" s="917"/>
      <c r="AH159" s="917"/>
    </row>
    <row r="160" spans="1:34" ht="20.100000000000001" hidden="1" customHeight="1">
      <c r="A160" s="1120"/>
      <c r="B160" s="1113"/>
      <c r="C160" s="1113"/>
      <c r="D160" s="1113"/>
      <c r="E160" s="1114"/>
      <c r="F160" s="1115"/>
      <c r="G160" s="1115"/>
      <c r="H160" s="1115"/>
      <c r="I160" s="1115"/>
      <c r="J160" s="1115"/>
      <c r="K160" s="1115"/>
      <c r="L160" s="1115"/>
      <c r="M160" s="1115"/>
      <c r="N160" s="1115"/>
      <c r="O160" s="1115"/>
      <c r="P160" s="1115"/>
      <c r="Q160" s="1115"/>
      <c r="R160" s="1115"/>
      <c r="S160" s="1115"/>
      <c r="T160" s="1115"/>
      <c r="U160" s="1116"/>
      <c r="V160" s="1117"/>
      <c r="W160" s="1117"/>
      <c r="X160" s="1117"/>
      <c r="Y160" s="1117"/>
      <c r="Z160" s="1117"/>
      <c r="AA160" s="1118"/>
      <c r="AB160" s="1119"/>
      <c r="AC160" s="1142"/>
      <c r="AD160" s="917"/>
      <c r="AE160" s="908"/>
      <c r="AF160" s="909"/>
      <c r="AG160" s="917"/>
      <c r="AH160" s="917"/>
    </row>
    <row r="161" spans="1:38" ht="20.100000000000001" hidden="1" customHeight="1">
      <c r="A161" s="1120"/>
      <c r="B161" s="1113"/>
      <c r="C161" s="1113"/>
      <c r="D161" s="1113"/>
      <c r="E161" s="1114"/>
      <c r="F161" s="1115"/>
      <c r="G161" s="1115"/>
      <c r="H161" s="1115"/>
      <c r="I161" s="1115"/>
      <c r="J161" s="1115"/>
      <c r="K161" s="1115"/>
      <c r="L161" s="1115"/>
      <c r="M161" s="1115"/>
      <c r="N161" s="1115"/>
      <c r="O161" s="1115"/>
      <c r="P161" s="1115"/>
      <c r="Q161" s="1115"/>
      <c r="R161" s="1115"/>
      <c r="S161" s="1115"/>
      <c r="T161" s="1115"/>
      <c r="U161" s="1116"/>
      <c r="V161" s="1117"/>
      <c r="W161" s="1117"/>
      <c r="X161" s="1117"/>
      <c r="Y161" s="1117"/>
      <c r="Z161" s="1117"/>
      <c r="AA161" s="1118"/>
      <c r="AB161" s="1119"/>
      <c r="AC161" s="1142"/>
      <c r="AD161" s="917"/>
      <c r="AE161" s="917"/>
      <c r="AF161" s="917"/>
      <c r="AG161" s="917"/>
      <c r="AH161" s="917"/>
    </row>
    <row r="162" spans="1:38" ht="20.100000000000001" hidden="1" customHeight="1">
      <c r="A162" s="1120"/>
      <c r="B162" s="1113"/>
      <c r="C162" s="1113"/>
      <c r="D162" s="1113"/>
      <c r="E162" s="1114"/>
      <c r="F162" s="1115"/>
      <c r="G162" s="1115"/>
      <c r="H162" s="1115"/>
      <c r="I162" s="1115"/>
      <c r="J162" s="1115"/>
      <c r="K162" s="1115"/>
      <c r="L162" s="1115"/>
      <c r="M162" s="1115"/>
      <c r="N162" s="1115"/>
      <c r="O162" s="1115"/>
      <c r="P162" s="1115"/>
      <c r="Q162" s="1115"/>
      <c r="R162" s="1115"/>
      <c r="S162" s="1115"/>
      <c r="T162" s="1115"/>
      <c r="U162" s="1116"/>
      <c r="V162" s="1117"/>
      <c r="W162" s="1117"/>
      <c r="X162" s="1117"/>
      <c r="Y162" s="1117"/>
      <c r="Z162" s="1117"/>
      <c r="AA162" s="1118"/>
      <c r="AB162" s="1119"/>
      <c r="AC162" s="1142"/>
      <c r="AD162" s="917"/>
      <c r="AE162" s="917"/>
      <c r="AF162" s="917"/>
      <c r="AG162" s="917"/>
      <c r="AH162" s="917"/>
    </row>
    <row r="163" spans="1:38" ht="20.100000000000001" hidden="1" customHeight="1">
      <c r="A163" s="1120"/>
      <c r="B163" s="1113"/>
      <c r="C163" s="1113"/>
      <c r="D163" s="1113"/>
      <c r="E163" s="1114"/>
      <c r="F163" s="1115"/>
      <c r="G163" s="1115"/>
      <c r="H163" s="1115"/>
      <c r="I163" s="1115"/>
      <c r="J163" s="1115"/>
      <c r="K163" s="1115"/>
      <c r="L163" s="1115"/>
      <c r="M163" s="1115"/>
      <c r="N163" s="1115"/>
      <c r="O163" s="1115"/>
      <c r="P163" s="1115"/>
      <c r="Q163" s="1115"/>
      <c r="R163" s="1115"/>
      <c r="S163" s="1115"/>
      <c r="T163" s="1115"/>
      <c r="U163" s="1116"/>
      <c r="V163" s="1117"/>
      <c r="W163" s="1117"/>
      <c r="X163" s="1117"/>
      <c r="Y163" s="1117"/>
      <c r="Z163" s="1117"/>
      <c r="AA163" s="1118"/>
      <c r="AB163" s="1119"/>
      <c r="AC163" s="1142"/>
      <c r="AD163" s="917"/>
      <c r="AE163" s="917"/>
      <c r="AF163" s="917"/>
      <c r="AG163" s="917"/>
      <c r="AH163" s="917"/>
    </row>
    <row r="164" spans="1:38" ht="20.100000000000001" hidden="1" customHeight="1">
      <c r="A164" s="1121"/>
      <c r="B164" s="1122"/>
      <c r="C164" s="1122"/>
      <c r="D164" s="1122"/>
      <c r="E164" s="1123"/>
      <c r="F164" s="1124"/>
      <c r="G164" s="1124"/>
      <c r="H164" s="1124"/>
      <c r="I164" s="1124"/>
      <c r="J164" s="1124"/>
      <c r="K164" s="1124"/>
      <c r="L164" s="1124"/>
      <c r="M164" s="1124"/>
      <c r="N164" s="1124"/>
      <c r="O164" s="1124"/>
      <c r="P164" s="1124"/>
      <c r="Q164" s="1124"/>
      <c r="R164" s="1124"/>
      <c r="S164" s="1124"/>
      <c r="T164" s="1124"/>
      <c r="U164" s="1125"/>
      <c r="V164" s="1126"/>
      <c r="W164" s="1126"/>
      <c r="X164" s="1126"/>
      <c r="Y164" s="1126"/>
      <c r="Z164" s="1126"/>
      <c r="AA164" s="1118"/>
      <c r="AB164" s="1119"/>
      <c r="AC164" s="1142"/>
      <c r="AD164" s="917"/>
      <c r="AE164" s="917"/>
      <c r="AF164" s="917"/>
      <c r="AG164" s="917"/>
      <c r="AH164" s="917"/>
    </row>
    <row r="165" spans="1:38" s="1104" customFormat="1" ht="20.100000000000001" customHeight="1">
      <c r="A165" s="1369" t="s">
        <v>351</v>
      </c>
      <c r="B165" s="1370"/>
      <c r="C165" s="1127">
        <f>COUNTA(C6:C164)</f>
        <v>73</v>
      </c>
      <c r="D165" s="1128">
        <f>SUM(D6:D164)</f>
        <v>314.61000000000007</v>
      </c>
      <c r="E165" s="1128"/>
      <c r="F165" s="1129">
        <f t="shared" ref="F165:T165" si="21">SUM(F6:F164)</f>
        <v>0</v>
      </c>
      <c r="G165" s="1129">
        <f t="shared" si="21"/>
        <v>28</v>
      </c>
      <c r="H165" s="1129">
        <f t="shared" si="21"/>
        <v>14</v>
      </c>
      <c r="I165" s="1129">
        <f t="shared" si="21"/>
        <v>11</v>
      </c>
      <c r="J165" s="1129">
        <f t="shared" si="21"/>
        <v>70</v>
      </c>
      <c r="K165" s="1129">
        <f t="shared" si="21"/>
        <v>4</v>
      </c>
      <c r="L165" s="1129">
        <f t="shared" si="21"/>
        <v>1</v>
      </c>
      <c r="M165" s="1129">
        <f t="shared" si="21"/>
        <v>3</v>
      </c>
      <c r="N165" s="1129">
        <f t="shared" si="21"/>
        <v>1</v>
      </c>
      <c r="O165" s="1129">
        <f t="shared" si="21"/>
        <v>0</v>
      </c>
      <c r="P165" s="1129">
        <f t="shared" si="21"/>
        <v>7</v>
      </c>
      <c r="Q165" s="1129">
        <f t="shared" si="21"/>
        <v>1</v>
      </c>
      <c r="R165" s="1129">
        <f t="shared" si="21"/>
        <v>8</v>
      </c>
      <c r="S165" s="1129">
        <f t="shared" si="21"/>
        <v>9</v>
      </c>
      <c r="T165" s="1129">
        <f t="shared" si="21"/>
        <v>8</v>
      </c>
      <c r="U165" s="1128">
        <f>SUM(U6:U164)/C165</f>
        <v>2.1942465753424671</v>
      </c>
      <c r="V165" s="1147">
        <f>SUM(V6:V164)</f>
        <v>492</v>
      </c>
      <c r="W165" s="1147">
        <f>SUM(W6:W164)</f>
        <v>246</v>
      </c>
      <c r="X165" s="1147">
        <f>SUM(X6:X164)</f>
        <v>356</v>
      </c>
      <c r="Y165" s="1147">
        <f>SUM(Y6:Y164)</f>
        <v>19</v>
      </c>
      <c r="Z165" s="1130"/>
      <c r="AA165" s="1118"/>
      <c r="AC165" s="1142"/>
    </row>
    <row r="166" spans="1:38" s="1104" customFormat="1" ht="20.100000000000001" customHeight="1">
      <c r="A166" s="1148"/>
      <c r="B166" s="1148"/>
      <c r="C166" s="1361" t="s">
        <v>352</v>
      </c>
      <c r="D166" s="1361"/>
      <c r="E166" s="1132">
        <f>D165/C165</f>
        <v>4.3097260273972609</v>
      </c>
      <c r="F166" s="1141"/>
      <c r="G166" s="1141"/>
      <c r="H166" s="1141"/>
      <c r="I166" s="1141"/>
      <c r="J166" s="1141"/>
      <c r="K166" s="1141"/>
      <c r="L166" s="1141"/>
      <c r="M166" s="1141"/>
      <c r="N166" s="1141"/>
      <c r="O166" s="1141"/>
      <c r="P166" s="1141"/>
      <c r="Q166" s="1141"/>
      <c r="R166" s="1141"/>
      <c r="S166" s="1141"/>
      <c r="T166" s="1141"/>
      <c r="U166" s="1141"/>
      <c r="V166" s="1112"/>
      <c r="W166" s="1112"/>
      <c r="X166" s="1112"/>
      <c r="Y166" s="1112"/>
      <c r="Z166" s="1112"/>
      <c r="AC166" s="1142"/>
      <c r="AD166" s="1103"/>
      <c r="AG166" s="1103"/>
      <c r="AH166" s="1103"/>
      <c r="AI166" s="1103"/>
    </row>
    <row r="167" spans="1:38" ht="20.100000000000001" customHeight="1">
      <c r="A167" s="1131"/>
      <c r="B167" s="1131"/>
      <c r="C167" s="1131"/>
      <c r="D167" s="1133"/>
      <c r="E167" s="1133"/>
      <c r="F167" s="1131"/>
      <c r="G167" s="1131"/>
      <c r="H167" s="1131"/>
      <c r="I167" s="1131"/>
      <c r="J167" s="1131"/>
      <c r="K167" s="1131"/>
      <c r="L167" s="1131"/>
      <c r="M167" s="1131"/>
      <c r="N167" s="1131"/>
      <c r="O167" s="1131"/>
      <c r="P167" s="1131"/>
      <c r="Q167" s="1131"/>
      <c r="R167" s="1131"/>
      <c r="S167" s="1131"/>
      <c r="T167" s="1131"/>
      <c r="U167" s="1131"/>
      <c r="V167" s="1131"/>
      <c r="W167" s="1131"/>
      <c r="X167" s="1131"/>
      <c r="Y167" s="1131"/>
      <c r="Z167" s="1131"/>
      <c r="AC167" s="1142"/>
      <c r="AD167" s="1104"/>
      <c r="AE167" s="1104"/>
      <c r="AF167" s="1104"/>
      <c r="AG167" s="1104"/>
      <c r="AH167" s="1104"/>
      <c r="AI167" s="1104"/>
      <c r="AJ167" s="1104"/>
      <c r="AK167" s="1104"/>
      <c r="AL167" s="1104"/>
    </row>
    <row r="168" spans="1:38" ht="20.100000000000001" customHeight="1">
      <c r="A168" s="1131"/>
      <c r="B168" s="1131"/>
      <c r="C168" s="1131"/>
      <c r="D168" s="1133"/>
      <c r="E168" s="1133"/>
      <c r="F168" s="1131"/>
      <c r="G168" s="1134"/>
      <c r="H168" s="1134">
        <f>SUM(F165:H165)</f>
        <v>42</v>
      </c>
      <c r="I168" s="1131"/>
      <c r="J168" s="1131"/>
      <c r="K168" s="1131"/>
      <c r="L168" s="1131"/>
      <c r="M168" s="1131"/>
      <c r="N168" s="1131"/>
      <c r="O168" s="1134"/>
      <c r="P168" s="1131"/>
      <c r="Q168" s="1131"/>
      <c r="R168" s="1131"/>
      <c r="S168" s="1134"/>
      <c r="T168" s="1134">
        <f>SUM(K165:T165)</f>
        <v>42</v>
      </c>
      <c r="U168" s="1131"/>
      <c r="V168" s="1131"/>
      <c r="W168" s="1131"/>
      <c r="X168" s="1131"/>
      <c r="Y168" s="1131"/>
      <c r="Z168" s="1131"/>
      <c r="AC168" s="1142"/>
      <c r="AJ168" s="1104"/>
      <c r="AK168" s="1104"/>
      <c r="AL168" s="1104"/>
    </row>
    <row r="169" spans="1:38" ht="20.100000000000001" customHeight="1">
      <c r="A169" s="1131"/>
      <c r="B169" s="1131"/>
      <c r="C169" s="1131"/>
      <c r="D169" s="1133"/>
      <c r="E169" s="1133"/>
      <c r="F169" s="1131"/>
      <c r="G169" s="1131"/>
      <c r="H169" s="1131"/>
      <c r="I169" s="1131"/>
      <c r="J169" s="1131"/>
      <c r="K169" s="1131"/>
      <c r="L169" s="1131"/>
      <c r="M169" s="1131"/>
      <c r="N169" s="1131"/>
      <c r="O169" s="1131"/>
      <c r="P169" s="1131"/>
      <c r="Q169" s="1131"/>
      <c r="R169" s="1131"/>
      <c r="S169" s="1131"/>
      <c r="T169" s="1131"/>
      <c r="U169" s="1131"/>
      <c r="V169" s="1131"/>
      <c r="W169" s="1131"/>
      <c r="X169" s="1131"/>
      <c r="Y169" s="1131"/>
      <c r="Z169" s="1131"/>
      <c r="AC169" s="1142"/>
    </row>
    <row r="170" spans="1:38" ht="20.100000000000001" customHeight="1">
      <c r="A170" s="1131"/>
      <c r="B170" s="1131"/>
      <c r="C170" s="1131"/>
      <c r="D170" s="1133"/>
      <c r="E170" s="1133"/>
      <c r="F170" s="1131"/>
      <c r="G170" s="1131"/>
      <c r="H170" s="1131"/>
      <c r="I170" s="1131"/>
      <c r="J170" s="1131"/>
      <c r="K170" s="1131"/>
      <c r="L170" s="1131"/>
      <c r="M170" s="1131"/>
      <c r="N170" s="1131"/>
      <c r="O170" s="1131"/>
      <c r="P170" s="1131"/>
      <c r="Q170" s="1131"/>
      <c r="R170" s="1131"/>
      <c r="S170" s="1131"/>
      <c r="T170" s="1131"/>
      <c r="U170" s="1131"/>
      <c r="V170" s="1131"/>
      <c r="W170" s="1131"/>
      <c r="X170" s="1131"/>
      <c r="Y170" s="1131"/>
      <c r="Z170" s="1131"/>
      <c r="AC170" s="1142"/>
    </row>
    <row r="171" spans="1:38" ht="20.100000000000001" customHeight="1">
      <c r="A171" s="1131"/>
      <c r="B171" s="1131"/>
      <c r="C171" s="1131"/>
      <c r="D171" s="1133"/>
      <c r="E171" s="1133"/>
      <c r="F171" s="1131"/>
      <c r="G171" s="1131"/>
      <c r="H171" s="1131"/>
      <c r="I171" s="1131"/>
      <c r="J171" s="1131"/>
      <c r="K171" s="1131"/>
      <c r="L171" s="1131"/>
      <c r="M171" s="1131"/>
      <c r="N171" s="1131"/>
      <c r="O171" s="1131"/>
      <c r="P171" s="1131"/>
      <c r="Q171" s="1131"/>
      <c r="R171" s="1131"/>
      <c r="S171" s="1131"/>
      <c r="T171" s="1131"/>
      <c r="U171" s="1131"/>
      <c r="V171" s="1131"/>
      <c r="W171" s="1131"/>
      <c r="X171" s="1131"/>
      <c r="Y171" s="1131"/>
      <c r="Z171" s="1131"/>
      <c r="AC171" s="1142"/>
    </row>
    <row r="172" spans="1:38" ht="20.100000000000001" customHeight="1">
      <c r="A172" s="1131"/>
      <c r="B172" s="1131"/>
      <c r="C172" s="1131"/>
      <c r="D172" s="1133"/>
      <c r="E172" s="1133"/>
      <c r="F172" s="1131"/>
      <c r="G172" s="1131"/>
      <c r="H172" s="1131"/>
      <c r="I172" s="1131"/>
      <c r="J172" s="1131"/>
      <c r="K172" s="1131"/>
      <c r="L172" s="1131"/>
      <c r="M172" s="1131"/>
      <c r="N172" s="1131"/>
      <c r="O172" s="1131"/>
      <c r="P172" s="1131"/>
      <c r="Q172" s="1131"/>
      <c r="R172" s="1131"/>
      <c r="S172" s="1131"/>
      <c r="T172" s="1131"/>
      <c r="U172" s="1131"/>
      <c r="V172" s="1131"/>
      <c r="W172" s="1131"/>
      <c r="X172" s="1131"/>
      <c r="Y172" s="1131"/>
      <c r="Z172" s="1131"/>
    </row>
    <row r="173" spans="1:38" ht="20.100000000000001" customHeight="1">
      <c r="A173" s="1131"/>
      <c r="B173" s="1131"/>
      <c r="C173" s="1131"/>
      <c r="D173" s="1133"/>
      <c r="E173" s="1133"/>
      <c r="F173" s="1131"/>
      <c r="G173" s="1131"/>
      <c r="H173" s="1131"/>
      <c r="I173" s="1131"/>
      <c r="J173" s="1131"/>
      <c r="K173" s="1131"/>
      <c r="L173" s="1131"/>
      <c r="M173" s="1131"/>
      <c r="N173" s="1131"/>
      <c r="O173" s="1131"/>
      <c r="P173" s="1131"/>
      <c r="Q173" s="1131"/>
      <c r="R173" s="1131"/>
      <c r="S173" s="1131"/>
      <c r="T173" s="1131"/>
      <c r="U173" s="1131"/>
      <c r="V173" s="1131"/>
      <c r="W173" s="1131"/>
      <c r="X173" s="1131"/>
      <c r="Y173" s="1131"/>
      <c r="Z173" s="1131"/>
    </row>
    <row r="174" spans="1:38" ht="20.100000000000001" customHeight="1">
      <c r="A174" s="1131"/>
      <c r="B174" s="1131"/>
      <c r="C174" s="1131"/>
      <c r="D174" s="1133"/>
      <c r="E174" s="1133"/>
      <c r="F174" s="1131"/>
      <c r="G174" s="1131"/>
      <c r="H174" s="1131"/>
      <c r="I174" s="1131"/>
      <c r="J174" s="1131"/>
      <c r="K174" s="1131"/>
      <c r="L174" s="1131"/>
      <c r="M174" s="1131"/>
      <c r="N174" s="1131"/>
      <c r="O174" s="1131"/>
      <c r="P174" s="1131"/>
      <c r="Q174" s="1131"/>
      <c r="R174" s="1131"/>
      <c r="S174" s="1131"/>
      <c r="T174" s="1131"/>
      <c r="U174" s="1131"/>
      <c r="V174" s="1131"/>
      <c r="W174" s="1131"/>
      <c r="X174" s="1131"/>
      <c r="Y174" s="1131"/>
      <c r="Z174" s="1131"/>
    </row>
    <row r="175" spans="1:38" ht="20.100000000000001" customHeight="1">
      <c r="A175" s="1131"/>
      <c r="B175" s="1131"/>
      <c r="C175" s="1131"/>
      <c r="D175" s="1133"/>
      <c r="E175" s="1133"/>
      <c r="F175" s="1131"/>
      <c r="G175" s="1131"/>
      <c r="H175" s="1131"/>
      <c r="I175" s="1131"/>
      <c r="J175" s="1131"/>
      <c r="K175" s="1131"/>
      <c r="L175" s="1131"/>
      <c r="M175" s="1131"/>
      <c r="N175" s="1131"/>
      <c r="O175" s="1131"/>
      <c r="P175" s="1131"/>
      <c r="Q175" s="1131"/>
      <c r="R175" s="1131"/>
      <c r="S175" s="1131"/>
      <c r="T175" s="1131"/>
      <c r="U175" s="1131"/>
      <c r="V175" s="1131"/>
      <c r="W175" s="1131"/>
      <c r="X175" s="1131"/>
      <c r="Y175" s="1131"/>
      <c r="Z175" s="1131"/>
    </row>
    <row r="176" spans="1:38" ht="20.100000000000001" customHeight="1">
      <c r="A176" s="1131"/>
      <c r="B176" s="1131"/>
      <c r="C176" s="1131"/>
      <c r="D176" s="1133"/>
      <c r="E176" s="1133"/>
      <c r="F176" s="1131"/>
      <c r="G176" s="1131"/>
      <c r="H176" s="1131"/>
      <c r="I176" s="1131"/>
      <c r="J176" s="1131"/>
      <c r="K176" s="1131"/>
      <c r="L176" s="1131"/>
      <c r="M176" s="1131"/>
      <c r="N176" s="1131"/>
      <c r="O176" s="1131"/>
      <c r="P176" s="1131"/>
      <c r="Q176" s="1131"/>
      <c r="R176" s="1131"/>
      <c r="S176" s="1131"/>
      <c r="T176" s="1131"/>
      <c r="U176" s="1131"/>
      <c r="V176" s="1131"/>
      <c r="W176" s="1131"/>
      <c r="X176" s="1131"/>
      <c r="Y176" s="1131"/>
      <c r="Z176" s="1131"/>
    </row>
    <row r="177" spans="1:26" ht="20.100000000000001" customHeight="1">
      <c r="A177" s="1131"/>
      <c r="B177" s="1131"/>
      <c r="C177" s="1131"/>
      <c r="D177" s="1133"/>
      <c r="E177" s="1133"/>
      <c r="F177" s="1131"/>
      <c r="G177" s="1131"/>
      <c r="H177" s="1131"/>
      <c r="I177" s="1131"/>
      <c r="J177" s="1131"/>
      <c r="K177" s="1131"/>
      <c r="L177" s="1131"/>
      <c r="M177" s="1131"/>
      <c r="N177" s="1131"/>
      <c r="O177" s="1131"/>
      <c r="P177" s="1131"/>
      <c r="Q177" s="1131"/>
      <c r="R177" s="1131"/>
      <c r="S177" s="1131"/>
      <c r="T177" s="1131"/>
      <c r="U177" s="1131"/>
      <c r="V177" s="1131"/>
      <c r="W177" s="1131"/>
      <c r="X177" s="1131"/>
      <c r="Y177" s="1131"/>
      <c r="Z177" s="1131"/>
    </row>
    <row r="178" spans="1:26" ht="20.100000000000001" customHeight="1">
      <c r="A178" s="1131"/>
      <c r="B178" s="1131"/>
      <c r="C178" s="1131"/>
      <c r="D178" s="1133"/>
      <c r="E178" s="1133"/>
      <c r="F178" s="1131"/>
      <c r="G178" s="1131"/>
      <c r="H178" s="1131"/>
      <c r="I178" s="1131"/>
      <c r="J178" s="1131"/>
      <c r="K178" s="1131"/>
      <c r="L178" s="1131"/>
      <c r="M178" s="1131"/>
      <c r="N178" s="1131"/>
      <c r="O178" s="1131"/>
      <c r="P178" s="1131"/>
      <c r="Q178" s="1131"/>
      <c r="R178" s="1131"/>
      <c r="S178" s="1131"/>
      <c r="T178" s="1131"/>
      <c r="U178" s="1131"/>
      <c r="V178" s="1131"/>
      <c r="W178" s="1131"/>
      <c r="X178" s="1131"/>
      <c r="Y178" s="1131"/>
      <c r="Z178" s="1131"/>
    </row>
    <row r="179" spans="1:26" ht="20.100000000000001" customHeight="1">
      <c r="A179" s="1131"/>
      <c r="B179" s="1131"/>
      <c r="C179" s="1131"/>
      <c r="D179" s="1133"/>
      <c r="E179" s="1133"/>
      <c r="F179" s="1131"/>
      <c r="G179" s="1131"/>
      <c r="H179" s="1131"/>
      <c r="I179" s="1131"/>
      <c r="J179" s="1131"/>
      <c r="K179" s="1131"/>
      <c r="L179" s="1131"/>
      <c r="M179" s="1131"/>
      <c r="N179" s="1131"/>
      <c r="O179" s="1131"/>
      <c r="P179" s="1131"/>
      <c r="Q179" s="1131"/>
      <c r="R179" s="1131"/>
      <c r="S179" s="1131"/>
      <c r="T179" s="1131"/>
      <c r="U179" s="1131"/>
      <c r="V179" s="1131"/>
      <c r="W179" s="1131"/>
      <c r="X179" s="1131"/>
      <c r="Y179" s="1131"/>
      <c r="Z179" s="1131"/>
    </row>
    <row r="180" spans="1:26" ht="20.100000000000001" customHeight="1">
      <c r="A180" s="1131"/>
      <c r="B180" s="1131"/>
      <c r="C180" s="1131"/>
      <c r="D180" s="1133"/>
      <c r="E180" s="1133"/>
      <c r="F180" s="1131"/>
      <c r="G180" s="1131"/>
      <c r="H180" s="1131"/>
      <c r="I180" s="1131"/>
      <c r="J180" s="1131"/>
      <c r="K180" s="1131"/>
      <c r="L180" s="1131"/>
      <c r="M180" s="1131"/>
      <c r="N180" s="1131"/>
      <c r="O180" s="1131"/>
      <c r="P180" s="1131"/>
      <c r="Q180" s="1131"/>
      <c r="R180" s="1131"/>
      <c r="S180" s="1131"/>
      <c r="T180" s="1131"/>
      <c r="U180" s="1131"/>
      <c r="V180" s="1131"/>
      <c r="W180" s="1131"/>
      <c r="X180" s="1131"/>
      <c r="Y180" s="1131"/>
      <c r="Z180" s="1131"/>
    </row>
    <row r="181" spans="1:26" ht="20.100000000000001" customHeight="1">
      <c r="A181" s="1131"/>
      <c r="B181" s="1131"/>
      <c r="C181" s="1131"/>
      <c r="D181" s="1133"/>
      <c r="E181" s="1133"/>
      <c r="F181" s="1131"/>
      <c r="G181" s="1131"/>
      <c r="H181" s="1131"/>
      <c r="I181" s="1131"/>
      <c r="J181" s="1131"/>
      <c r="K181" s="1131"/>
      <c r="L181" s="1131"/>
      <c r="M181" s="1131"/>
      <c r="N181" s="1131"/>
      <c r="O181" s="1131"/>
      <c r="P181" s="1131"/>
      <c r="Q181" s="1131"/>
      <c r="R181" s="1131"/>
      <c r="S181" s="1131"/>
      <c r="T181" s="1131"/>
      <c r="U181" s="1131"/>
      <c r="V181" s="1131"/>
      <c r="W181" s="1131"/>
      <c r="X181" s="1131"/>
      <c r="Y181" s="1131"/>
      <c r="Z181" s="1131"/>
    </row>
    <row r="182" spans="1:26" ht="20.100000000000001" customHeight="1">
      <c r="A182" s="1131"/>
      <c r="B182" s="1131"/>
      <c r="D182" s="1133"/>
      <c r="E182" s="1133"/>
      <c r="F182" s="1131"/>
      <c r="G182" s="1131"/>
      <c r="H182" s="1131"/>
      <c r="I182" s="1131"/>
      <c r="J182" s="1131"/>
      <c r="K182" s="1131"/>
      <c r="L182" s="1131"/>
      <c r="M182" s="1131"/>
      <c r="N182" s="1131"/>
      <c r="O182" s="1131"/>
      <c r="P182" s="1131"/>
      <c r="Q182" s="1131"/>
      <c r="R182" s="1131"/>
      <c r="S182" s="1131"/>
      <c r="T182" s="1131"/>
      <c r="U182" s="1131"/>
      <c r="V182" s="1131"/>
      <c r="W182" s="1131"/>
      <c r="X182" s="1131"/>
      <c r="Y182" s="1131"/>
      <c r="Z182" s="1131"/>
    </row>
    <row r="183" spans="1:26" ht="20.100000000000001" customHeight="1">
      <c r="A183" s="1103"/>
      <c r="B183" s="1103"/>
    </row>
    <row r="184" spans="1:26" ht="20.100000000000001" customHeight="1">
      <c r="A184" s="1103"/>
      <c r="B184" s="1103"/>
    </row>
    <row r="185" spans="1:26" ht="20.100000000000001" customHeight="1">
      <c r="A185" s="1103"/>
      <c r="B185" s="1103"/>
    </row>
    <row r="186" spans="1:26" ht="20.100000000000001" customHeight="1">
      <c r="A186" s="1103"/>
      <c r="B186" s="1103"/>
    </row>
    <row r="187" spans="1:26" ht="20.100000000000001" customHeight="1">
      <c r="A187" s="1103"/>
      <c r="B187" s="1103"/>
    </row>
    <row r="188" spans="1:26" ht="20.100000000000001" customHeight="1">
      <c r="A188" s="1103"/>
      <c r="B188" s="1103"/>
    </row>
    <row r="189" spans="1:26" ht="20.100000000000001" customHeight="1">
      <c r="A189" s="1103"/>
      <c r="B189" s="1103"/>
    </row>
    <row r="190" spans="1:26" ht="20.100000000000001" customHeight="1">
      <c r="A190" s="1103"/>
      <c r="B190" s="1103"/>
    </row>
    <row r="191" spans="1:26" ht="20.100000000000001" customHeight="1">
      <c r="A191" s="1103"/>
      <c r="B191" s="1103"/>
    </row>
    <row r="192" spans="1:26" ht="20.100000000000001" customHeight="1">
      <c r="A192" s="1103"/>
      <c r="B192" s="1103"/>
    </row>
    <row r="193" spans="1:32" ht="20.100000000000001" customHeight="1">
      <c r="A193" s="1103"/>
      <c r="B193" s="1103"/>
    </row>
    <row r="194" spans="1:32" ht="20.100000000000001" customHeight="1">
      <c r="A194" s="1103"/>
      <c r="B194" s="1103"/>
    </row>
    <row r="195" spans="1:32" ht="20.100000000000001" customHeight="1">
      <c r="A195" s="1103"/>
      <c r="B195" s="1103"/>
    </row>
    <row r="196" spans="1:32" ht="20.100000000000001" customHeight="1">
      <c r="A196" s="1103"/>
      <c r="B196" s="1103"/>
    </row>
    <row r="197" spans="1:32" ht="20.100000000000001" customHeight="1">
      <c r="A197" s="1103"/>
      <c r="B197" s="1103"/>
    </row>
    <row r="198" spans="1:32" ht="20.100000000000001" customHeight="1">
      <c r="A198" s="1103"/>
      <c r="B198" s="1103"/>
    </row>
    <row r="199" spans="1:32" ht="20.100000000000001" customHeight="1">
      <c r="A199" s="1103"/>
      <c r="B199" s="1103"/>
    </row>
    <row r="200" spans="1:32" ht="20.100000000000001" customHeight="1">
      <c r="A200" s="1103"/>
      <c r="B200" s="1103"/>
    </row>
    <row r="201" spans="1:32" ht="20.100000000000001" customHeight="1">
      <c r="A201" s="1103"/>
      <c r="B201" s="1103"/>
    </row>
    <row r="202" spans="1:32" ht="20.100000000000001" customHeight="1">
      <c r="A202" s="1103"/>
      <c r="B202" s="1103"/>
    </row>
    <row r="203" spans="1:32" ht="20.100000000000001" customHeight="1">
      <c r="A203" s="1103"/>
      <c r="B203" s="1103"/>
    </row>
    <row r="204" spans="1:32" ht="20.100000000000001" customHeight="1">
      <c r="A204" s="1103"/>
      <c r="B204" s="1103"/>
    </row>
    <row r="205" spans="1:32" ht="20.100000000000001" customHeight="1">
      <c r="A205" s="1103"/>
      <c r="B205" s="1103"/>
      <c r="AE205" s="1104"/>
      <c r="AF205" s="1104"/>
    </row>
    <row r="206" spans="1:32" ht="20.100000000000001" customHeight="1">
      <c r="A206" s="1103"/>
      <c r="B206" s="1103"/>
      <c r="AE206" s="1104"/>
      <c r="AF206" s="1104"/>
    </row>
    <row r="207" spans="1:32" ht="20.100000000000001" customHeight="1">
      <c r="A207" s="1103"/>
      <c r="B207" s="1103"/>
      <c r="AE207" s="1104"/>
      <c r="AF207" s="1104"/>
    </row>
    <row r="208" spans="1:32" ht="20.100000000000001" customHeight="1">
      <c r="A208" s="1103"/>
      <c r="B208" s="1103"/>
    </row>
    <row r="209" spans="1:38" ht="20.100000000000001" customHeight="1">
      <c r="A209" s="1103"/>
      <c r="B209" s="1103"/>
    </row>
    <row r="210" spans="1:38" ht="20.100000000000001" customHeight="1">
      <c r="A210" s="1103"/>
      <c r="B210" s="1103"/>
    </row>
    <row r="211" spans="1:38" ht="20.100000000000001" customHeight="1">
      <c r="A211" s="1103"/>
      <c r="B211" s="1103"/>
    </row>
    <row r="212" spans="1:38" ht="20.100000000000001" customHeight="1">
      <c r="A212" s="1103"/>
      <c r="B212" s="1103"/>
    </row>
    <row r="213" spans="1:38" ht="20.100000000000001" customHeight="1">
      <c r="A213" s="1103"/>
      <c r="B213" s="1103"/>
    </row>
    <row r="214" spans="1:38" ht="20.100000000000001" customHeight="1">
      <c r="A214" s="1103"/>
      <c r="B214" s="1103"/>
    </row>
    <row r="215" spans="1:38" ht="20.100000000000001" customHeight="1">
      <c r="A215" s="1103"/>
      <c r="B215" s="1103"/>
    </row>
    <row r="216" spans="1:38" ht="20.100000000000001" customHeight="1">
      <c r="A216" s="1103"/>
      <c r="B216" s="1103"/>
    </row>
    <row r="217" spans="1:38" ht="20.100000000000001" customHeight="1">
      <c r="A217" s="1103"/>
      <c r="B217" s="1103"/>
      <c r="AE217" s="1104"/>
      <c r="AF217" s="1104"/>
      <c r="AJ217" s="1104"/>
      <c r="AK217" s="1104"/>
      <c r="AL217" s="1104"/>
    </row>
    <row r="218" spans="1:38" ht="20.100000000000001" customHeight="1">
      <c r="A218" s="1103"/>
      <c r="B218" s="1103"/>
      <c r="AE218" s="1104"/>
      <c r="AF218" s="1104"/>
      <c r="AJ218" s="1104"/>
      <c r="AK218" s="1104"/>
      <c r="AL218" s="1104"/>
    </row>
    <row r="219" spans="1:38" ht="20.100000000000001" customHeight="1">
      <c r="A219" s="1103"/>
      <c r="B219" s="1103"/>
    </row>
    <row r="220" spans="1:38" ht="20.100000000000001" customHeight="1">
      <c r="A220" s="1103"/>
      <c r="B220" s="1103"/>
    </row>
    <row r="221" spans="1:38" ht="20.100000000000001" customHeight="1">
      <c r="A221" s="1103"/>
      <c r="B221" s="1103"/>
    </row>
    <row r="222" spans="1:38" ht="20.100000000000001" customHeight="1">
      <c r="A222" s="1103"/>
      <c r="B222" s="1103"/>
    </row>
    <row r="223" spans="1:38" ht="20.100000000000001" customHeight="1">
      <c r="A223" s="1103"/>
      <c r="B223" s="1103"/>
    </row>
    <row r="224" spans="1:38" ht="20.100000000000001" customHeight="1">
      <c r="A224" s="1103"/>
      <c r="B224" s="1103"/>
    </row>
    <row r="225" spans="1:2" ht="20.100000000000001" customHeight="1">
      <c r="A225" s="1103"/>
      <c r="B225" s="1103"/>
    </row>
    <row r="226" spans="1:2" ht="20.100000000000001" customHeight="1">
      <c r="A226" s="1103"/>
      <c r="B226" s="1103"/>
    </row>
    <row r="227" spans="1:2" ht="20.100000000000001" customHeight="1">
      <c r="A227" s="1103"/>
      <c r="B227" s="1103"/>
    </row>
    <row r="228" spans="1:2" ht="20.100000000000001" customHeight="1">
      <c r="A228" s="1103"/>
      <c r="B228" s="1103"/>
    </row>
    <row r="229" spans="1:2" ht="20.100000000000001" customHeight="1">
      <c r="A229" s="1103"/>
      <c r="B229" s="1103"/>
    </row>
    <row r="230" spans="1:2" ht="20.100000000000001" customHeight="1">
      <c r="A230" s="1103"/>
      <c r="B230" s="1103"/>
    </row>
    <row r="231" spans="1:2" ht="20.100000000000001" customHeight="1">
      <c r="A231" s="1103"/>
      <c r="B231" s="1103"/>
    </row>
    <row r="232" spans="1:2" ht="20.100000000000001" customHeight="1">
      <c r="A232" s="1103"/>
      <c r="B232" s="1103"/>
    </row>
    <row r="233" spans="1:2" ht="20.100000000000001" customHeight="1">
      <c r="A233" s="1103"/>
      <c r="B233" s="1103"/>
    </row>
    <row r="234" spans="1:2" ht="20.100000000000001" customHeight="1">
      <c r="A234" s="1103"/>
      <c r="B234" s="1103"/>
    </row>
    <row r="235" spans="1:2" ht="20.100000000000001" customHeight="1">
      <c r="A235" s="1103"/>
      <c r="B235" s="1103"/>
    </row>
    <row r="236" spans="1:2" ht="20.100000000000001" customHeight="1">
      <c r="A236" s="1103"/>
      <c r="B236" s="1103"/>
    </row>
    <row r="237" spans="1:2" ht="20.100000000000001" customHeight="1">
      <c r="A237" s="1103"/>
      <c r="B237" s="1103"/>
    </row>
    <row r="238" spans="1:2" ht="20.100000000000001" customHeight="1">
      <c r="A238" s="1103"/>
      <c r="B238" s="1103"/>
    </row>
    <row r="239" spans="1:2" ht="20.100000000000001" customHeight="1">
      <c r="A239" s="1103"/>
      <c r="B239" s="1103"/>
    </row>
    <row r="240" spans="1:2" ht="20.100000000000001" customHeight="1">
      <c r="A240" s="1103"/>
      <c r="B240" s="1103"/>
    </row>
    <row r="241" spans="1:2" ht="20.100000000000001" customHeight="1">
      <c r="A241" s="1103"/>
      <c r="B241" s="1103"/>
    </row>
    <row r="242" spans="1:2" ht="20.100000000000001" customHeight="1">
      <c r="A242" s="1103"/>
      <c r="B242" s="1103"/>
    </row>
    <row r="243" spans="1:2" ht="20.100000000000001" customHeight="1">
      <c r="A243" s="1103"/>
      <c r="B243" s="1103"/>
    </row>
    <row r="244" spans="1:2" ht="20.100000000000001" customHeight="1">
      <c r="A244" s="1103"/>
      <c r="B244" s="1103"/>
    </row>
    <row r="245" spans="1:2" ht="20.100000000000001" customHeight="1">
      <c r="A245" s="1103"/>
      <c r="B245" s="1103"/>
    </row>
    <row r="246" spans="1:2" ht="20.100000000000001" customHeight="1">
      <c r="A246" s="1103"/>
      <c r="B246" s="1103"/>
    </row>
    <row r="247" spans="1:2" ht="20.100000000000001" customHeight="1">
      <c r="A247" s="1103"/>
      <c r="B247" s="1103"/>
    </row>
    <row r="248" spans="1:2" ht="20.100000000000001" customHeight="1">
      <c r="A248" s="1103"/>
      <c r="B248" s="1103"/>
    </row>
    <row r="249" spans="1:2" ht="20.100000000000001" customHeight="1">
      <c r="A249" s="1103"/>
      <c r="B249" s="1103"/>
    </row>
    <row r="250" spans="1:2" ht="20.100000000000001" customHeight="1">
      <c r="A250" s="1103"/>
      <c r="B250" s="1103"/>
    </row>
    <row r="251" spans="1:2" ht="20.100000000000001" customHeight="1">
      <c r="A251" s="1103"/>
      <c r="B251" s="1103"/>
    </row>
    <row r="252" spans="1:2" ht="20.100000000000001" customHeight="1">
      <c r="A252" s="1103"/>
      <c r="B252" s="1103"/>
    </row>
  </sheetData>
  <autoFilter ref="A5:WWM166" xr:uid="{00000000-0009-0000-0000-000006000000}"/>
  <mergeCells count="17">
    <mergeCell ref="K2:T2"/>
    <mergeCell ref="A165:B165"/>
    <mergeCell ref="C166:D166"/>
    <mergeCell ref="A1:Z1"/>
    <mergeCell ref="A2:A5"/>
    <mergeCell ref="B2:B5"/>
    <mergeCell ref="C2:C5"/>
    <mergeCell ref="D2:D5"/>
    <mergeCell ref="E2:E5"/>
    <mergeCell ref="F2:H2"/>
    <mergeCell ref="I2:J2"/>
    <mergeCell ref="V2:V5"/>
    <mergeCell ref="Z2:Z5"/>
    <mergeCell ref="W2:W5"/>
    <mergeCell ref="Y2:Y5"/>
    <mergeCell ref="U2:U3"/>
    <mergeCell ref="X2:X5"/>
  </mergeCells>
  <phoneticPr fontId="13" type="noConversion"/>
  <conditionalFormatting sqref="U169:U1048576 U1:U167">
    <cfRule type="cellIs" dxfId="20" priority="10" operator="greaterThan">
      <formula>0.1</formula>
    </cfRule>
  </conditionalFormatting>
  <printOptions horizontalCentered="1" gridLines="1"/>
  <pageMargins left="0.43307086614173229" right="0.31496062992125984" top="0.98425196850393704" bottom="0.78740157480314965" header="0.51181102362204722" footer="0.51181102362204722"/>
  <pageSetup paperSize="9" scale="56" orientation="landscape" blackAndWhite="1" r:id="rId1"/>
  <headerFooter alignWithMargins="0">
    <oddHeader>&amp;C&amp;"돋움,굵게"&amp;14오수원형1호맨홀 수량산출근거-보도측(&amp;P/&amp;N)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2" tint="-0.249977111117893"/>
  </sheetPr>
  <dimension ref="A1:AD96"/>
  <sheetViews>
    <sheetView workbookViewId="0">
      <selection sqref="A1:Q1"/>
    </sheetView>
  </sheetViews>
  <sheetFormatPr defaultRowHeight="30" customHeight="1"/>
  <cols>
    <col min="1" max="1" width="4.109375" style="283" bestFit="1" customWidth="1"/>
    <col min="2" max="2" width="9.5546875" style="283" bestFit="1" customWidth="1"/>
    <col min="3" max="3" width="6.6640625" style="282" bestFit="1" customWidth="1"/>
    <col min="4" max="4" width="7" style="287" bestFit="1" customWidth="1"/>
    <col min="5" max="5" width="8.88671875" style="287"/>
    <col min="6" max="14" width="7.77734375" style="282" customWidth="1"/>
    <col min="15" max="16" width="10.77734375" style="282" customWidth="1"/>
    <col min="17" max="17" width="11.6640625" style="282" customWidth="1"/>
    <col min="18" max="18" width="8.88671875" style="282"/>
    <col min="19" max="19" width="13.109375" style="282" bestFit="1" customWidth="1"/>
    <col min="20" max="22" width="8.88671875" style="282"/>
    <col min="23" max="23" width="11.77734375" style="282" customWidth="1"/>
    <col min="24" max="258" width="8.88671875" style="282"/>
    <col min="259" max="259" width="4.109375" style="282" bestFit="1" customWidth="1"/>
    <col min="260" max="260" width="9.5546875" style="282" bestFit="1" customWidth="1"/>
    <col min="261" max="261" width="6.6640625" style="282" bestFit="1" customWidth="1"/>
    <col min="262" max="262" width="7" style="282" bestFit="1" customWidth="1"/>
    <col min="263" max="263" width="8.88671875" style="282"/>
    <col min="264" max="264" width="0" style="282" hidden="1" customWidth="1"/>
    <col min="265" max="272" width="6.33203125" style="282" customWidth="1"/>
    <col min="273" max="273" width="4.77734375" style="282" customWidth="1"/>
    <col min="274" max="274" width="8.88671875" style="282"/>
    <col min="275" max="275" width="13.109375" style="282" bestFit="1" customWidth="1"/>
    <col min="276" max="278" width="8.88671875" style="282"/>
    <col min="279" max="279" width="11.77734375" style="282" customWidth="1"/>
    <col min="280" max="514" width="8.88671875" style="282"/>
    <col min="515" max="515" width="4.109375" style="282" bestFit="1" customWidth="1"/>
    <col min="516" max="516" width="9.5546875" style="282" bestFit="1" customWidth="1"/>
    <col min="517" max="517" width="6.6640625" style="282" bestFit="1" customWidth="1"/>
    <col min="518" max="518" width="7" style="282" bestFit="1" customWidth="1"/>
    <col min="519" max="519" width="8.88671875" style="282"/>
    <col min="520" max="520" width="0" style="282" hidden="1" customWidth="1"/>
    <col min="521" max="528" width="6.33203125" style="282" customWidth="1"/>
    <col min="529" max="529" width="4.77734375" style="282" customWidth="1"/>
    <col min="530" max="530" width="8.88671875" style="282"/>
    <col min="531" max="531" width="13.109375" style="282" bestFit="1" customWidth="1"/>
    <col min="532" max="534" width="8.88671875" style="282"/>
    <col min="535" max="535" width="11.77734375" style="282" customWidth="1"/>
    <col min="536" max="770" width="8.88671875" style="282"/>
    <col min="771" max="771" width="4.109375" style="282" bestFit="1" customWidth="1"/>
    <col min="772" max="772" width="9.5546875" style="282" bestFit="1" customWidth="1"/>
    <col min="773" max="773" width="6.6640625" style="282" bestFit="1" customWidth="1"/>
    <col min="774" max="774" width="7" style="282" bestFit="1" customWidth="1"/>
    <col min="775" max="775" width="8.88671875" style="282"/>
    <col min="776" max="776" width="0" style="282" hidden="1" customWidth="1"/>
    <col min="777" max="784" width="6.33203125" style="282" customWidth="1"/>
    <col min="785" max="785" width="4.77734375" style="282" customWidth="1"/>
    <col min="786" max="786" width="8.88671875" style="282"/>
    <col min="787" max="787" width="13.109375" style="282" bestFit="1" customWidth="1"/>
    <col min="788" max="790" width="8.88671875" style="282"/>
    <col min="791" max="791" width="11.77734375" style="282" customWidth="1"/>
    <col min="792" max="1026" width="8.88671875" style="282"/>
    <col min="1027" max="1027" width="4.109375" style="282" bestFit="1" customWidth="1"/>
    <col min="1028" max="1028" width="9.5546875" style="282" bestFit="1" customWidth="1"/>
    <col min="1029" max="1029" width="6.6640625" style="282" bestFit="1" customWidth="1"/>
    <col min="1030" max="1030" width="7" style="282" bestFit="1" customWidth="1"/>
    <col min="1031" max="1031" width="8.88671875" style="282"/>
    <col min="1032" max="1032" width="0" style="282" hidden="1" customWidth="1"/>
    <col min="1033" max="1040" width="6.33203125" style="282" customWidth="1"/>
    <col min="1041" max="1041" width="4.77734375" style="282" customWidth="1"/>
    <col min="1042" max="1042" width="8.88671875" style="282"/>
    <col min="1043" max="1043" width="13.109375" style="282" bestFit="1" customWidth="1"/>
    <col min="1044" max="1046" width="8.88671875" style="282"/>
    <col min="1047" max="1047" width="11.77734375" style="282" customWidth="1"/>
    <col min="1048" max="1282" width="8.88671875" style="282"/>
    <col min="1283" max="1283" width="4.109375" style="282" bestFit="1" customWidth="1"/>
    <col min="1284" max="1284" width="9.5546875" style="282" bestFit="1" customWidth="1"/>
    <col min="1285" max="1285" width="6.6640625" style="282" bestFit="1" customWidth="1"/>
    <col min="1286" max="1286" width="7" style="282" bestFit="1" customWidth="1"/>
    <col min="1287" max="1287" width="8.88671875" style="282"/>
    <col min="1288" max="1288" width="0" style="282" hidden="1" customWidth="1"/>
    <col min="1289" max="1296" width="6.33203125" style="282" customWidth="1"/>
    <col min="1297" max="1297" width="4.77734375" style="282" customWidth="1"/>
    <col min="1298" max="1298" width="8.88671875" style="282"/>
    <col min="1299" max="1299" width="13.109375" style="282" bestFit="1" customWidth="1"/>
    <col min="1300" max="1302" width="8.88671875" style="282"/>
    <col min="1303" max="1303" width="11.77734375" style="282" customWidth="1"/>
    <col min="1304" max="1538" width="8.88671875" style="282"/>
    <col min="1539" max="1539" width="4.109375" style="282" bestFit="1" customWidth="1"/>
    <col min="1540" max="1540" width="9.5546875" style="282" bestFit="1" customWidth="1"/>
    <col min="1541" max="1541" width="6.6640625" style="282" bestFit="1" customWidth="1"/>
    <col min="1542" max="1542" width="7" style="282" bestFit="1" customWidth="1"/>
    <col min="1543" max="1543" width="8.88671875" style="282"/>
    <col min="1544" max="1544" width="0" style="282" hidden="1" customWidth="1"/>
    <col min="1545" max="1552" width="6.33203125" style="282" customWidth="1"/>
    <col min="1553" max="1553" width="4.77734375" style="282" customWidth="1"/>
    <col min="1554" max="1554" width="8.88671875" style="282"/>
    <col min="1555" max="1555" width="13.109375" style="282" bestFit="1" customWidth="1"/>
    <col min="1556" max="1558" width="8.88671875" style="282"/>
    <col min="1559" max="1559" width="11.77734375" style="282" customWidth="1"/>
    <col min="1560" max="1794" width="8.88671875" style="282"/>
    <col min="1795" max="1795" width="4.109375" style="282" bestFit="1" customWidth="1"/>
    <col min="1796" max="1796" width="9.5546875" style="282" bestFit="1" customWidth="1"/>
    <col min="1797" max="1797" width="6.6640625" style="282" bestFit="1" customWidth="1"/>
    <col min="1798" max="1798" width="7" style="282" bestFit="1" customWidth="1"/>
    <col min="1799" max="1799" width="8.88671875" style="282"/>
    <col min="1800" max="1800" width="0" style="282" hidden="1" customWidth="1"/>
    <col min="1801" max="1808" width="6.33203125" style="282" customWidth="1"/>
    <col min="1809" max="1809" width="4.77734375" style="282" customWidth="1"/>
    <col min="1810" max="1810" width="8.88671875" style="282"/>
    <col min="1811" max="1811" width="13.109375" style="282" bestFit="1" customWidth="1"/>
    <col min="1812" max="1814" width="8.88671875" style="282"/>
    <col min="1815" max="1815" width="11.77734375" style="282" customWidth="1"/>
    <col min="1816" max="2050" width="8.88671875" style="282"/>
    <col min="2051" max="2051" width="4.109375" style="282" bestFit="1" customWidth="1"/>
    <col min="2052" max="2052" width="9.5546875" style="282" bestFit="1" customWidth="1"/>
    <col min="2053" max="2053" width="6.6640625" style="282" bestFit="1" customWidth="1"/>
    <col min="2054" max="2054" width="7" style="282" bestFit="1" customWidth="1"/>
    <col min="2055" max="2055" width="8.88671875" style="282"/>
    <col min="2056" max="2056" width="0" style="282" hidden="1" customWidth="1"/>
    <col min="2057" max="2064" width="6.33203125" style="282" customWidth="1"/>
    <col min="2065" max="2065" width="4.77734375" style="282" customWidth="1"/>
    <col min="2066" max="2066" width="8.88671875" style="282"/>
    <col min="2067" max="2067" width="13.109375" style="282" bestFit="1" customWidth="1"/>
    <col min="2068" max="2070" width="8.88671875" style="282"/>
    <col min="2071" max="2071" width="11.77734375" style="282" customWidth="1"/>
    <col min="2072" max="2306" width="8.88671875" style="282"/>
    <col min="2307" max="2307" width="4.109375" style="282" bestFit="1" customWidth="1"/>
    <col min="2308" max="2308" width="9.5546875" style="282" bestFit="1" customWidth="1"/>
    <col min="2309" max="2309" width="6.6640625" style="282" bestFit="1" customWidth="1"/>
    <col min="2310" max="2310" width="7" style="282" bestFit="1" customWidth="1"/>
    <col min="2311" max="2311" width="8.88671875" style="282"/>
    <col min="2312" max="2312" width="0" style="282" hidden="1" customWidth="1"/>
    <col min="2313" max="2320" width="6.33203125" style="282" customWidth="1"/>
    <col min="2321" max="2321" width="4.77734375" style="282" customWidth="1"/>
    <col min="2322" max="2322" width="8.88671875" style="282"/>
    <col min="2323" max="2323" width="13.109375" style="282" bestFit="1" customWidth="1"/>
    <col min="2324" max="2326" width="8.88671875" style="282"/>
    <col min="2327" max="2327" width="11.77734375" style="282" customWidth="1"/>
    <col min="2328" max="2562" width="8.88671875" style="282"/>
    <col min="2563" max="2563" width="4.109375" style="282" bestFit="1" customWidth="1"/>
    <col min="2564" max="2564" width="9.5546875" style="282" bestFit="1" customWidth="1"/>
    <col min="2565" max="2565" width="6.6640625" style="282" bestFit="1" customWidth="1"/>
    <col min="2566" max="2566" width="7" style="282" bestFit="1" customWidth="1"/>
    <col min="2567" max="2567" width="8.88671875" style="282"/>
    <col min="2568" max="2568" width="0" style="282" hidden="1" customWidth="1"/>
    <col min="2569" max="2576" width="6.33203125" style="282" customWidth="1"/>
    <col min="2577" max="2577" width="4.77734375" style="282" customWidth="1"/>
    <col min="2578" max="2578" width="8.88671875" style="282"/>
    <col min="2579" max="2579" width="13.109375" style="282" bestFit="1" customWidth="1"/>
    <col min="2580" max="2582" width="8.88671875" style="282"/>
    <col min="2583" max="2583" width="11.77734375" style="282" customWidth="1"/>
    <col min="2584" max="2818" width="8.88671875" style="282"/>
    <col min="2819" max="2819" width="4.109375" style="282" bestFit="1" customWidth="1"/>
    <col min="2820" max="2820" width="9.5546875" style="282" bestFit="1" customWidth="1"/>
    <col min="2821" max="2821" width="6.6640625" style="282" bestFit="1" customWidth="1"/>
    <col min="2822" max="2822" width="7" style="282" bestFit="1" customWidth="1"/>
    <col min="2823" max="2823" width="8.88671875" style="282"/>
    <col min="2824" max="2824" width="0" style="282" hidden="1" customWidth="1"/>
    <col min="2825" max="2832" width="6.33203125" style="282" customWidth="1"/>
    <col min="2833" max="2833" width="4.77734375" style="282" customWidth="1"/>
    <col min="2834" max="2834" width="8.88671875" style="282"/>
    <col min="2835" max="2835" width="13.109375" style="282" bestFit="1" customWidth="1"/>
    <col min="2836" max="2838" width="8.88671875" style="282"/>
    <col min="2839" max="2839" width="11.77734375" style="282" customWidth="1"/>
    <col min="2840" max="3074" width="8.88671875" style="282"/>
    <col min="3075" max="3075" width="4.109375" style="282" bestFit="1" customWidth="1"/>
    <col min="3076" max="3076" width="9.5546875" style="282" bestFit="1" customWidth="1"/>
    <col min="3077" max="3077" width="6.6640625" style="282" bestFit="1" customWidth="1"/>
    <col min="3078" max="3078" width="7" style="282" bestFit="1" customWidth="1"/>
    <col min="3079" max="3079" width="8.88671875" style="282"/>
    <col min="3080" max="3080" width="0" style="282" hidden="1" customWidth="1"/>
    <col min="3081" max="3088" width="6.33203125" style="282" customWidth="1"/>
    <col min="3089" max="3089" width="4.77734375" style="282" customWidth="1"/>
    <col min="3090" max="3090" width="8.88671875" style="282"/>
    <col min="3091" max="3091" width="13.109375" style="282" bestFit="1" customWidth="1"/>
    <col min="3092" max="3094" width="8.88671875" style="282"/>
    <col min="3095" max="3095" width="11.77734375" style="282" customWidth="1"/>
    <col min="3096" max="3330" width="8.88671875" style="282"/>
    <col min="3331" max="3331" width="4.109375" style="282" bestFit="1" customWidth="1"/>
    <col min="3332" max="3332" width="9.5546875" style="282" bestFit="1" customWidth="1"/>
    <col min="3333" max="3333" width="6.6640625" style="282" bestFit="1" customWidth="1"/>
    <col min="3334" max="3334" width="7" style="282" bestFit="1" customWidth="1"/>
    <col min="3335" max="3335" width="8.88671875" style="282"/>
    <col min="3336" max="3336" width="0" style="282" hidden="1" customWidth="1"/>
    <col min="3337" max="3344" width="6.33203125" style="282" customWidth="1"/>
    <col min="3345" max="3345" width="4.77734375" style="282" customWidth="1"/>
    <col min="3346" max="3346" width="8.88671875" style="282"/>
    <col min="3347" max="3347" width="13.109375" style="282" bestFit="1" customWidth="1"/>
    <col min="3348" max="3350" width="8.88671875" style="282"/>
    <col min="3351" max="3351" width="11.77734375" style="282" customWidth="1"/>
    <col min="3352" max="3586" width="8.88671875" style="282"/>
    <col min="3587" max="3587" width="4.109375" style="282" bestFit="1" customWidth="1"/>
    <col min="3588" max="3588" width="9.5546875" style="282" bestFit="1" customWidth="1"/>
    <col min="3589" max="3589" width="6.6640625" style="282" bestFit="1" customWidth="1"/>
    <col min="3590" max="3590" width="7" style="282" bestFit="1" customWidth="1"/>
    <col min="3591" max="3591" width="8.88671875" style="282"/>
    <col min="3592" max="3592" width="0" style="282" hidden="1" customWidth="1"/>
    <col min="3593" max="3600" width="6.33203125" style="282" customWidth="1"/>
    <col min="3601" max="3601" width="4.77734375" style="282" customWidth="1"/>
    <col min="3602" max="3602" width="8.88671875" style="282"/>
    <col min="3603" max="3603" width="13.109375" style="282" bestFit="1" customWidth="1"/>
    <col min="3604" max="3606" width="8.88671875" style="282"/>
    <col min="3607" max="3607" width="11.77734375" style="282" customWidth="1"/>
    <col min="3608" max="3842" width="8.88671875" style="282"/>
    <col min="3843" max="3843" width="4.109375" style="282" bestFit="1" customWidth="1"/>
    <col min="3844" max="3844" width="9.5546875" style="282" bestFit="1" customWidth="1"/>
    <col min="3845" max="3845" width="6.6640625" style="282" bestFit="1" customWidth="1"/>
    <col min="3846" max="3846" width="7" style="282" bestFit="1" customWidth="1"/>
    <col min="3847" max="3847" width="8.88671875" style="282"/>
    <col min="3848" max="3848" width="0" style="282" hidden="1" customWidth="1"/>
    <col min="3849" max="3856" width="6.33203125" style="282" customWidth="1"/>
    <col min="3857" max="3857" width="4.77734375" style="282" customWidth="1"/>
    <col min="3858" max="3858" width="8.88671875" style="282"/>
    <col min="3859" max="3859" width="13.109375" style="282" bestFit="1" customWidth="1"/>
    <col min="3860" max="3862" width="8.88671875" style="282"/>
    <col min="3863" max="3863" width="11.77734375" style="282" customWidth="1"/>
    <col min="3864" max="4098" width="8.88671875" style="282"/>
    <col min="4099" max="4099" width="4.109375" style="282" bestFit="1" customWidth="1"/>
    <col min="4100" max="4100" width="9.5546875" style="282" bestFit="1" customWidth="1"/>
    <col min="4101" max="4101" width="6.6640625" style="282" bestFit="1" customWidth="1"/>
    <col min="4102" max="4102" width="7" style="282" bestFit="1" customWidth="1"/>
    <col min="4103" max="4103" width="8.88671875" style="282"/>
    <col min="4104" max="4104" width="0" style="282" hidden="1" customWidth="1"/>
    <col min="4105" max="4112" width="6.33203125" style="282" customWidth="1"/>
    <col min="4113" max="4113" width="4.77734375" style="282" customWidth="1"/>
    <col min="4114" max="4114" width="8.88671875" style="282"/>
    <col min="4115" max="4115" width="13.109375" style="282" bestFit="1" customWidth="1"/>
    <col min="4116" max="4118" width="8.88671875" style="282"/>
    <col min="4119" max="4119" width="11.77734375" style="282" customWidth="1"/>
    <col min="4120" max="4354" width="8.88671875" style="282"/>
    <col min="4355" max="4355" width="4.109375" style="282" bestFit="1" customWidth="1"/>
    <col min="4356" max="4356" width="9.5546875" style="282" bestFit="1" customWidth="1"/>
    <col min="4357" max="4357" width="6.6640625" style="282" bestFit="1" customWidth="1"/>
    <col min="4358" max="4358" width="7" style="282" bestFit="1" customWidth="1"/>
    <col min="4359" max="4359" width="8.88671875" style="282"/>
    <col min="4360" max="4360" width="0" style="282" hidden="1" customWidth="1"/>
    <col min="4361" max="4368" width="6.33203125" style="282" customWidth="1"/>
    <col min="4369" max="4369" width="4.77734375" style="282" customWidth="1"/>
    <col min="4370" max="4370" width="8.88671875" style="282"/>
    <col min="4371" max="4371" width="13.109375" style="282" bestFit="1" customWidth="1"/>
    <col min="4372" max="4374" width="8.88671875" style="282"/>
    <col min="4375" max="4375" width="11.77734375" style="282" customWidth="1"/>
    <col min="4376" max="4610" width="8.88671875" style="282"/>
    <col min="4611" max="4611" width="4.109375" style="282" bestFit="1" customWidth="1"/>
    <col min="4612" max="4612" width="9.5546875" style="282" bestFit="1" customWidth="1"/>
    <col min="4613" max="4613" width="6.6640625" style="282" bestFit="1" customWidth="1"/>
    <col min="4614" max="4614" width="7" style="282" bestFit="1" customWidth="1"/>
    <col min="4615" max="4615" width="8.88671875" style="282"/>
    <col min="4616" max="4616" width="0" style="282" hidden="1" customWidth="1"/>
    <col min="4617" max="4624" width="6.33203125" style="282" customWidth="1"/>
    <col min="4625" max="4625" width="4.77734375" style="282" customWidth="1"/>
    <col min="4626" max="4626" width="8.88671875" style="282"/>
    <col min="4627" max="4627" width="13.109375" style="282" bestFit="1" customWidth="1"/>
    <col min="4628" max="4630" width="8.88671875" style="282"/>
    <col min="4631" max="4631" width="11.77734375" style="282" customWidth="1"/>
    <col min="4632" max="4866" width="8.88671875" style="282"/>
    <col min="4867" max="4867" width="4.109375" style="282" bestFit="1" customWidth="1"/>
    <col min="4868" max="4868" width="9.5546875" style="282" bestFit="1" customWidth="1"/>
    <col min="4869" max="4869" width="6.6640625" style="282" bestFit="1" customWidth="1"/>
    <col min="4870" max="4870" width="7" style="282" bestFit="1" customWidth="1"/>
    <col min="4871" max="4871" width="8.88671875" style="282"/>
    <col min="4872" max="4872" width="0" style="282" hidden="1" customWidth="1"/>
    <col min="4873" max="4880" width="6.33203125" style="282" customWidth="1"/>
    <col min="4881" max="4881" width="4.77734375" style="282" customWidth="1"/>
    <col min="4882" max="4882" width="8.88671875" style="282"/>
    <col min="4883" max="4883" width="13.109375" style="282" bestFit="1" customWidth="1"/>
    <col min="4884" max="4886" width="8.88671875" style="282"/>
    <col min="4887" max="4887" width="11.77734375" style="282" customWidth="1"/>
    <col min="4888" max="5122" width="8.88671875" style="282"/>
    <col min="5123" max="5123" width="4.109375" style="282" bestFit="1" customWidth="1"/>
    <col min="5124" max="5124" width="9.5546875" style="282" bestFit="1" customWidth="1"/>
    <col min="5125" max="5125" width="6.6640625" style="282" bestFit="1" customWidth="1"/>
    <col min="5126" max="5126" width="7" style="282" bestFit="1" customWidth="1"/>
    <col min="5127" max="5127" width="8.88671875" style="282"/>
    <col min="5128" max="5128" width="0" style="282" hidden="1" customWidth="1"/>
    <col min="5129" max="5136" width="6.33203125" style="282" customWidth="1"/>
    <col min="5137" max="5137" width="4.77734375" style="282" customWidth="1"/>
    <col min="5138" max="5138" width="8.88671875" style="282"/>
    <col min="5139" max="5139" width="13.109375" style="282" bestFit="1" customWidth="1"/>
    <col min="5140" max="5142" width="8.88671875" style="282"/>
    <col min="5143" max="5143" width="11.77734375" style="282" customWidth="1"/>
    <col min="5144" max="5378" width="8.88671875" style="282"/>
    <col min="5379" max="5379" width="4.109375" style="282" bestFit="1" customWidth="1"/>
    <col min="5380" max="5380" width="9.5546875" style="282" bestFit="1" customWidth="1"/>
    <col min="5381" max="5381" width="6.6640625" style="282" bestFit="1" customWidth="1"/>
    <col min="5382" max="5382" width="7" style="282" bestFit="1" customWidth="1"/>
    <col min="5383" max="5383" width="8.88671875" style="282"/>
    <col min="5384" max="5384" width="0" style="282" hidden="1" customWidth="1"/>
    <col min="5385" max="5392" width="6.33203125" style="282" customWidth="1"/>
    <col min="5393" max="5393" width="4.77734375" style="282" customWidth="1"/>
    <col min="5394" max="5394" width="8.88671875" style="282"/>
    <col min="5395" max="5395" width="13.109375" style="282" bestFit="1" customWidth="1"/>
    <col min="5396" max="5398" width="8.88671875" style="282"/>
    <col min="5399" max="5399" width="11.77734375" style="282" customWidth="1"/>
    <col min="5400" max="5634" width="8.88671875" style="282"/>
    <col min="5635" max="5635" width="4.109375" style="282" bestFit="1" customWidth="1"/>
    <col min="5636" max="5636" width="9.5546875" style="282" bestFit="1" customWidth="1"/>
    <col min="5637" max="5637" width="6.6640625" style="282" bestFit="1" customWidth="1"/>
    <col min="5638" max="5638" width="7" style="282" bestFit="1" customWidth="1"/>
    <col min="5639" max="5639" width="8.88671875" style="282"/>
    <col min="5640" max="5640" width="0" style="282" hidden="1" customWidth="1"/>
    <col min="5641" max="5648" width="6.33203125" style="282" customWidth="1"/>
    <col min="5649" max="5649" width="4.77734375" style="282" customWidth="1"/>
    <col min="5650" max="5650" width="8.88671875" style="282"/>
    <col min="5651" max="5651" width="13.109375" style="282" bestFit="1" customWidth="1"/>
    <col min="5652" max="5654" width="8.88671875" style="282"/>
    <col min="5655" max="5655" width="11.77734375" style="282" customWidth="1"/>
    <col min="5656" max="5890" width="8.88671875" style="282"/>
    <col min="5891" max="5891" width="4.109375" style="282" bestFit="1" customWidth="1"/>
    <col min="5892" max="5892" width="9.5546875" style="282" bestFit="1" customWidth="1"/>
    <col min="5893" max="5893" width="6.6640625" style="282" bestFit="1" customWidth="1"/>
    <col min="5894" max="5894" width="7" style="282" bestFit="1" customWidth="1"/>
    <col min="5895" max="5895" width="8.88671875" style="282"/>
    <col min="5896" max="5896" width="0" style="282" hidden="1" customWidth="1"/>
    <col min="5897" max="5904" width="6.33203125" style="282" customWidth="1"/>
    <col min="5905" max="5905" width="4.77734375" style="282" customWidth="1"/>
    <col min="5906" max="5906" width="8.88671875" style="282"/>
    <col min="5907" max="5907" width="13.109375" style="282" bestFit="1" customWidth="1"/>
    <col min="5908" max="5910" width="8.88671875" style="282"/>
    <col min="5911" max="5911" width="11.77734375" style="282" customWidth="1"/>
    <col min="5912" max="6146" width="8.88671875" style="282"/>
    <col min="6147" max="6147" width="4.109375" style="282" bestFit="1" customWidth="1"/>
    <col min="6148" max="6148" width="9.5546875" style="282" bestFit="1" customWidth="1"/>
    <col min="6149" max="6149" width="6.6640625" style="282" bestFit="1" customWidth="1"/>
    <col min="6150" max="6150" width="7" style="282" bestFit="1" customWidth="1"/>
    <col min="6151" max="6151" width="8.88671875" style="282"/>
    <col min="6152" max="6152" width="0" style="282" hidden="1" customWidth="1"/>
    <col min="6153" max="6160" width="6.33203125" style="282" customWidth="1"/>
    <col min="6161" max="6161" width="4.77734375" style="282" customWidth="1"/>
    <col min="6162" max="6162" width="8.88671875" style="282"/>
    <col min="6163" max="6163" width="13.109375" style="282" bestFit="1" customWidth="1"/>
    <col min="6164" max="6166" width="8.88671875" style="282"/>
    <col min="6167" max="6167" width="11.77734375" style="282" customWidth="1"/>
    <col min="6168" max="6402" width="8.88671875" style="282"/>
    <col min="6403" max="6403" width="4.109375" style="282" bestFit="1" customWidth="1"/>
    <col min="6404" max="6404" width="9.5546875" style="282" bestFit="1" customWidth="1"/>
    <col min="6405" max="6405" width="6.6640625" style="282" bestFit="1" customWidth="1"/>
    <col min="6406" max="6406" width="7" style="282" bestFit="1" customWidth="1"/>
    <col min="6407" max="6407" width="8.88671875" style="282"/>
    <col min="6408" max="6408" width="0" style="282" hidden="1" customWidth="1"/>
    <col min="6409" max="6416" width="6.33203125" style="282" customWidth="1"/>
    <col min="6417" max="6417" width="4.77734375" style="282" customWidth="1"/>
    <col min="6418" max="6418" width="8.88671875" style="282"/>
    <col min="6419" max="6419" width="13.109375" style="282" bestFit="1" customWidth="1"/>
    <col min="6420" max="6422" width="8.88671875" style="282"/>
    <col min="6423" max="6423" width="11.77734375" style="282" customWidth="1"/>
    <col min="6424" max="6658" width="8.88671875" style="282"/>
    <col min="6659" max="6659" width="4.109375" style="282" bestFit="1" customWidth="1"/>
    <col min="6660" max="6660" width="9.5546875" style="282" bestFit="1" customWidth="1"/>
    <col min="6661" max="6661" width="6.6640625" style="282" bestFit="1" customWidth="1"/>
    <col min="6662" max="6662" width="7" style="282" bestFit="1" customWidth="1"/>
    <col min="6663" max="6663" width="8.88671875" style="282"/>
    <col min="6664" max="6664" width="0" style="282" hidden="1" customWidth="1"/>
    <col min="6665" max="6672" width="6.33203125" style="282" customWidth="1"/>
    <col min="6673" max="6673" width="4.77734375" style="282" customWidth="1"/>
    <col min="6674" max="6674" width="8.88671875" style="282"/>
    <col min="6675" max="6675" width="13.109375" style="282" bestFit="1" customWidth="1"/>
    <col min="6676" max="6678" width="8.88671875" style="282"/>
    <col min="6679" max="6679" width="11.77734375" style="282" customWidth="1"/>
    <col min="6680" max="6914" width="8.88671875" style="282"/>
    <col min="6915" max="6915" width="4.109375" style="282" bestFit="1" customWidth="1"/>
    <col min="6916" max="6916" width="9.5546875" style="282" bestFit="1" customWidth="1"/>
    <col min="6917" max="6917" width="6.6640625" style="282" bestFit="1" customWidth="1"/>
    <col min="6918" max="6918" width="7" style="282" bestFit="1" customWidth="1"/>
    <col min="6919" max="6919" width="8.88671875" style="282"/>
    <col min="6920" max="6920" width="0" style="282" hidden="1" customWidth="1"/>
    <col min="6921" max="6928" width="6.33203125" style="282" customWidth="1"/>
    <col min="6929" max="6929" width="4.77734375" style="282" customWidth="1"/>
    <col min="6930" max="6930" width="8.88671875" style="282"/>
    <col min="6931" max="6931" width="13.109375" style="282" bestFit="1" customWidth="1"/>
    <col min="6932" max="6934" width="8.88671875" style="282"/>
    <col min="6935" max="6935" width="11.77734375" style="282" customWidth="1"/>
    <col min="6936" max="7170" width="8.88671875" style="282"/>
    <col min="7171" max="7171" width="4.109375" style="282" bestFit="1" customWidth="1"/>
    <col min="7172" max="7172" width="9.5546875" style="282" bestFit="1" customWidth="1"/>
    <col min="7173" max="7173" width="6.6640625" style="282" bestFit="1" customWidth="1"/>
    <col min="7174" max="7174" width="7" style="282" bestFit="1" customWidth="1"/>
    <col min="7175" max="7175" width="8.88671875" style="282"/>
    <col min="7176" max="7176" width="0" style="282" hidden="1" customWidth="1"/>
    <col min="7177" max="7184" width="6.33203125" style="282" customWidth="1"/>
    <col min="7185" max="7185" width="4.77734375" style="282" customWidth="1"/>
    <col min="7186" max="7186" width="8.88671875" style="282"/>
    <col min="7187" max="7187" width="13.109375" style="282" bestFit="1" customWidth="1"/>
    <col min="7188" max="7190" width="8.88671875" style="282"/>
    <col min="7191" max="7191" width="11.77734375" style="282" customWidth="1"/>
    <col min="7192" max="7426" width="8.88671875" style="282"/>
    <col min="7427" max="7427" width="4.109375" style="282" bestFit="1" customWidth="1"/>
    <col min="7428" max="7428" width="9.5546875" style="282" bestFit="1" customWidth="1"/>
    <col min="7429" max="7429" width="6.6640625" style="282" bestFit="1" customWidth="1"/>
    <col min="7430" max="7430" width="7" style="282" bestFit="1" customWidth="1"/>
    <col min="7431" max="7431" width="8.88671875" style="282"/>
    <col min="7432" max="7432" width="0" style="282" hidden="1" customWidth="1"/>
    <col min="7433" max="7440" width="6.33203125" style="282" customWidth="1"/>
    <col min="7441" max="7441" width="4.77734375" style="282" customWidth="1"/>
    <col min="7442" max="7442" width="8.88671875" style="282"/>
    <col min="7443" max="7443" width="13.109375" style="282" bestFit="1" customWidth="1"/>
    <col min="7444" max="7446" width="8.88671875" style="282"/>
    <col min="7447" max="7447" width="11.77734375" style="282" customWidth="1"/>
    <col min="7448" max="7682" width="8.88671875" style="282"/>
    <col min="7683" max="7683" width="4.109375" style="282" bestFit="1" customWidth="1"/>
    <col min="7684" max="7684" width="9.5546875" style="282" bestFit="1" customWidth="1"/>
    <col min="7685" max="7685" width="6.6640625" style="282" bestFit="1" customWidth="1"/>
    <col min="7686" max="7686" width="7" style="282" bestFit="1" customWidth="1"/>
    <col min="7687" max="7687" width="8.88671875" style="282"/>
    <col min="7688" max="7688" width="0" style="282" hidden="1" customWidth="1"/>
    <col min="7689" max="7696" width="6.33203125" style="282" customWidth="1"/>
    <col min="7697" max="7697" width="4.77734375" style="282" customWidth="1"/>
    <col min="7698" max="7698" width="8.88671875" style="282"/>
    <col min="7699" max="7699" width="13.109375" style="282" bestFit="1" customWidth="1"/>
    <col min="7700" max="7702" width="8.88671875" style="282"/>
    <col min="7703" max="7703" width="11.77734375" style="282" customWidth="1"/>
    <col min="7704" max="7938" width="8.88671875" style="282"/>
    <col min="7939" max="7939" width="4.109375" style="282" bestFit="1" customWidth="1"/>
    <col min="7940" max="7940" width="9.5546875" style="282" bestFit="1" customWidth="1"/>
    <col min="7941" max="7941" width="6.6640625" style="282" bestFit="1" customWidth="1"/>
    <col min="7942" max="7942" width="7" style="282" bestFit="1" customWidth="1"/>
    <col min="7943" max="7943" width="8.88671875" style="282"/>
    <col min="7944" max="7944" width="0" style="282" hidden="1" customWidth="1"/>
    <col min="7945" max="7952" width="6.33203125" style="282" customWidth="1"/>
    <col min="7953" max="7953" width="4.77734375" style="282" customWidth="1"/>
    <col min="7954" max="7954" width="8.88671875" style="282"/>
    <col min="7955" max="7955" width="13.109375" style="282" bestFit="1" customWidth="1"/>
    <col min="7956" max="7958" width="8.88671875" style="282"/>
    <col min="7959" max="7959" width="11.77734375" style="282" customWidth="1"/>
    <col min="7960" max="8194" width="8.88671875" style="282"/>
    <col min="8195" max="8195" width="4.109375" style="282" bestFit="1" customWidth="1"/>
    <col min="8196" max="8196" width="9.5546875" style="282" bestFit="1" customWidth="1"/>
    <col min="8197" max="8197" width="6.6640625" style="282" bestFit="1" customWidth="1"/>
    <col min="8198" max="8198" width="7" style="282" bestFit="1" customWidth="1"/>
    <col min="8199" max="8199" width="8.88671875" style="282"/>
    <col min="8200" max="8200" width="0" style="282" hidden="1" customWidth="1"/>
    <col min="8201" max="8208" width="6.33203125" style="282" customWidth="1"/>
    <col min="8209" max="8209" width="4.77734375" style="282" customWidth="1"/>
    <col min="8210" max="8210" width="8.88671875" style="282"/>
    <col min="8211" max="8211" width="13.109375" style="282" bestFit="1" customWidth="1"/>
    <col min="8212" max="8214" width="8.88671875" style="282"/>
    <col min="8215" max="8215" width="11.77734375" style="282" customWidth="1"/>
    <col min="8216" max="8450" width="8.88671875" style="282"/>
    <col min="8451" max="8451" width="4.109375" style="282" bestFit="1" customWidth="1"/>
    <col min="8452" max="8452" width="9.5546875" style="282" bestFit="1" customWidth="1"/>
    <col min="8453" max="8453" width="6.6640625" style="282" bestFit="1" customWidth="1"/>
    <col min="8454" max="8454" width="7" style="282" bestFit="1" customWidth="1"/>
    <col min="8455" max="8455" width="8.88671875" style="282"/>
    <col min="8456" max="8456" width="0" style="282" hidden="1" customWidth="1"/>
    <col min="8457" max="8464" width="6.33203125" style="282" customWidth="1"/>
    <col min="8465" max="8465" width="4.77734375" style="282" customWidth="1"/>
    <col min="8466" max="8466" width="8.88671875" style="282"/>
    <col min="8467" max="8467" width="13.109375" style="282" bestFit="1" customWidth="1"/>
    <col min="8468" max="8470" width="8.88671875" style="282"/>
    <col min="8471" max="8471" width="11.77734375" style="282" customWidth="1"/>
    <col min="8472" max="8706" width="8.88671875" style="282"/>
    <col min="8707" max="8707" width="4.109375" style="282" bestFit="1" customWidth="1"/>
    <col min="8708" max="8708" width="9.5546875" style="282" bestFit="1" customWidth="1"/>
    <col min="8709" max="8709" width="6.6640625" style="282" bestFit="1" customWidth="1"/>
    <col min="8710" max="8710" width="7" style="282" bestFit="1" customWidth="1"/>
    <col min="8711" max="8711" width="8.88671875" style="282"/>
    <col min="8712" max="8712" width="0" style="282" hidden="1" customWidth="1"/>
    <col min="8713" max="8720" width="6.33203125" style="282" customWidth="1"/>
    <col min="8721" max="8721" width="4.77734375" style="282" customWidth="1"/>
    <col min="8722" max="8722" width="8.88671875" style="282"/>
    <col min="8723" max="8723" width="13.109375" style="282" bestFit="1" customWidth="1"/>
    <col min="8724" max="8726" width="8.88671875" style="282"/>
    <col min="8727" max="8727" width="11.77734375" style="282" customWidth="1"/>
    <col min="8728" max="8962" width="8.88671875" style="282"/>
    <col min="8963" max="8963" width="4.109375" style="282" bestFit="1" customWidth="1"/>
    <col min="8964" max="8964" width="9.5546875" style="282" bestFit="1" customWidth="1"/>
    <col min="8965" max="8965" width="6.6640625" style="282" bestFit="1" customWidth="1"/>
    <col min="8966" max="8966" width="7" style="282" bestFit="1" customWidth="1"/>
    <col min="8967" max="8967" width="8.88671875" style="282"/>
    <col min="8968" max="8968" width="0" style="282" hidden="1" customWidth="1"/>
    <col min="8969" max="8976" width="6.33203125" style="282" customWidth="1"/>
    <col min="8977" max="8977" width="4.77734375" style="282" customWidth="1"/>
    <col min="8978" max="8978" width="8.88671875" style="282"/>
    <col min="8979" max="8979" width="13.109375" style="282" bestFit="1" customWidth="1"/>
    <col min="8980" max="8982" width="8.88671875" style="282"/>
    <col min="8983" max="8983" width="11.77734375" style="282" customWidth="1"/>
    <col min="8984" max="9218" width="8.88671875" style="282"/>
    <col min="9219" max="9219" width="4.109375" style="282" bestFit="1" customWidth="1"/>
    <col min="9220" max="9220" width="9.5546875" style="282" bestFit="1" customWidth="1"/>
    <col min="9221" max="9221" width="6.6640625" style="282" bestFit="1" customWidth="1"/>
    <col min="9222" max="9222" width="7" style="282" bestFit="1" customWidth="1"/>
    <col min="9223" max="9223" width="8.88671875" style="282"/>
    <col min="9224" max="9224" width="0" style="282" hidden="1" customWidth="1"/>
    <col min="9225" max="9232" width="6.33203125" style="282" customWidth="1"/>
    <col min="9233" max="9233" width="4.77734375" style="282" customWidth="1"/>
    <col min="9234" max="9234" width="8.88671875" style="282"/>
    <col min="9235" max="9235" width="13.109375" style="282" bestFit="1" customWidth="1"/>
    <col min="9236" max="9238" width="8.88671875" style="282"/>
    <col min="9239" max="9239" width="11.77734375" style="282" customWidth="1"/>
    <col min="9240" max="9474" width="8.88671875" style="282"/>
    <col min="9475" max="9475" width="4.109375" style="282" bestFit="1" customWidth="1"/>
    <col min="9476" max="9476" width="9.5546875" style="282" bestFit="1" customWidth="1"/>
    <col min="9477" max="9477" width="6.6640625" style="282" bestFit="1" customWidth="1"/>
    <col min="9478" max="9478" width="7" style="282" bestFit="1" customWidth="1"/>
    <col min="9479" max="9479" width="8.88671875" style="282"/>
    <col min="9480" max="9480" width="0" style="282" hidden="1" customWidth="1"/>
    <col min="9481" max="9488" width="6.33203125" style="282" customWidth="1"/>
    <col min="9489" max="9489" width="4.77734375" style="282" customWidth="1"/>
    <col min="9490" max="9490" width="8.88671875" style="282"/>
    <col min="9491" max="9491" width="13.109375" style="282" bestFit="1" customWidth="1"/>
    <col min="9492" max="9494" width="8.88671875" style="282"/>
    <col min="9495" max="9495" width="11.77734375" style="282" customWidth="1"/>
    <col min="9496" max="9730" width="8.88671875" style="282"/>
    <col min="9731" max="9731" width="4.109375" style="282" bestFit="1" customWidth="1"/>
    <col min="9732" max="9732" width="9.5546875" style="282" bestFit="1" customWidth="1"/>
    <col min="9733" max="9733" width="6.6640625" style="282" bestFit="1" customWidth="1"/>
    <col min="9734" max="9734" width="7" style="282" bestFit="1" customWidth="1"/>
    <col min="9735" max="9735" width="8.88671875" style="282"/>
    <col min="9736" max="9736" width="0" style="282" hidden="1" customWidth="1"/>
    <col min="9737" max="9744" width="6.33203125" style="282" customWidth="1"/>
    <col min="9745" max="9745" width="4.77734375" style="282" customWidth="1"/>
    <col min="9746" max="9746" width="8.88671875" style="282"/>
    <col min="9747" max="9747" width="13.109375" style="282" bestFit="1" customWidth="1"/>
    <col min="9748" max="9750" width="8.88671875" style="282"/>
    <col min="9751" max="9751" width="11.77734375" style="282" customWidth="1"/>
    <col min="9752" max="9986" width="8.88671875" style="282"/>
    <col min="9987" max="9987" width="4.109375" style="282" bestFit="1" customWidth="1"/>
    <col min="9988" max="9988" width="9.5546875" style="282" bestFit="1" customWidth="1"/>
    <col min="9989" max="9989" width="6.6640625" style="282" bestFit="1" customWidth="1"/>
    <col min="9990" max="9990" width="7" style="282" bestFit="1" customWidth="1"/>
    <col min="9991" max="9991" width="8.88671875" style="282"/>
    <col min="9992" max="9992" width="0" style="282" hidden="1" customWidth="1"/>
    <col min="9993" max="10000" width="6.33203125" style="282" customWidth="1"/>
    <col min="10001" max="10001" width="4.77734375" style="282" customWidth="1"/>
    <col min="10002" max="10002" width="8.88671875" style="282"/>
    <col min="10003" max="10003" width="13.109375" style="282" bestFit="1" customWidth="1"/>
    <col min="10004" max="10006" width="8.88671875" style="282"/>
    <col min="10007" max="10007" width="11.77734375" style="282" customWidth="1"/>
    <col min="10008" max="10242" width="8.88671875" style="282"/>
    <col min="10243" max="10243" width="4.109375" style="282" bestFit="1" customWidth="1"/>
    <col min="10244" max="10244" width="9.5546875" style="282" bestFit="1" customWidth="1"/>
    <col min="10245" max="10245" width="6.6640625" style="282" bestFit="1" customWidth="1"/>
    <col min="10246" max="10246" width="7" style="282" bestFit="1" customWidth="1"/>
    <col min="10247" max="10247" width="8.88671875" style="282"/>
    <col min="10248" max="10248" width="0" style="282" hidden="1" customWidth="1"/>
    <col min="10249" max="10256" width="6.33203125" style="282" customWidth="1"/>
    <col min="10257" max="10257" width="4.77734375" style="282" customWidth="1"/>
    <col min="10258" max="10258" width="8.88671875" style="282"/>
    <col min="10259" max="10259" width="13.109375" style="282" bestFit="1" customWidth="1"/>
    <col min="10260" max="10262" width="8.88671875" style="282"/>
    <col min="10263" max="10263" width="11.77734375" style="282" customWidth="1"/>
    <col min="10264" max="10498" width="8.88671875" style="282"/>
    <col min="10499" max="10499" width="4.109375" style="282" bestFit="1" customWidth="1"/>
    <col min="10500" max="10500" width="9.5546875" style="282" bestFit="1" customWidth="1"/>
    <col min="10501" max="10501" width="6.6640625" style="282" bestFit="1" customWidth="1"/>
    <col min="10502" max="10502" width="7" style="282" bestFit="1" customWidth="1"/>
    <col min="10503" max="10503" width="8.88671875" style="282"/>
    <col min="10504" max="10504" width="0" style="282" hidden="1" customWidth="1"/>
    <col min="10505" max="10512" width="6.33203125" style="282" customWidth="1"/>
    <col min="10513" max="10513" width="4.77734375" style="282" customWidth="1"/>
    <col min="10514" max="10514" width="8.88671875" style="282"/>
    <col min="10515" max="10515" width="13.109375" style="282" bestFit="1" customWidth="1"/>
    <col min="10516" max="10518" width="8.88671875" style="282"/>
    <col min="10519" max="10519" width="11.77734375" style="282" customWidth="1"/>
    <col min="10520" max="10754" width="8.88671875" style="282"/>
    <col min="10755" max="10755" width="4.109375" style="282" bestFit="1" customWidth="1"/>
    <col min="10756" max="10756" width="9.5546875" style="282" bestFit="1" customWidth="1"/>
    <col min="10757" max="10757" width="6.6640625" style="282" bestFit="1" customWidth="1"/>
    <col min="10758" max="10758" width="7" style="282" bestFit="1" customWidth="1"/>
    <col min="10759" max="10759" width="8.88671875" style="282"/>
    <col min="10760" max="10760" width="0" style="282" hidden="1" customWidth="1"/>
    <col min="10761" max="10768" width="6.33203125" style="282" customWidth="1"/>
    <col min="10769" max="10769" width="4.77734375" style="282" customWidth="1"/>
    <col min="10770" max="10770" width="8.88671875" style="282"/>
    <col min="10771" max="10771" width="13.109375" style="282" bestFit="1" customWidth="1"/>
    <col min="10772" max="10774" width="8.88671875" style="282"/>
    <col min="10775" max="10775" width="11.77734375" style="282" customWidth="1"/>
    <col min="10776" max="11010" width="8.88671875" style="282"/>
    <col min="11011" max="11011" width="4.109375" style="282" bestFit="1" customWidth="1"/>
    <col min="11012" max="11012" width="9.5546875" style="282" bestFit="1" customWidth="1"/>
    <col min="11013" max="11013" width="6.6640625" style="282" bestFit="1" customWidth="1"/>
    <col min="11014" max="11014" width="7" style="282" bestFit="1" customWidth="1"/>
    <col min="11015" max="11015" width="8.88671875" style="282"/>
    <col min="11016" max="11016" width="0" style="282" hidden="1" customWidth="1"/>
    <col min="11017" max="11024" width="6.33203125" style="282" customWidth="1"/>
    <col min="11025" max="11025" width="4.77734375" style="282" customWidth="1"/>
    <col min="11026" max="11026" width="8.88671875" style="282"/>
    <col min="11027" max="11027" width="13.109375" style="282" bestFit="1" customWidth="1"/>
    <col min="11028" max="11030" width="8.88671875" style="282"/>
    <col min="11031" max="11031" width="11.77734375" style="282" customWidth="1"/>
    <col min="11032" max="11266" width="8.88671875" style="282"/>
    <col min="11267" max="11267" width="4.109375" style="282" bestFit="1" customWidth="1"/>
    <col min="11268" max="11268" width="9.5546875" style="282" bestFit="1" customWidth="1"/>
    <col min="11269" max="11269" width="6.6640625" style="282" bestFit="1" customWidth="1"/>
    <col min="11270" max="11270" width="7" style="282" bestFit="1" customWidth="1"/>
    <col min="11271" max="11271" width="8.88671875" style="282"/>
    <col min="11272" max="11272" width="0" style="282" hidden="1" customWidth="1"/>
    <col min="11273" max="11280" width="6.33203125" style="282" customWidth="1"/>
    <col min="11281" max="11281" width="4.77734375" style="282" customWidth="1"/>
    <col min="11282" max="11282" width="8.88671875" style="282"/>
    <col min="11283" max="11283" width="13.109375" style="282" bestFit="1" customWidth="1"/>
    <col min="11284" max="11286" width="8.88671875" style="282"/>
    <col min="11287" max="11287" width="11.77734375" style="282" customWidth="1"/>
    <col min="11288" max="11522" width="8.88671875" style="282"/>
    <col min="11523" max="11523" width="4.109375" style="282" bestFit="1" customWidth="1"/>
    <col min="11524" max="11524" width="9.5546875" style="282" bestFit="1" customWidth="1"/>
    <col min="11525" max="11525" width="6.6640625" style="282" bestFit="1" customWidth="1"/>
    <col min="11526" max="11526" width="7" style="282" bestFit="1" customWidth="1"/>
    <col min="11527" max="11527" width="8.88671875" style="282"/>
    <col min="11528" max="11528" width="0" style="282" hidden="1" customWidth="1"/>
    <col min="11529" max="11536" width="6.33203125" style="282" customWidth="1"/>
    <col min="11537" max="11537" width="4.77734375" style="282" customWidth="1"/>
    <col min="11538" max="11538" width="8.88671875" style="282"/>
    <col min="11539" max="11539" width="13.109375" style="282" bestFit="1" customWidth="1"/>
    <col min="11540" max="11542" width="8.88671875" style="282"/>
    <col min="11543" max="11543" width="11.77734375" style="282" customWidth="1"/>
    <col min="11544" max="11778" width="8.88671875" style="282"/>
    <col min="11779" max="11779" width="4.109375" style="282" bestFit="1" customWidth="1"/>
    <col min="11780" max="11780" width="9.5546875" style="282" bestFit="1" customWidth="1"/>
    <col min="11781" max="11781" width="6.6640625" style="282" bestFit="1" customWidth="1"/>
    <col min="11782" max="11782" width="7" style="282" bestFit="1" customWidth="1"/>
    <col min="11783" max="11783" width="8.88671875" style="282"/>
    <col min="11784" max="11784" width="0" style="282" hidden="1" customWidth="1"/>
    <col min="11785" max="11792" width="6.33203125" style="282" customWidth="1"/>
    <col min="11793" max="11793" width="4.77734375" style="282" customWidth="1"/>
    <col min="11794" max="11794" width="8.88671875" style="282"/>
    <col min="11795" max="11795" width="13.109375" style="282" bestFit="1" customWidth="1"/>
    <col min="11796" max="11798" width="8.88671875" style="282"/>
    <col min="11799" max="11799" width="11.77734375" style="282" customWidth="1"/>
    <col min="11800" max="12034" width="8.88671875" style="282"/>
    <col min="12035" max="12035" width="4.109375" style="282" bestFit="1" customWidth="1"/>
    <col min="12036" max="12036" width="9.5546875" style="282" bestFit="1" customWidth="1"/>
    <col min="12037" max="12037" width="6.6640625" style="282" bestFit="1" customWidth="1"/>
    <col min="12038" max="12038" width="7" style="282" bestFit="1" customWidth="1"/>
    <col min="12039" max="12039" width="8.88671875" style="282"/>
    <col min="12040" max="12040" width="0" style="282" hidden="1" customWidth="1"/>
    <col min="12041" max="12048" width="6.33203125" style="282" customWidth="1"/>
    <col min="12049" max="12049" width="4.77734375" style="282" customWidth="1"/>
    <col min="12050" max="12050" width="8.88671875" style="282"/>
    <col min="12051" max="12051" width="13.109375" style="282" bestFit="1" customWidth="1"/>
    <col min="12052" max="12054" width="8.88671875" style="282"/>
    <col min="12055" max="12055" width="11.77734375" style="282" customWidth="1"/>
    <col min="12056" max="12290" width="8.88671875" style="282"/>
    <col min="12291" max="12291" width="4.109375" style="282" bestFit="1" customWidth="1"/>
    <col min="12292" max="12292" width="9.5546875" style="282" bestFit="1" customWidth="1"/>
    <col min="12293" max="12293" width="6.6640625" style="282" bestFit="1" customWidth="1"/>
    <col min="12294" max="12294" width="7" style="282" bestFit="1" customWidth="1"/>
    <col min="12295" max="12295" width="8.88671875" style="282"/>
    <col min="12296" max="12296" width="0" style="282" hidden="1" customWidth="1"/>
    <col min="12297" max="12304" width="6.33203125" style="282" customWidth="1"/>
    <col min="12305" max="12305" width="4.77734375" style="282" customWidth="1"/>
    <col min="12306" max="12306" width="8.88671875" style="282"/>
    <col min="12307" max="12307" width="13.109375" style="282" bestFit="1" customWidth="1"/>
    <col min="12308" max="12310" width="8.88671875" style="282"/>
    <col min="12311" max="12311" width="11.77734375" style="282" customWidth="1"/>
    <col min="12312" max="12546" width="8.88671875" style="282"/>
    <col min="12547" max="12547" width="4.109375" style="282" bestFit="1" customWidth="1"/>
    <col min="12548" max="12548" width="9.5546875" style="282" bestFit="1" customWidth="1"/>
    <col min="12549" max="12549" width="6.6640625" style="282" bestFit="1" customWidth="1"/>
    <col min="12550" max="12550" width="7" style="282" bestFit="1" customWidth="1"/>
    <col min="12551" max="12551" width="8.88671875" style="282"/>
    <col min="12552" max="12552" width="0" style="282" hidden="1" customWidth="1"/>
    <col min="12553" max="12560" width="6.33203125" style="282" customWidth="1"/>
    <col min="12561" max="12561" width="4.77734375" style="282" customWidth="1"/>
    <col min="12562" max="12562" width="8.88671875" style="282"/>
    <col min="12563" max="12563" width="13.109375" style="282" bestFit="1" customWidth="1"/>
    <col min="12564" max="12566" width="8.88671875" style="282"/>
    <col min="12567" max="12567" width="11.77734375" style="282" customWidth="1"/>
    <col min="12568" max="12802" width="8.88671875" style="282"/>
    <col min="12803" max="12803" width="4.109375" style="282" bestFit="1" customWidth="1"/>
    <col min="12804" max="12804" width="9.5546875" style="282" bestFit="1" customWidth="1"/>
    <col min="12805" max="12805" width="6.6640625" style="282" bestFit="1" customWidth="1"/>
    <col min="12806" max="12806" width="7" style="282" bestFit="1" customWidth="1"/>
    <col min="12807" max="12807" width="8.88671875" style="282"/>
    <col min="12808" max="12808" width="0" style="282" hidden="1" customWidth="1"/>
    <col min="12809" max="12816" width="6.33203125" style="282" customWidth="1"/>
    <col min="12817" max="12817" width="4.77734375" style="282" customWidth="1"/>
    <col min="12818" max="12818" width="8.88671875" style="282"/>
    <col min="12819" max="12819" width="13.109375" style="282" bestFit="1" customWidth="1"/>
    <col min="12820" max="12822" width="8.88671875" style="282"/>
    <col min="12823" max="12823" width="11.77734375" style="282" customWidth="1"/>
    <col min="12824" max="13058" width="8.88671875" style="282"/>
    <col min="13059" max="13059" width="4.109375" style="282" bestFit="1" customWidth="1"/>
    <col min="13060" max="13060" width="9.5546875" style="282" bestFit="1" customWidth="1"/>
    <col min="13061" max="13061" width="6.6640625" style="282" bestFit="1" customWidth="1"/>
    <col min="13062" max="13062" width="7" style="282" bestFit="1" customWidth="1"/>
    <col min="13063" max="13063" width="8.88671875" style="282"/>
    <col min="13064" max="13064" width="0" style="282" hidden="1" customWidth="1"/>
    <col min="13065" max="13072" width="6.33203125" style="282" customWidth="1"/>
    <col min="13073" max="13073" width="4.77734375" style="282" customWidth="1"/>
    <col min="13074" max="13074" width="8.88671875" style="282"/>
    <col min="13075" max="13075" width="13.109375" style="282" bestFit="1" customWidth="1"/>
    <col min="13076" max="13078" width="8.88671875" style="282"/>
    <col min="13079" max="13079" width="11.77734375" style="282" customWidth="1"/>
    <col min="13080" max="13314" width="8.88671875" style="282"/>
    <col min="13315" max="13315" width="4.109375" style="282" bestFit="1" customWidth="1"/>
    <col min="13316" max="13316" width="9.5546875" style="282" bestFit="1" customWidth="1"/>
    <col min="13317" max="13317" width="6.6640625" style="282" bestFit="1" customWidth="1"/>
    <col min="13318" max="13318" width="7" style="282" bestFit="1" customWidth="1"/>
    <col min="13319" max="13319" width="8.88671875" style="282"/>
    <col min="13320" max="13320" width="0" style="282" hidden="1" customWidth="1"/>
    <col min="13321" max="13328" width="6.33203125" style="282" customWidth="1"/>
    <col min="13329" max="13329" width="4.77734375" style="282" customWidth="1"/>
    <col min="13330" max="13330" width="8.88671875" style="282"/>
    <col min="13331" max="13331" width="13.109375" style="282" bestFit="1" customWidth="1"/>
    <col min="13332" max="13334" width="8.88671875" style="282"/>
    <col min="13335" max="13335" width="11.77734375" style="282" customWidth="1"/>
    <col min="13336" max="13570" width="8.88671875" style="282"/>
    <col min="13571" max="13571" width="4.109375" style="282" bestFit="1" customWidth="1"/>
    <col min="13572" max="13572" width="9.5546875" style="282" bestFit="1" customWidth="1"/>
    <col min="13573" max="13573" width="6.6640625" style="282" bestFit="1" customWidth="1"/>
    <col min="13574" max="13574" width="7" style="282" bestFit="1" customWidth="1"/>
    <col min="13575" max="13575" width="8.88671875" style="282"/>
    <col min="13576" max="13576" width="0" style="282" hidden="1" customWidth="1"/>
    <col min="13577" max="13584" width="6.33203125" style="282" customWidth="1"/>
    <col min="13585" max="13585" width="4.77734375" style="282" customWidth="1"/>
    <col min="13586" max="13586" width="8.88671875" style="282"/>
    <col min="13587" max="13587" width="13.109375" style="282" bestFit="1" customWidth="1"/>
    <col min="13588" max="13590" width="8.88671875" style="282"/>
    <col min="13591" max="13591" width="11.77734375" style="282" customWidth="1"/>
    <col min="13592" max="13826" width="8.88671875" style="282"/>
    <col min="13827" max="13827" width="4.109375" style="282" bestFit="1" customWidth="1"/>
    <col min="13828" max="13828" width="9.5546875" style="282" bestFit="1" customWidth="1"/>
    <col min="13829" max="13829" width="6.6640625" style="282" bestFit="1" customWidth="1"/>
    <col min="13830" max="13830" width="7" style="282" bestFit="1" customWidth="1"/>
    <col min="13831" max="13831" width="8.88671875" style="282"/>
    <col min="13832" max="13832" width="0" style="282" hidden="1" customWidth="1"/>
    <col min="13833" max="13840" width="6.33203125" style="282" customWidth="1"/>
    <col min="13841" max="13841" width="4.77734375" style="282" customWidth="1"/>
    <col min="13842" max="13842" width="8.88671875" style="282"/>
    <col min="13843" max="13843" width="13.109375" style="282" bestFit="1" customWidth="1"/>
    <col min="13844" max="13846" width="8.88671875" style="282"/>
    <col min="13847" max="13847" width="11.77734375" style="282" customWidth="1"/>
    <col min="13848" max="14082" width="8.88671875" style="282"/>
    <col min="14083" max="14083" width="4.109375" style="282" bestFit="1" customWidth="1"/>
    <col min="14084" max="14084" width="9.5546875" style="282" bestFit="1" customWidth="1"/>
    <col min="14085" max="14085" width="6.6640625" style="282" bestFit="1" customWidth="1"/>
    <col min="14086" max="14086" width="7" style="282" bestFit="1" customWidth="1"/>
    <col min="14087" max="14087" width="8.88671875" style="282"/>
    <col min="14088" max="14088" width="0" style="282" hidden="1" customWidth="1"/>
    <col min="14089" max="14096" width="6.33203125" style="282" customWidth="1"/>
    <col min="14097" max="14097" width="4.77734375" style="282" customWidth="1"/>
    <col min="14098" max="14098" width="8.88671875" style="282"/>
    <col min="14099" max="14099" width="13.109375" style="282" bestFit="1" customWidth="1"/>
    <col min="14100" max="14102" width="8.88671875" style="282"/>
    <col min="14103" max="14103" width="11.77734375" style="282" customWidth="1"/>
    <col min="14104" max="14338" width="8.88671875" style="282"/>
    <col min="14339" max="14339" width="4.109375" style="282" bestFit="1" customWidth="1"/>
    <col min="14340" max="14340" width="9.5546875" style="282" bestFit="1" customWidth="1"/>
    <col min="14341" max="14341" width="6.6640625" style="282" bestFit="1" customWidth="1"/>
    <col min="14342" max="14342" width="7" style="282" bestFit="1" customWidth="1"/>
    <col min="14343" max="14343" width="8.88671875" style="282"/>
    <col min="14344" max="14344" width="0" style="282" hidden="1" customWidth="1"/>
    <col min="14345" max="14352" width="6.33203125" style="282" customWidth="1"/>
    <col min="14353" max="14353" width="4.77734375" style="282" customWidth="1"/>
    <col min="14354" max="14354" width="8.88671875" style="282"/>
    <col min="14355" max="14355" width="13.109375" style="282" bestFit="1" customWidth="1"/>
    <col min="14356" max="14358" width="8.88671875" style="282"/>
    <col min="14359" max="14359" width="11.77734375" style="282" customWidth="1"/>
    <col min="14360" max="14594" width="8.88671875" style="282"/>
    <col min="14595" max="14595" width="4.109375" style="282" bestFit="1" customWidth="1"/>
    <col min="14596" max="14596" width="9.5546875" style="282" bestFit="1" customWidth="1"/>
    <col min="14597" max="14597" width="6.6640625" style="282" bestFit="1" customWidth="1"/>
    <col min="14598" max="14598" width="7" style="282" bestFit="1" customWidth="1"/>
    <col min="14599" max="14599" width="8.88671875" style="282"/>
    <col min="14600" max="14600" width="0" style="282" hidden="1" customWidth="1"/>
    <col min="14601" max="14608" width="6.33203125" style="282" customWidth="1"/>
    <col min="14609" max="14609" width="4.77734375" style="282" customWidth="1"/>
    <col min="14610" max="14610" width="8.88671875" style="282"/>
    <col min="14611" max="14611" width="13.109375" style="282" bestFit="1" customWidth="1"/>
    <col min="14612" max="14614" width="8.88671875" style="282"/>
    <col min="14615" max="14615" width="11.77734375" style="282" customWidth="1"/>
    <col min="14616" max="14850" width="8.88671875" style="282"/>
    <col min="14851" max="14851" width="4.109375" style="282" bestFit="1" customWidth="1"/>
    <col min="14852" max="14852" width="9.5546875" style="282" bestFit="1" customWidth="1"/>
    <col min="14853" max="14853" width="6.6640625" style="282" bestFit="1" customWidth="1"/>
    <col min="14854" max="14854" width="7" style="282" bestFit="1" customWidth="1"/>
    <col min="14855" max="14855" width="8.88671875" style="282"/>
    <col min="14856" max="14856" width="0" style="282" hidden="1" customWidth="1"/>
    <col min="14857" max="14864" width="6.33203125" style="282" customWidth="1"/>
    <col min="14865" max="14865" width="4.77734375" style="282" customWidth="1"/>
    <col min="14866" max="14866" width="8.88671875" style="282"/>
    <col min="14867" max="14867" width="13.109375" style="282" bestFit="1" customWidth="1"/>
    <col min="14868" max="14870" width="8.88671875" style="282"/>
    <col min="14871" max="14871" width="11.77734375" style="282" customWidth="1"/>
    <col min="14872" max="15106" width="8.88671875" style="282"/>
    <col min="15107" max="15107" width="4.109375" style="282" bestFit="1" customWidth="1"/>
    <col min="15108" max="15108" width="9.5546875" style="282" bestFit="1" customWidth="1"/>
    <col min="15109" max="15109" width="6.6640625" style="282" bestFit="1" customWidth="1"/>
    <col min="15110" max="15110" width="7" style="282" bestFit="1" customWidth="1"/>
    <col min="15111" max="15111" width="8.88671875" style="282"/>
    <col min="15112" max="15112" width="0" style="282" hidden="1" customWidth="1"/>
    <col min="15113" max="15120" width="6.33203125" style="282" customWidth="1"/>
    <col min="15121" max="15121" width="4.77734375" style="282" customWidth="1"/>
    <col min="15122" max="15122" width="8.88671875" style="282"/>
    <col min="15123" max="15123" width="13.109375" style="282" bestFit="1" customWidth="1"/>
    <col min="15124" max="15126" width="8.88671875" style="282"/>
    <col min="15127" max="15127" width="11.77734375" style="282" customWidth="1"/>
    <col min="15128" max="15362" width="8.88671875" style="282"/>
    <col min="15363" max="15363" width="4.109375" style="282" bestFit="1" customWidth="1"/>
    <col min="15364" max="15364" width="9.5546875" style="282" bestFit="1" customWidth="1"/>
    <col min="15365" max="15365" width="6.6640625" style="282" bestFit="1" customWidth="1"/>
    <col min="15366" max="15366" width="7" style="282" bestFit="1" customWidth="1"/>
    <col min="15367" max="15367" width="8.88671875" style="282"/>
    <col min="15368" max="15368" width="0" style="282" hidden="1" customWidth="1"/>
    <col min="15369" max="15376" width="6.33203125" style="282" customWidth="1"/>
    <col min="15377" max="15377" width="4.77734375" style="282" customWidth="1"/>
    <col min="15378" max="15378" width="8.88671875" style="282"/>
    <col min="15379" max="15379" width="13.109375" style="282" bestFit="1" customWidth="1"/>
    <col min="15380" max="15382" width="8.88671875" style="282"/>
    <col min="15383" max="15383" width="11.77734375" style="282" customWidth="1"/>
    <col min="15384" max="15618" width="8.88671875" style="282"/>
    <col min="15619" max="15619" width="4.109375" style="282" bestFit="1" customWidth="1"/>
    <col min="15620" max="15620" width="9.5546875" style="282" bestFit="1" customWidth="1"/>
    <col min="15621" max="15621" width="6.6640625" style="282" bestFit="1" customWidth="1"/>
    <col min="15622" max="15622" width="7" style="282" bestFit="1" customWidth="1"/>
    <col min="15623" max="15623" width="8.88671875" style="282"/>
    <col min="15624" max="15624" width="0" style="282" hidden="1" customWidth="1"/>
    <col min="15625" max="15632" width="6.33203125" style="282" customWidth="1"/>
    <col min="15633" max="15633" width="4.77734375" style="282" customWidth="1"/>
    <col min="15634" max="15634" width="8.88671875" style="282"/>
    <col min="15635" max="15635" width="13.109375" style="282" bestFit="1" customWidth="1"/>
    <col min="15636" max="15638" width="8.88671875" style="282"/>
    <col min="15639" max="15639" width="11.77734375" style="282" customWidth="1"/>
    <col min="15640" max="15874" width="8.88671875" style="282"/>
    <col min="15875" max="15875" width="4.109375" style="282" bestFit="1" customWidth="1"/>
    <col min="15876" max="15876" width="9.5546875" style="282" bestFit="1" customWidth="1"/>
    <col min="15877" max="15877" width="6.6640625" style="282" bestFit="1" customWidth="1"/>
    <col min="15878" max="15878" width="7" style="282" bestFit="1" customWidth="1"/>
    <col min="15879" max="15879" width="8.88671875" style="282"/>
    <col min="15880" max="15880" width="0" style="282" hidden="1" customWidth="1"/>
    <col min="15881" max="15888" width="6.33203125" style="282" customWidth="1"/>
    <col min="15889" max="15889" width="4.77734375" style="282" customWidth="1"/>
    <col min="15890" max="15890" width="8.88671875" style="282"/>
    <col min="15891" max="15891" width="13.109375" style="282" bestFit="1" customWidth="1"/>
    <col min="15892" max="15894" width="8.88671875" style="282"/>
    <col min="15895" max="15895" width="11.77734375" style="282" customWidth="1"/>
    <col min="15896" max="16130" width="8.88671875" style="282"/>
    <col min="16131" max="16131" width="4.109375" style="282" bestFit="1" customWidth="1"/>
    <col min="16132" max="16132" width="9.5546875" style="282" bestFit="1" customWidth="1"/>
    <col min="16133" max="16133" width="6.6640625" style="282" bestFit="1" customWidth="1"/>
    <col min="16134" max="16134" width="7" style="282" bestFit="1" customWidth="1"/>
    <col min="16135" max="16135" width="8.88671875" style="282"/>
    <col min="16136" max="16136" width="0" style="282" hidden="1" customWidth="1"/>
    <col min="16137" max="16144" width="6.33203125" style="282" customWidth="1"/>
    <col min="16145" max="16145" width="4.77734375" style="282" customWidth="1"/>
    <col min="16146" max="16146" width="8.88671875" style="282"/>
    <col min="16147" max="16147" width="13.109375" style="282" bestFit="1" customWidth="1"/>
    <col min="16148" max="16150" width="8.88671875" style="282"/>
    <col min="16151" max="16151" width="11.77734375" style="282" customWidth="1"/>
    <col min="16152" max="16384" width="8.88671875" style="282"/>
  </cols>
  <sheetData>
    <row r="1" spans="1:30" ht="50.1" customHeight="1">
      <c r="A1" s="1389" t="s">
        <v>628</v>
      </c>
      <c r="B1" s="1389"/>
      <c r="C1" s="1389"/>
      <c r="D1" s="1389"/>
      <c r="E1" s="1389"/>
      <c r="F1" s="1389"/>
      <c r="G1" s="1389"/>
      <c r="H1" s="1389"/>
      <c r="I1" s="1389"/>
      <c r="J1" s="1389"/>
      <c r="K1" s="1389"/>
      <c r="L1" s="1389"/>
      <c r="M1" s="1389"/>
      <c r="N1" s="1389"/>
      <c r="O1" s="1389"/>
      <c r="P1" s="1390"/>
      <c r="Q1" s="1389"/>
    </row>
    <row r="2" spans="1:30" s="283" customFormat="1" ht="20.100000000000001" customHeight="1">
      <c r="A2" s="1391" t="s">
        <v>342</v>
      </c>
      <c r="B2" s="1394" t="s">
        <v>31</v>
      </c>
      <c r="C2" s="1394" t="s">
        <v>343</v>
      </c>
      <c r="D2" s="1397" t="s">
        <v>344</v>
      </c>
      <c r="E2" s="1397" t="s">
        <v>345</v>
      </c>
      <c r="F2" s="1400" t="s">
        <v>346</v>
      </c>
      <c r="G2" s="1400"/>
      <c r="H2" s="1400" t="s">
        <v>347</v>
      </c>
      <c r="I2" s="1400"/>
      <c r="J2" s="1400" t="s">
        <v>348</v>
      </c>
      <c r="K2" s="1400"/>
      <c r="L2" s="1400"/>
      <c r="M2" s="1400"/>
      <c r="N2" s="1400"/>
      <c r="O2" s="492" t="s">
        <v>436</v>
      </c>
      <c r="P2" s="1400" t="s">
        <v>412</v>
      </c>
      <c r="Q2" s="1384" t="s">
        <v>355</v>
      </c>
      <c r="S2" s="284" t="s">
        <v>435</v>
      </c>
    </row>
    <row r="3" spans="1:30" s="283" customFormat="1" ht="20.100000000000001" customHeight="1">
      <c r="A3" s="1392"/>
      <c r="B3" s="1395"/>
      <c r="C3" s="1395"/>
      <c r="D3" s="1398"/>
      <c r="E3" s="1398"/>
      <c r="F3" s="442">
        <v>1</v>
      </c>
      <c r="G3" s="442">
        <v>1.5</v>
      </c>
      <c r="H3" s="442">
        <v>0.5</v>
      </c>
      <c r="I3" s="442">
        <v>1</v>
      </c>
      <c r="J3" s="488">
        <v>0.25</v>
      </c>
      <c r="K3" s="488">
        <v>0.35</v>
      </c>
      <c r="L3" s="488">
        <v>0.45</v>
      </c>
      <c r="M3" s="488">
        <v>0.55000000000000004</v>
      </c>
      <c r="N3" s="488">
        <v>0.65</v>
      </c>
      <c r="O3" s="443" t="s">
        <v>349</v>
      </c>
      <c r="P3" s="1395"/>
      <c r="Q3" s="1385"/>
      <c r="S3" s="284">
        <f>0.11</f>
        <v>0.11</v>
      </c>
    </row>
    <row r="4" spans="1:30" s="283" customFormat="1" ht="20.100000000000001" customHeight="1">
      <c r="A4" s="1393"/>
      <c r="B4" s="1396"/>
      <c r="C4" s="1396"/>
      <c r="D4" s="1399"/>
      <c r="E4" s="1399"/>
      <c r="F4" s="278" t="s">
        <v>5</v>
      </c>
      <c r="G4" s="278" t="s">
        <v>5</v>
      </c>
      <c r="H4" s="278" t="s">
        <v>5</v>
      </c>
      <c r="I4" s="278" t="s">
        <v>5</v>
      </c>
      <c r="J4" s="278" t="s">
        <v>5</v>
      </c>
      <c r="K4" s="278" t="s">
        <v>5</v>
      </c>
      <c r="L4" s="278" t="s">
        <v>5</v>
      </c>
      <c r="M4" s="278" t="s">
        <v>5</v>
      </c>
      <c r="N4" s="278" t="s">
        <v>5</v>
      </c>
      <c r="O4" s="278" t="s">
        <v>350</v>
      </c>
      <c r="P4" s="1396"/>
      <c r="Q4" s="1386"/>
    </row>
    <row r="5" spans="1:30" ht="20.100000000000001" customHeight="1">
      <c r="A5" s="490">
        <v>1</v>
      </c>
      <c r="B5" s="494"/>
      <c r="C5" s="494"/>
      <c r="D5" s="494"/>
      <c r="E5" s="495">
        <f>D5-$S$3</f>
        <v>-0.11</v>
      </c>
      <c r="F5" s="496">
        <v>1</v>
      </c>
      <c r="G5" s="496"/>
      <c r="H5" s="496"/>
      <c r="I5" s="496">
        <v>3</v>
      </c>
      <c r="J5" s="496"/>
      <c r="K5" s="496"/>
      <c r="L5" s="496">
        <v>1</v>
      </c>
      <c r="M5" s="496"/>
      <c r="N5" s="496"/>
      <c r="O5" s="497">
        <f>E5-R5</f>
        <v>-4.5600000000000005</v>
      </c>
      <c r="P5" s="498">
        <f>SUM(F5:N5)-1</f>
        <v>4</v>
      </c>
      <c r="Q5" s="499"/>
      <c r="R5" s="286">
        <f>(F5*$F$3)+($G$3*G5)+($H$3*H5)+($I$3*I5)+($J$3*J5)+($K$3*K5)+($L$3*L5)+($M$3*M5)+($N$3*N5)</f>
        <v>4.45</v>
      </c>
      <c r="S5" s="287"/>
      <c r="T5" s="252"/>
      <c r="U5" s="396"/>
      <c r="V5" s="396"/>
      <c r="W5" s="283"/>
    </row>
    <row r="6" spans="1:30" ht="20.100000000000001" customHeight="1">
      <c r="A6" s="271">
        <v>2</v>
      </c>
      <c r="B6" s="444"/>
      <c r="C6" s="444"/>
      <c r="D6" s="444"/>
      <c r="E6" s="285">
        <f>D6-$S$3</f>
        <v>-0.11</v>
      </c>
      <c r="F6" s="500">
        <v>1</v>
      </c>
      <c r="G6" s="500"/>
      <c r="H6" s="500"/>
      <c r="I6" s="500">
        <v>3</v>
      </c>
      <c r="J6" s="500"/>
      <c r="K6" s="500"/>
      <c r="L6" s="500">
        <v>1</v>
      </c>
      <c r="M6" s="500"/>
      <c r="N6" s="500"/>
      <c r="O6" s="501">
        <f>E6-R6</f>
        <v>-4.5600000000000005</v>
      </c>
      <c r="P6" s="502">
        <f>SUM(F6:N6)-1</f>
        <v>4</v>
      </c>
      <c r="Q6" s="503"/>
      <c r="R6" s="286">
        <f>(F6*$F$3)+($G$3*G6)+($H$3*H6)+($I$3*I6)+($J$3*J6)+($K$3*K6)+($L$3*L6)+($M$3*M6)+($N$3*N6)</f>
        <v>4.45</v>
      </c>
      <c r="S6" s="287"/>
      <c r="T6" s="252"/>
      <c r="U6" s="396"/>
      <c r="V6" s="396"/>
      <c r="W6" s="283"/>
    </row>
    <row r="7" spans="1:30" ht="20.100000000000001" customHeight="1">
      <c r="A7" s="271">
        <v>3</v>
      </c>
      <c r="B7" s="444"/>
      <c r="C7" s="444"/>
      <c r="D7" s="444"/>
      <c r="E7" s="285">
        <f>D7-$S$3</f>
        <v>-0.11</v>
      </c>
      <c r="F7" s="500"/>
      <c r="G7" s="500">
        <v>1</v>
      </c>
      <c r="H7" s="500"/>
      <c r="I7" s="500">
        <v>5</v>
      </c>
      <c r="J7" s="500"/>
      <c r="K7" s="500">
        <v>1</v>
      </c>
      <c r="L7" s="500"/>
      <c r="M7" s="500"/>
      <c r="N7" s="500"/>
      <c r="O7" s="501">
        <f>E7-R7</f>
        <v>-6.96</v>
      </c>
      <c r="P7" s="502">
        <f>SUM(F7:N7)-1</f>
        <v>6</v>
      </c>
      <c r="Q7" s="293"/>
      <c r="R7" s="286">
        <f>(F7*$F$3)+($G$3*G7)+($H$3*H7)+($I$3*I7)+($J$3*J7)+($K$3*K7)+($L$3*L7)+($M$3*M7)+($N$3*N7)</f>
        <v>6.85</v>
      </c>
      <c r="S7" s="287"/>
      <c r="T7" s="252"/>
      <c r="U7" s="396"/>
      <c r="V7" s="396"/>
      <c r="W7" s="283"/>
    </row>
    <row r="8" spans="1:30" ht="20.100000000000001" customHeight="1">
      <c r="A8" s="271">
        <v>4</v>
      </c>
      <c r="B8" s="444"/>
      <c r="C8" s="444"/>
      <c r="D8" s="444"/>
      <c r="E8" s="285">
        <f>D8-$S$3</f>
        <v>-0.11</v>
      </c>
      <c r="F8" s="500"/>
      <c r="G8" s="500">
        <v>1</v>
      </c>
      <c r="H8" s="500"/>
      <c r="I8" s="500">
        <v>5</v>
      </c>
      <c r="J8" s="500"/>
      <c r="K8" s="500"/>
      <c r="L8" s="500"/>
      <c r="M8" s="500">
        <v>1</v>
      </c>
      <c r="N8" s="500"/>
      <c r="O8" s="501">
        <f>E8-R8</f>
        <v>-7.16</v>
      </c>
      <c r="P8" s="502">
        <f>SUM(F8:N8)-1</f>
        <v>6</v>
      </c>
      <c r="Q8" s="293"/>
      <c r="R8" s="286">
        <f>(F8*$F$3)+($G$3*G8)+($H$3*H8)+($I$3*I8)+($J$3*J8)+($K$3*K8)+($L$3*L8)+($M$3*M8)+($N$3*N8)</f>
        <v>7.05</v>
      </c>
      <c r="S8" s="287"/>
      <c r="T8" s="252"/>
      <c r="U8" s="396"/>
      <c r="V8" s="396"/>
      <c r="W8" s="283"/>
    </row>
    <row r="9" spans="1:30" s="283" customFormat="1" ht="20.100000000000001" customHeight="1">
      <c r="A9" s="1387" t="s">
        <v>351</v>
      </c>
      <c r="B9" s="1388"/>
      <c r="C9" s="489">
        <f>COUNT(A5:A8)</f>
        <v>4</v>
      </c>
      <c r="D9" s="446">
        <f>SUM(D5:D8)</f>
        <v>0</v>
      </c>
      <c r="E9" s="446"/>
      <c r="F9" s="446">
        <f t="shared" ref="F9:P9" si="0">SUM(F5:F8)</f>
        <v>2</v>
      </c>
      <c r="G9" s="446">
        <f t="shared" si="0"/>
        <v>2</v>
      </c>
      <c r="H9" s="446">
        <f t="shared" si="0"/>
        <v>0</v>
      </c>
      <c r="I9" s="446">
        <f t="shared" si="0"/>
        <v>16</v>
      </c>
      <c r="J9" s="446">
        <f t="shared" si="0"/>
        <v>0</v>
      </c>
      <c r="K9" s="446">
        <f t="shared" si="0"/>
        <v>1</v>
      </c>
      <c r="L9" s="446">
        <f t="shared" si="0"/>
        <v>2</v>
      </c>
      <c r="M9" s="446">
        <f t="shared" si="0"/>
        <v>1</v>
      </c>
      <c r="N9" s="446">
        <f t="shared" si="0"/>
        <v>0</v>
      </c>
      <c r="O9" s="446">
        <f t="shared" si="0"/>
        <v>-23.240000000000002</v>
      </c>
      <c r="P9" s="446">
        <f t="shared" si="0"/>
        <v>20</v>
      </c>
      <c r="Q9" s="288"/>
    </row>
    <row r="10" spans="1:30" s="283" customFormat="1" ht="20.100000000000001" customHeight="1">
      <c r="A10" s="1387" t="s">
        <v>352</v>
      </c>
      <c r="B10" s="1388"/>
      <c r="C10" s="439">
        <f>D9/C9</f>
        <v>0</v>
      </c>
      <c r="D10" s="440"/>
      <c r="E10" s="440"/>
      <c r="F10" s="289"/>
      <c r="G10" s="289"/>
      <c r="H10" s="289"/>
      <c r="I10" s="289"/>
      <c r="J10" s="289"/>
      <c r="K10" s="289"/>
      <c r="L10" s="289"/>
      <c r="M10" s="289"/>
      <c r="N10" s="289"/>
      <c r="O10" s="289"/>
      <c r="P10" s="441"/>
      <c r="Q10" s="493"/>
      <c r="U10" s="282"/>
      <c r="V10" s="282"/>
      <c r="Y10" s="282"/>
      <c r="Z10" s="282"/>
      <c r="AA10" s="282"/>
    </row>
    <row r="11" spans="1:30" ht="24" customHeight="1">
      <c r="A11" s="291"/>
      <c r="B11" s="291"/>
      <c r="C11" s="291"/>
      <c r="D11" s="292"/>
      <c r="E11" s="292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  <c r="T11" s="283"/>
      <c r="U11" s="283"/>
      <c r="V11" s="283"/>
      <c r="W11" s="294"/>
      <c r="X11" s="294"/>
      <c r="Y11" s="283"/>
      <c r="Z11" s="283"/>
      <c r="AA11" s="283"/>
      <c r="AB11" s="283"/>
      <c r="AC11" s="283"/>
      <c r="AD11" s="283"/>
    </row>
    <row r="12" spans="1:30" ht="24" customHeight="1">
      <c r="A12" s="291"/>
      <c r="B12" s="291"/>
      <c r="C12" s="291"/>
      <c r="D12" s="292"/>
      <c r="E12" s="292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  <c r="T12" s="283"/>
      <c r="AB12" s="283"/>
      <c r="AC12" s="283"/>
      <c r="AD12" s="283"/>
    </row>
    <row r="13" spans="1:30" ht="24" customHeight="1">
      <c r="A13" s="291"/>
      <c r="B13" s="291"/>
      <c r="C13" s="291"/>
      <c r="D13" s="292"/>
      <c r="E13" s="292"/>
      <c r="F13" s="291"/>
      <c r="G13" s="291"/>
      <c r="H13" s="291"/>
      <c r="I13" s="291"/>
      <c r="J13" s="291"/>
      <c r="K13" s="291"/>
      <c r="L13" s="291"/>
      <c r="M13" s="291"/>
      <c r="N13" s="291"/>
      <c r="O13" s="291"/>
      <c r="P13" s="291"/>
      <c r="Q13" s="291"/>
      <c r="T13" s="283"/>
    </row>
    <row r="14" spans="1:30" ht="24" customHeight="1">
      <c r="A14" s="291"/>
      <c r="B14" s="291"/>
      <c r="C14" s="291"/>
      <c r="D14" s="292"/>
      <c r="E14" s="292"/>
      <c r="F14" s="291"/>
      <c r="G14" s="291"/>
      <c r="H14" s="291"/>
      <c r="I14" s="291"/>
      <c r="J14" s="291"/>
      <c r="K14" s="291"/>
      <c r="L14" s="291"/>
      <c r="M14" s="291"/>
      <c r="N14" s="291"/>
      <c r="O14" s="291"/>
      <c r="P14" s="291"/>
      <c r="Q14" s="291"/>
      <c r="T14" s="283"/>
    </row>
    <row r="15" spans="1:30" ht="24" customHeight="1">
      <c r="A15" s="291"/>
      <c r="B15" s="291"/>
      <c r="C15" s="291"/>
      <c r="D15" s="292"/>
      <c r="E15" s="292"/>
      <c r="F15" s="291"/>
      <c r="G15" s="291"/>
      <c r="H15" s="291"/>
      <c r="I15" s="291"/>
      <c r="J15" s="291"/>
      <c r="K15" s="291"/>
      <c r="L15" s="291"/>
      <c r="M15" s="291"/>
      <c r="N15" s="291"/>
      <c r="O15" s="291"/>
      <c r="P15" s="291"/>
      <c r="Q15" s="291"/>
      <c r="T15" s="283"/>
    </row>
    <row r="16" spans="1:30" ht="20.100000000000001" customHeight="1">
      <c r="A16" s="291"/>
      <c r="B16" s="291"/>
      <c r="C16" s="291"/>
      <c r="D16" s="292"/>
      <c r="E16" s="292"/>
      <c r="F16" s="291"/>
      <c r="G16" s="291"/>
      <c r="H16" s="291"/>
      <c r="I16" s="291"/>
      <c r="J16" s="291"/>
      <c r="K16" s="291"/>
      <c r="L16" s="291"/>
      <c r="M16" s="291"/>
      <c r="N16" s="291"/>
      <c r="O16" s="291"/>
      <c r="P16" s="291"/>
      <c r="Q16" s="291"/>
      <c r="T16" s="283"/>
    </row>
    <row r="17" spans="1:20" ht="30" customHeight="1">
      <c r="A17" s="291"/>
      <c r="B17" s="291"/>
      <c r="C17" s="291"/>
      <c r="D17" s="292"/>
      <c r="E17" s="292"/>
      <c r="F17" s="291"/>
      <c r="G17" s="291"/>
      <c r="H17" s="291"/>
      <c r="I17" s="291"/>
      <c r="J17" s="291"/>
      <c r="K17" s="291"/>
      <c r="L17" s="291"/>
      <c r="M17" s="291"/>
      <c r="N17" s="291"/>
      <c r="O17" s="291"/>
      <c r="P17" s="291"/>
      <c r="Q17" s="291"/>
      <c r="T17" s="283"/>
    </row>
    <row r="18" spans="1:20" ht="30" customHeight="1">
      <c r="A18" s="291"/>
      <c r="B18" s="291"/>
      <c r="C18" s="291"/>
      <c r="D18" s="292"/>
      <c r="E18" s="292"/>
      <c r="F18" s="291"/>
      <c r="G18" s="291"/>
      <c r="H18" s="291"/>
      <c r="I18" s="291"/>
      <c r="J18" s="291"/>
      <c r="K18" s="291"/>
      <c r="L18" s="291"/>
      <c r="M18" s="291"/>
      <c r="N18" s="291"/>
      <c r="O18" s="291"/>
      <c r="P18" s="291"/>
      <c r="Q18" s="291"/>
      <c r="T18" s="283"/>
    </row>
    <row r="19" spans="1:20" ht="30" customHeight="1">
      <c r="A19" s="291"/>
      <c r="B19" s="291"/>
      <c r="C19" s="291"/>
      <c r="D19" s="292"/>
      <c r="E19" s="292"/>
      <c r="F19" s="291"/>
      <c r="G19" s="291"/>
      <c r="H19" s="291"/>
      <c r="I19" s="291"/>
      <c r="J19" s="291"/>
      <c r="K19" s="291"/>
      <c r="L19" s="291"/>
      <c r="M19" s="291"/>
      <c r="N19" s="291"/>
      <c r="O19" s="291"/>
      <c r="P19" s="291"/>
      <c r="Q19" s="291"/>
      <c r="T19" s="283"/>
    </row>
    <row r="20" spans="1:20" ht="30" customHeight="1">
      <c r="A20" s="291"/>
      <c r="B20" s="291"/>
      <c r="C20" s="291"/>
      <c r="D20" s="292"/>
      <c r="E20" s="292"/>
      <c r="F20" s="291"/>
      <c r="G20" s="291"/>
      <c r="H20" s="291"/>
      <c r="I20" s="291"/>
      <c r="J20" s="291"/>
      <c r="K20" s="291"/>
      <c r="L20" s="291"/>
      <c r="M20" s="291"/>
      <c r="N20" s="291"/>
      <c r="O20" s="291"/>
      <c r="P20" s="291"/>
      <c r="Q20" s="291"/>
      <c r="T20" s="283"/>
    </row>
    <row r="21" spans="1:20" ht="30" customHeight="1">
      <c r="A21" s="291"/>
      <c r="B21" s="291"/>
      <c r="C21" s="291"/>
      <c r="D21" s="292"/>
      <c r="E21" s="292"/>
      <c r="F21" s="291"/>
      <c r="G21" s="291"/>
      <c r="H21" s="291"/>
      <c r="I21" s="291"/>
      <c r="J21" s="291"/>
      <c r="K21" s="291"/>
      <c r="L21" s="291"/>
      <c r="M21" s="291"/>
      <c r="N21" s="291"/>
      <c r="O21" s="291"/>
      <c r="P21" s="291"/>
      <c r="Q21" s="291"/>
      <c r="T21" s="283"/>
    </row>
    <row r="22" spans="1:20" ht="30" customHeight="1">
      <c r="A22" s="291"/>
      <c r="B22" s="291"/>
      <c r="C22" s="291"/>
      <c r="D22" s="292"/>
      <c r="E22" s="292"/>
      <c r="F22" s="291"/>
      <c r="G22" s="291"/>
      <c r="H22" s="291"/>
      <c r="I22" s="291"/>
      <c r="J22" s="291"/>
      <c r="K22" s="291"/>
      <c r="L22" s="291"/>
      <c r="M22" s="291"/>
      <c r="N22" s="291"/>
      <c r="O22" s="291"/>
      <c r="P22" s="291"/>
      <c r="Q22" s="291"/>
      <c r="T22" s="283"/>
    </row>
    <row r="23" spans="1:20" ht="30" customHeight="1">
      <c r="A23" s="291"/>
      <c r="B23" s="291"/>
      <c r="C23" s="291"/>
      <c r="D23" s="292"/>
      <c r="E23" s="292"/>
      <c r="F23" s="291"/>
      <c r="G23" s="291"/>
      <c r="H23" s="291"/>
      <c r="I23" s="291"/>
      <c r="J23" s="291"/>
      <c r="K23" s="291"/>
      <c r="L23" s="291"/>
      <c r="M23" s="291"/>
      <c r="N23" s="291"/>
      <c r="O23" s="291"/>
      <c r="P23" s="291"/>
      <c r="Q23" s="291"/>
      <c r="T23" s="283"/>
    </row>
    <row r="24" spans="1:20" ht="30" customHeight="1">
      <c r="A24" s="291"/>
      <c r="B24" s="291"/>
      <c r="C24" s="291"/>
      <c r="D24" s="292"/>
      <c r="E24" s="292"/>
      <c r="F24" s="291"/>
      <c r="G24" s="291"/>
      <c r="H24" s="291"/>
      <c r="I24" s="291"/>
      <c r="J24" s="291"/>
      <c r="K24" s="291"/>
      <c r="L24" s="291"/>
      <c r="M24" s="291"/>
      <c r="N24" s="291"/>
      <c r="O24" s="291"/>
      <c r="P24" s="291"/>
      <c r="Q24" s="291"/>
      <c r="T24" s="283"/>
    </row>
    <row r="25" spans="1:20" ht="30" customHeight="1">
      <c r="A25" s="291"/>
      <c r="B25" s="291"/>
      <c r="C25" s="291"/>
      <c r="D25" s="292"/>
      <c r="E25" s="292"/>
      <c r="F25" s="291"/>
      <c r="G25" s="291"/>
      <c r="H25" s="291"/>
      <c r="I25" s="291"/>
      <c r="J25" s="291"/>
      <c r="K25" s="291"/>
      <c r="L25" s="291"/>
      <c r="M25" s="291"/>
      <c r="N25" s="291"/>
      <c r="O25" s="291"/>
      <c r="P25" s="291"/>
      <c r="Q25" s="291"/>
      <c r="T25" s="283"/>
    </row>
    <row r="26" spans="1:20" ht="30" customHeight="1">
      <c r="A26" s="291"/>
      <c r="B26" s="291"/>
      <c r="D26" s="292"/>
      <c r="E26" s="292"/>
      <c r="F26" s="291"/>
      <c r="G26" s="291"/>
      <c r="H26" s="291"/>
      <c r="I26" s="291"/>
      <c r="J26" s="291"/>
      <c r="K26" s="291"/>
      <c r="L26" s="291"/>
      <c r="M26" s="291"/>
      <c r="N26" s="291"/>
      <c r="O26" s="291"/>
      <c r="P26" s="291"/>
      <c r="Q26" s="291"/>
      <c r="T26" s="283"/>
    </row>
    <row r="27" spans="1:20" ht="30" customHeight="1">
      <c r="A27" s="282"/>
      <c r="B27" s="282"/>
      <c r="T27" s="283"/>
    </row>
    <row r="28" spans="1:20" ht="30" customHeight="1">
      <c r="A28" s="282"/>
      <c r="B28" s="282"/>
      <c r="T28" s="283"/>
    </row>
    <row r="29" spans="1:20" ht="30" customHeight="1">
      <c r="A29" s="282"/>
      <c r="B29" s="282"/>
      <c r="T29" s="283"/>
    </row>
    <row r="30" spans="1:20" ht="30" customHeight="1">
      <c r="A30" s="282"/>
      <c r="B30" s="282"/>
      <c r="T30" s="283"/>
    </row>
    <row r="31" spans="1:20" ht="30" customHeight="1">
      <c r="A31" s="282"/>
      <c r="B31" s="282"/>
      <c r="T31" s="283"/>
    </row>
    <row r="32" spans="1:20" ht="30" customHeight="1">
      <c r="A32" s="282"/>
      <c r="B32" s="282"/>
      <c r="T32" s="283"/>
    </row>
    <row r="33" spans="1:20" ht="30" customHeight="1">
      <c r="A33" s="282"/>
      <c r="B33" s="282"/>
      <c r="T33" s="283"/>
    </row>
    <row r="34" spans="1:20" ht="30" customHeight="1">
      <c r="A34" s="282"/>
      <c r="B34" s="282"/>
      <c r="T34" s="283"/>
    </row>
    <row r="35" spans="1:20" ht="30" customHeight="1">
      <c r="A35" s="282"/>
      <c r="B35" s="282"/>
      <c r="T35" s="283"/>
    </row>
    <row r="36" spans="1:20" ht="30" customHeight="1">
      <c r="A36" s="282"/>
      <c r="B36" s="282"/>
      <c r="T36" s="283"/>
    </row>
    <row r="37" spans="1:20" ht="30" customHeight="1">
      <c r="A37" s="282"/>
      <c r="B37" s="282"/>
      <c r="T37" s="283"/>
    </row>
    <row r="38" spans="1:20" ht="30" customHeight="1">
      <c r="A38" s="282"/>
      <c r="B38" s="282"/>
      <c r="T38" s="283"/>
    </row>
    <row r="39" spans="1:20" ht="30" customHeight="1">
      <c r="A39" s="282"/>
      <c r="B39" s="282"/>
      <c r="T39" s="283"/>
    </row>
    <row r="40" spans="1:20" ht="30" customHeight="1">
      <c r="A40" s="282"/>
      <c r="B40" s="282"/>
      <c r="T40" s="283"/>
    </row>
    <row r="41" spans="1:20" ht="30" customHeight="1">
      <c r="A41" s="282"/>
      <c r="B41" s="282"/>
      <c r="T41" s="283"/>
    </row>
    <row r="42" spans="1:20" ht="30" customHeight="1">
      <c r="A42" s="282"/>
      <c r="B42" s="282"/>
      <c r="T42" s="283"/>
    </row>
    <row r="43" spans="1:20" ht="30" customHeight="1">
      <c r="A43" s="282"/>
      <c r="B43" s="282"/>
      <c r="T43" s="283"/>
    </row>
    <row r="44" spans="1:20" ht="30" customHeight="1">
      <c r="A44" s="282"/>
      <c r="B44" s="282"/>
      <c r="T44" s="283"/>
    </row>
    <row r="45" spans="1:20" ht="30" customHeight="1">
      <c r="A45" s="282"/>
      <c r="B45" s="282"/>
      <c r="T45" s="283"/>
    </row>
    <row r="46" spans="1:20" ht="30" customHeight="1">
      <c r="A46" s="282"/>
      <c r="B46" s="282"/>
      <c r="T46" s="283"/>
    </row>
    <row r="47" spans="1:20" ht="30" customHeight="1">
      <c r="A47" s="282"/>
      <c r="B47" s="282"/>
      <c r="T47" s="283"/>
    </row>
    <row r="48" spans="1:20" ht="30" customHeight="1">
      <c r="A48" s="282"/>
      <c r="B48" s="282"/>
      <c r="T48" s="283"/>
    </row>
    <row r="49" spans="1:30" ht="30" customHeight="1">
      <c r="A49" s="282"/>
      <c r="B49" s="282"/>
      <c r="T49" s="283"/>
      <c r="W49" s="283"/>
      <c r="X49" s="283"/>
    </row>
    <row r="50" spans="1:30" ht="30" customHeight="1">
      <c r="A50" s="282"/>
      <c r="B50" s="282"/>
      <c r="T50" s="283"/>
      <c r="W50" s="283"/>
      <c r="X50" s="283"/>
    </row>
    <row r="51" spans="1:30" ht="30" customHeight="1">
      <c r="A51" s="282"/>
      <c r="B51" s="282"/>
      <c r="T51" s="283"/>
      <c r="W51" s="283"/>
      <c r="X51" s="283"/>
    </row>
    <row r="52" spans="1:30" ht="30" customHeight="1">
      <c r="A52" s="282"/>
      <c r="B52" s="282"/>
      <c r="T52" s="283"/>
    </row>
    <row r="53" spans="1:30" ht="30" customHeight="1">
      <c r="A53" s="282"/>
      <c r="B53" s="282"/>
      <c r="T53" s="283"/>
    </row>
    <row r="54" spans="1:30" ht="30" customHeight="1">
      <c r="A54" s="282"/>
      <c r="B54" s="282"/>
      <c r="T54" s="283"/>
    </row>
    <row r="55" spans="1:30" ht="30" customHeight="1">
      <c r="A55" s="282"/>
      <c r="B55" s="282"/>
      <c r="T55" s="283"/>
    </row>
    <row r="56" spans="1:30" ht="30" customHeight="1">
      <c r="A56" s="282"/>
      <c r="B56" s="282"/>
      <c r="T56" s="283"/>
    </row>
    <row r="57" spans="1:30" ht="30" customHeight="1">
      <c r="A57" s="282"/>
      <c r="B57" s="282"/>
      <c r="T57" s="283"/>
    </row>
    <row r="58" spans="1:30" ht="30" customHeight="1">
      <c r="A58" s="282"/>
      <c r="B58" s="282"/>
      <c r="T58" s="283"/>
    </row>
    <row r="59" spans="1:30" ht="30" customHeight="1">
      <c r="A59" s="282"/>
      <c r="B59" s="282"/>
      <c r="T59" s="283"/>
    </row>
    <row r="60" spans="1:30" ht="30" customHeight="1">
      <c r="A60" s="282"/>
      <c r="B60" s="282"/>
      <c r="T60" s="283"/>
    </row>
    <row r="61" spans="1:30" ht="30" customHeight="1">
      <c r="A61" s="282"/>
      <c r="B61" s="282"/>
      <c r="T61" s="283"/>
      <c r="W61" s="283"/>
      <c r="X61" s="283"/>
      <c r="AB61" s="283"/>
      <c r="AC61" s="283"/>
      <c r="AD61" s="283"/>
    </row>
    <row r="62" spans="1:30" ht="30" customHeight="1">
      <c r="A62" s="282"/>
      <c r="B62" s="282"/>
      <c r="T62" s="283"/>
      <c r="W62" s="283"/>
      <c r="X62" s="283"/>
      <c r="AB62" s="283"/>
      <c r="AC62" s="283"/>
      <c r="AD62" s="283"/>
    </row>
    <row r="63" spans="1:30" ht="30" customHeight="1">
      <c r="A63" s="282"/>
      <c r="B63" s="282"/>
    </row>
    <row r="64" spans="1:30" ht="30" customHeight="1">
      <c r="A64" s="282"/>
      <c r="B64" s="282"/>
    </row>
    <row r="65" spans="1:2" ht="30" customHeight="1">
      <c r="A65" s="282"/>
      <c r="B65" s="282"/>
    </row>
    <row r="66" spans="1:2" ht="30" customHeight="1">
      <c r="A66" s="282"/>
      <c r="B66" s="282"/>
    </row>
    <row r="67" spans="1:2" ht="30" customHeight="1">
      <c r="A67" s="282"/>
      <c r="B67" s="282"/>
    </row>
    <row r="68" spans="1:2" ht="30" customHeight="1">
      <c r="A68" s="282"/>
      <c r="B68" s="282"/>
    </row>
    <row r="69" spans="1:2" ht="30" customHeight="1">
      <c r="A69" s="282"/>
      <c r="B69" s="282"/>
    </row>
    <row r="70" spans="1:2" ht="30" customHeight="1">
      <c r="A70" s="282"/>
      <c r="B70" s="282"/>
    </row>
    <row r="71" spans="1:2" ht="30" customHeight="1">
      <c r="A71" s="282"/>
      <c r="B71" s="282"/>
    </row>
    <row r="72" spans="1:2" ht="30" customHeight="1">
      <c r="A72" s="282"/>
      <c r="B72" s="282"/>
    </row>
    <row r="73" spans="1:2" ht="30" customHeight="1">
      <c r="A73" s="282"/>
      <c r="B73" s="282"/>
    </row>
    <row r="74" spans="1:2" ht="30" customHeight="1">
      <c r="A74" s="282"/>
      <c r="B74" s="282"/>
    </row>
    <row r="75" spans="1:2" ht="30" customHeight="1">
      <c r="A75" s="282"/>
      <c r="B75" s="282"/>
    </row>
    <row r="76" spans="1:2" ht="30" customHeight="1">
      <c r="A76" s="282"/>
      <c r="B76" s="282"/>
    </row>
    <row r="77" spans="1:2" ht="30" customHeight="1">
      <c r="A77" s="282"/>
      <c r="B77" s="282"/>
    </row>
    <row r="78" spans="1:2" ht="30" customHeight="1">
      <c r="A78" s="282"/>
      <c r="B78" s="282"/>
    </row>
    <row r="79" spans="1:2" ht="30" customHeight="1">
      <c r="A79" s="282"/>
      <c r="B79" s="282"/>
    </row>
    <row r="80" spans="1:2" ht="30" customHeight="1">
      <c r="A80" s="282"/>
      <c r="B80" s="282"/>
    </row>
    <row r="81" spans="1:2" ht="30" customHeight="1">
      <c r="A81" s="282"/>
      <c r="B81" s="282"/>
    </row>
    <row r="82" spans="1:2" ht="30" customHeight="1">
      <c r="A82" s="282"/>
      <c r="B82" s="282"/>
    </row>
    <row r="83" spans="1:2" ht="30" customHeight="1">
      <c r="A83" s="282"/>
      <c r="B83" s="282"/>
    </row>
    <row r="84" spans="1:2" ht="30" customHeight="1">
      <c r="A84" s="282"/>
      <c r="B84" s="282"/>
    </row>
    <row r="85" spans="1:2" ht="30" customHeight="1">
      <c r="A85" s="282"/>
      <c r="B85" s="282"/>
    </row>
    <row r="86" spans="1:2" ht="30" customHeight="1">
      <c r="A86" s="282"/>
      <c r="B86" s="282"/>
    </row>
    <row r="87" spans="1:2" ht="30" customHeight="1">
      <c r="A87" s="282"/>
      <c r="B87" s="282"/>
    </row>
    <row r="88" spans="1:2" ht="30" customHeight="1">
      <c r="A88" s="282"/>
      <c r="B88" s="282"/>
    </row>
    <row r="89" spans="1:2" ht="30" customHeight="1">
      <c r="A89" s="282"/>
      <c r="B89" s="282"/>
    </row>
    <row r="90" spans="1:2" ht="30" customHeight="1">
      <c r="A90" s="282"/>
      <c r="B90" s="282"/>
    </row>
    <row r="91" spans="1:2" ht="30" customHeight="1">
      <c r="A91" s="282"/>
      <c r="B91" s="282"/>
    </row>
    <row r="92" spans="1:2" ht="30" customHeight="1">
      <c r="A92" s="282"/>
      <c r="B92" s="282"/>
    </row>
    <row r="93" spans="1:2" ht="30" customHeight="1">
      <c r="A93" s="282"/>
      <c r="B93" s="282"/>
    </row>
    <row r="94" spans="1:2" ht="30" customHeight="1">
      <c r="A94" s="282"/>
      <c r="B94" s="282"/>
    </row>
    <row r="95" spans="1:2" ht="30" customHeight="1">
      <c r="A95" s="282"/>
      <c r="B95" s="282"/>
    </row>
    <row r="96" spans="1:2" ht="30" customHeight="1">
      <c r="A96" s="282"/>
      <c r="B96" s="282"/>
    </row>
  </sheetData>
  <mergeCells count="13">
    <mergeCell ref="Q2:Q4"/>
    <mergeCell ref="A9:B9"/>
    <mergeCell ref="A10:B10"/>
    <mergeCell ref="A1:Q1"/>
    <mergeCell ref="A2:A4"/>
    <mergeCell ref="B2:B4"/>
    <mergeCell ref="C2:C4"/>
    <mergeCell ref="D2:D4"/>
    <mergeCell ref="E2:E4"/>
    <mergeCell ref="F2:G2"/>
    <mergeCell ref="H2:I2"/>
    <mergeCell ref="J2:N2"/>
    <mergeCell ref="P2:P4"/>
  </mergeCells>
  <phoneticPr fontId="13" type="noConversion"/>
  <printOptions horizontalCentered="1" gridLines="1"/>
  <pageMargins left="0.43307086614173229" right="0.31496062992125984" top="0.98425196850393704" bottom="0.78740157480314965" header="0.51181102362204722" footer="0.51181102362204722"/>
  <pageSetup paperSize="9" scale="87" orientation="landscape" r:id="rId1"/>
  <headerFooter alignWithMargins="0">
    <oddHeader>&amp;C&amp;"돋움,굵게"&amp;14오수원형3호맨홀 수량산출근거-차도측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C000"/>
  </sheetPr>
  <dimension ref="A1:AL138"/>
  <sheetViews>
    <sheetView tabSelected="1" view="pageBreakPreview" zoomScale="85" zoomScaleNormal="70" zoomScaleSheetLayoutView="85" workbookViewId="0">
      <selection activeCell="G12" sqref="G12"/>
    </sheetView>
  </sheetViews>
  <sheetFormatPr defaultRowHeight="20.100000000000001" customHeight="1"/>
  <cols>
    <col min="1" max="1" width="4.109375" style="748" customWidth="1"/>
    <col min="2" max="2" width="9.77734375" style="748" customWidth="1"/>
    <col min="3" max="3" width="8.77734375" style="747" customWidth="1"/>
    <col min="4" max="4" width="8.77734375" style="752" customWidth="1"/>
    <col min="5" max="5" width="8.88671875" style="752"/>
    <col min="6" max="17" width="8.77734375" style="747" customWidth="1"/>
    <col min="18" max="18" width="9" style="747" bestFit="1" customWidth="1"/>
    <col min="19" max="23" width="6.77734375" style="747" customWidth="1"/>
    <col min="24" max="24" width="8.88671875" style="747"/>
    <col min="25" max="25" width="13.109375" style="747" bestFit="1" customWidth="1"/>
    <col min="26" max="27" width="8.88671875" style="747"/>
    <col min="28" max="28" width="11.77734375" style="747" customWidth="1"/>
    <col min="29" max="263" width="8.88671875" style="747"/>
    <col min="264" max="264" width="4.109375" style="747" bestFit="1" customWidth="1"/>
    <col min="265" max="265" width="9.5546875" style="747" bestFit="1" customWidth="1"/>
    <col min="266" max="266" width="6.6640625" style="747" bestFit="1" customWidth="1"/>
    <col min="267" max="267" width="7" style="747" bestFit="1" customWidth="1"/>
    <col min="268" max="268" width="8.88671875" style="747"/>
    <col min="269" max="269" width="8.88671875" style="747" customWidth="1"/>
    <col min="270" max="277" width="6.33203125" style="747" customWidth="1"/>
    <col min="278" max="278" width="4.77734375" style="747" customWidth="1"/>
    <col min="279" max="279" width="8.88671875" style="747"/>
    <col min="280" max="280" width="13.109375" style="747" bestFit="1" customWidth="1"/>
    <col min="281" max="283" width="8.88671875" style="747"/>
    <col min="284" max="284" width="11.77734375" style="747" customWidth="1"/>
    <col min="285" max="519" width="8.88671875" style="747"/>
    <col min="520" max="520" width="4.109375" style="747" bestFit="1" customWidth="1"/>
    <col min="521" max="521" width="9.5546875" style="747" bestFit="1" customWidth="1"/>
    <col min="522" max="522" width="6.6640625" style="747" bestFit="1" customWidth="1"/>
    <col min="523" max="523" width="7" style="747" bestFit="1" customWidth="1"/>
    <col min="524" max="524" width="8.88671875" style="747"/>
    <col min="525" max="525" width="8.88671875" style="747" customWidth="1"/>
    <col min="526" max="533" width="6.33203125" style="747" customWidth="1"/>
    <col min="534" max="534" width="4.77734375" style="747" customWidth="1"/>
    <col min="535" max="535" width="8.88671875" style="747"/>
    <col min="536" max="536" width="13.109375" style="747" bestFit="1" customWidth="1"/>
    <col min="537" max="539" width="8.88671875" style="747"/>
    <col min="540" max="540" width="11.77734375" style="747" customWidth="1"/>
    <col min="541" max="775" width="8.88671875" style="747"/>
    <col min="776" max="776" width="4.109375" style="747" bestFit="1" customWidth="1"/>
    <col min="777" max="777" width="9.5546875" style="747" bestFit="1" customWidth="1"/>
    <col min="778" max="778" width="6.6640625" style="747" bestFit="1" customWidth="1"/>
    <col min="779" max="779" width="7" style="747" bestFit="1" customWidth="1"/>
    <col min="780" max="780" width="8.88671875" style="747"/>
    <col min="781" max="781" width="8.88671875" style="747" customWidth="1"/>
    <col min="782" max="789" width="6.33203125" style="747" customWidth="1"/>
    <col min="790" max="790" width="4.77734375" style="747" customWidth="1"/>
    <col min="791" max="791" width="8.88671875" style="747"/>
    <col min="792" max="792" width="13.109375" style="747" bestFit="1" customWidth="1"/>
    <col min="793" max="795" width="8.88671875" style="747"/>
    <col min="796" max="796" width="11.77734375" style="747" customWidth="1"/>
    <col min="797" max="1031" width="8.88671875" style="747"/>
    <col min="1032" max="1032" width="4.109375" style="747" bestFit="1" customWidth="1"/>
    <col min="1033" max="1033" width="9.5546875" style="747" bestFit="1" customWidth="1"/>
    <col min="1034" max="1034" width="6.6640625" style="747" bestFit="1" customWidth="1"/>
    <col min="1035" max="1035" width="7" style="747" bestFit="1" customWidth="1"/>
    <col min="1036" max="1036" width="8.88671875" style="747"/>
    <col min="1037" max="1037" width="8.88671875" style="747" customWidth="1"/>
    <col min="1038" max="1045" width="6.33203125" style="747" customWidth="1"/>
    <col min="1046" max="1046" width="4.77734375" style="747" customWidth="1"/>
    <col min="1047" max="1047" width="8.88671875" style="747"/>
    <col min="1048" max="1048" width="13.109375" style="747" bestFit="1" customWidth="1"/>
    <col min="1049" max="1051" width="8.88671875" style="747"/>
    <col min="1052" max="1052" width="11.77734375" style="747" customWidth="1"/>
    <col min="1053" max="1287" width="8.88671875" style="747"/>
    <col min="1288" max="1288" width="4.109375" style="747" bestFit="1" customWidth="1"/>
    <col min="1289" max="1289" width="9.5546875" style="747" bestFit="1" customWidth="1"/>
    <col min="1290" max="1290" width="6.6640625" style="747" bestFit="1" customWidth="1"/>
    <col min="1291" max="1291" width="7" style="747" bestFit="1" customWidth="1"/>
    <col min="1292" max="1292" width="8.88671875" style="747"/>
    <col min="1293" max="1293" width="8.88671875" style="747" customWidth="1"/>
    <col min="1294" max="1301" width="6.33203125" style="747" customWidth="1"/>
    <col min="1302" max="1302" width="4.77734375" style="747" customWidth="1"/>
    <col min="1303" max="1303" width="8.88671875" style="747"/>
    <col min="1304" max="1304" width="13.109375" style="747" bestFit="1" customWidth="1"/>
    <col min="1305" max="1307" width="8.88671875" style="747"/>
    <col min="1308" max="1308" width="11.77734375" style="747" customWidth="1"/>
    <col min="1309" max="1543" width="8.88671875" style="747"/>
    <col min="1544" max="1544" width="4.109375" style="747" bestFit="1" customWidth="1"/>
    <col min="1545" max="1545" width="9.5546875" style="747" bestFit="1" customWidth="1"/>
    <col min="1546" max="1546" width="6.6640625" style="747" bestFit="1" customWidth="1"/>
    <col min="1547" max="1547" width="7" style="747" bestFit="1" customWidth="1"/>
    <col min="1548" max="1548" width="8.88671875" style="747"/>
    <col min="1549" max="1549" width="8.88671875" style="747" customWidth="1"/>
    <col min="1550" max="1557" width="6.33203125" style="747" customWidth="1"/>
    <col min="1558" max="1558" width="4.77734375" style="747" customWidth="1"/>
    <col min="1559" max="1559" width="8.88671875" style="747"/>
    <col min="1560" max="1560" width="13.109375" style="747" bestFit="1" customWidth="1"/>
    <col min="1561" max="1563" width="8.88671875" style="747"/>
    <col min="1564" max="1564" width="11.77734375" style="747" customWidth="1"/>
    <col min="1565" max="1799" width="8.88671875" style="747"/>
    <col min="1800" max="1800" width="4.109375" style="747" bestFit="1" customWidth="1"/>
    <col min="1801" max="1801" width="9.5546875" style="747" bestFit="1" customWidth="1"/>
    <col min="1802" max="1802" width="6.6640625" style="747" bestFit="1" customWidth="1"/>
    <col min="1803" max="1803" width="7" style="747" bestFit="1" customWidth="1"/>
    <col min="1804" max="1804" width="8.88671875" style="747"/>
    <col min="1805" max="1805" width="8.88671875" style="747" customWidth="1"/>
    <col min="1806" max="1813" width="6.33203125" style="747" customWidth="1"/>
    <col min="1814" max="1814" width="4.77734375" style="747" customWidth="1"/>
    <col min="1815" max="1815" width="8.88671875" style="747"/>
    <col min="1816" max="1816" width="13.109375" style="747" bestFit="1" customWidth="1"/>
    <col min="1817" max="1819" width="8.88671875" style="747"/>
    <col min="1820" max="1820" width="11.77734375" style="747" customWidth="1"/>
    <col min="1821" max="2055" width="8.88671875" style="747"/>
    <col min="2056" max="2056" width="4.109375" style="747" bestFit="1" customWidth="1"/>
    <col min="2057" max="2057" width="9.5546875" style="747" bestFit="1" customWidth="1"/>
    <col min="2058" max="2058" width="6.6640625" style="747" bestFit="1" customWidth="1"/>
    <col min="2059" max="2059" width="7" style="747" bestFit="1" customWidth="1"/>
    <col min="2060" max="2060" width="8.88671875" style="747"/>
    <col min="2061" max="2061" width="8.88671875" style="747" customWidth="1"/>
    <col min="2062" max="2069" width="6.33203125" style="747" customWidth="1"/>
    <col min="2070" max="2070" width="4.77734375" style="747" customWidth="1"/>
    <col min="2071" max="2071" width="8.88671875" style="747"/>
    <col min="2072" max="2072" width="13.109375" style="747" bestFit="1" customWidth="1"/>
    <col min="2073" max="2075" width="8.88671875" style="747"/>
    <col min="2076" max="2076" width="11.77734375" style="747" customWidth="1"/>
    <col min="2077" max="2311" width="8.88671875" style="747"/>
    <col min="2312" max="2312" width="4.109375" style="747" bestFit="1" customWidth="1"/>
    <col min="2313" max="2313" width="9.5546875" style="747" bestFit="1" customWidth="1"/>
    <col min="2314" max="2314" width="6.6640625" style="747" bestFit="1" customWidth="1"/>
    <col min="2315" max="2315" width="7" style="747" bestFit="1" customWidth="1"/>
    <col min="2316" max="2316" width="8.88671875" style="747"/>
    <col min="2317" max="2317" width="8.88671875" style="747" customWidth="1"/>
    <col min="2318" max="2325" width="6.33203125" style="747" customWidth="1"/>
    <col min="2326" max="2326" width="4.77734375" style="747" customWidth="1"/>
    <col min="2327" max="2327" width="8.88671875" style="747"/>
    <col min="2328" max="2328" width="13.109375" style="747" bestFit="1" customWidth="1"/>
    <col min="2329" max="2331" width="8.88671875" style="747"/>
    <col min="2332" max="2332" width="11.77734375" style="747" customWidth="1"/>
    <col min="2333" max="2567" width="8.88671875" style="747"/>
    <col min="2568" max="2568" width="4.109375" style="747" bestFit="1" customWidth="1"/>
    <col min="2569" max="2569" width="9.5546875" style="747" bestFit="1" customWidth="1"/>
    <col min="2570" max="2570" width="6.6640625" style="747" bestFit="1" customWidth="1"/>
    <col min="2571" max="2571" width="7" style="747" bestFit="1" customWidth="1"/>
    <col min="2572" max="2572" width="8.88671875" style="747"/>
    <col min="2573" max="2573" width="8.88671875" style="747" customWidth="1"/>
    <col min="2574" max="2581" width="6.33203125" style="747" customWidth="1"/>
    <col min="2582" max="2582" width="4.77734375" style="747" customWidth="1"/>
    <col min="2583" max="2583" width="8.88671875" style="747"/>
    <col min="2584" max="2584" width="13.109375" style="747" bestFit="1" customWidth="1"/>
    <col min="2585" max="2587" width="8.88671875" style="747"/>
    <col min="2588" max="2588" width="11.77734375" style="747" customWidth="1"/>
    <col min="2589" max="2823" width="8.88671875" style="747"/>
    <col min="2824" max="2824" width="4.109375" style="747" bestFit="1" customWidth="1"/>
    <col min="2825" max="2825" width="9.5546875" style="747" bestFit="1" customWidth="1"/>
    <col min="2826" max="2826" width="6.6640625" style="747" bestFit="1" customWidth="1"/>
    <col min="2827" max="2827" width="7" style="747" bestFit="1" customWidth="1"/>
    <col min="2828" max="2828" width="8.88671875" style="747"/>
    <col min="2829" max="2829" width="8.88671875" style="747" customWidth="1"/>
    <col min="2830" max="2837" width="6.33203125" style="747" customWidth="1"/>
    <col min="2838" max="2838" width="4.77734375" style="747" customWidth="1"/>
    <col min="2839" max="2839" width="8.88671875" style="747"/>
    <col min="2840" max="2840" width="13.109375" style="747" bestFit="1" customWidth="1"/>
    <col min="2841" max="2843" width="8.88671875" style="747"/>
    <col min="2844" max="2844" width="11.77734375" style="747" customWidth="1"/>
    <col min="2845" max="3079" width="8.88671875" style="747"/>
    <col min="3080" max="3080" width="4.109375" style="747" bestFit="1" customWidth="1"/>
    <col min="3081" max="3081" width="9.5546875" style="747" bestFit="1" customWidth="1"/>
    <col min="3082" max="3082" width="6.6640625" style="747" bestFit="1" customWidth="1"/>
    <col min="3083" max="3083" width="7" style="747" bestFit="1" customWidth="1"/>
    <col min="3084" max="3084" width="8.88671875" style="747"/>
    <col min="3085" max="3085" width="8.88671875" style="747" customWidth="1"/>
    <col min="3086" max="3093" width="6.33203125" style="747" customWidth="1"/>
    <col min="3094" max="3094" width="4.77734375" style="747" customWidth="1"/>
    <col min="3095" max="3095" width="8.88671875" style="747"/>
    <col min="3096" max="3096" width="13.109375" style="747" bestFit="1" customWidth="1"/>
    <col min="3097" max="3099" width="8.88671875" style="747"/>
    <col min="3100" max="3100" width="11.77734375" style="747" customWidth="1"/>
    <col min="3101" max="3335" width="8.88671875" style="747"/>
    <col min="3336" max="3336" width="4.109375" style="747" bestFit="1" customWidth="1"/>
    <col min="3337" max="3337" width="9.5546875" style="747" bestFit="1" customWidth="1"/>
    <col min="3338" max="3338" width="6.6640625" style="747" bestFit="1" customWidth="1"/>
    <col min="3339" max="3339" width="7" style="747" bestFit="1" customWidth="1"/>
    <col min="3340" max="3340" width="8.88671875" style="747"/>
    <col min="3341" max="3341" width="8.88671875" style="747" customWidth="1"/>
    <col min="3342" max="3349" width="6.33203125" style="747" customWidth="1"/>
    <col min="3350" max="3350" width="4.77734375" style="747" customWidth="1"/>
    <col min="3351" max="3351" width="8.88671875" style="747"/>
    <col min="3352" max="3352" width="13.109375" style="747" bestFit="1" customWidth="1"/>
    <col min="3353" max="3355" width="8.88671875" style="747"/>
    <col min="3356" max="3356" width="11.77734375" style="747" customWidth="1"/>
    <col min="3357" max="3591" width="8.88671875" style="747"/>
    <col min="3592" max="3592" width="4.109375" style="747" bestFit="1" customWidth="1"/>
    <col min="3593" max="3593" width="9.5546875" style="747" bestFit="1" customWidth="1"/>
    <col min="3594" max="3594" width="6.6640625" style="747" bestFit="1" customWidth="1"/>
    <col min="3595" max="3595" width="7" style="747" bestFit="1" customWidth="1"/>
    <col min="3596" max="3596" width="8.88671875" style="747"/>
    <col min="3597" max="3597" width="8.88671875" style="747" customWidth="1"/>
    <col min="3598" max="3605" width="6.33203125" style="747" customWidth="1"/>
    <col min="3606" max="3606" width="4.77734375" style="747" customWidth="1"/>
    <col min="3607" max="3607" width="8.88671875" style="747"/>
    <col min="3608" max="3608" width="13.109375" style="747" bestFit="1" customWidth="1"/>
    <col min="3609" max="3611" width="8.88671875" style="747"/>
    <col min="3612" max="3612" width="11.77734375" style="747" customWidth="1"/>
    <col min="3613" max="3847" width="8.88671875" style="747"/>
    <col min="3848" max="3848" width="4.109375" style="747" bestFit="1" customWidth="1"/>
    <col min="3849" max="3849" width="9.5546875" style="747" bestFit="1" customWidth="1"/>
    <col min="3850" max="3850" width="6.6640625" style="747" bestFit="1" customWidth="1"/>
    <col min="3851" max="3851" width="7" style="747" bestFit="1" customWidth="1"/>
    <col min="3852" max="3852" width="8.88671875" style="747"/>
    <col min="3853" max="3853" width="8.88671875" style="747" customWidth="1"/>
    <col min="3854" max="3861" width="6.33203125" style="747" customWidth="1"/>
    <col min="3862" max="3862" width="4.77734375" style="747" customWidth="1"/>
    <col min="3863" max="3863" width="8.88671875" style="747"/>
    <col min="3864" max="3864" width="13.109375" style="747" bestFit="1" customWidth="1"/>
    <col min="3865" max="3867" width="8.88671875" style="747"/>
    <col min="3868" max="3868" width="11.77734375" style="747" customWidth="1"/>
    <col min="3869" max="4103" width="8.88671875" style="747"/>
    <col min="4104" max="4104" width="4.109375" style="747" bestFit="1" customWidth="1"/>
    <col min="4105" max="4105" width="9.5546875" style="747" bestFit="1" customWidth="1"/>
    <col min="4106" max="4106" width="6.6640625" style="747" bestFit="1" customWidth="1"/>
    <col min="4107" max="4107" width="7" style="747" bestFit="1" customWidth="1"/>
    <col min="4108" max="4108" width="8.88671875" style="747"/>
    <col min="4109" max="4109" width="8.88671875" style="747" customWidth="1"/>
    <col min="4110" max="4117" width="6.33203125" style="747" customWidth="1"/>
    <col min="4118" max="4118" width="4.77734375" style="747" customWidth="1"/>
    <col min="4119" max="4119" width="8.88671875" style="747"/>
    <col min="4120" max="4120" width="13.109375" style="747" bestFit="1" customWidth="1"/>
    <col min="4121" max="4123" width="8.88671875" style="747"/>
    <col min="4124" max="4124" width="11.77734375" style="747" customWidth="1"/>
    <col min="4125" max="4359" width="8.88671875" style="747"/>
    <col min="4360" max="4360" width="4.109375" style="747" bestFit="1" customWidth="1"/>
    <col min="4361" max="4361" width="9.5546875" style="747" bestFit="1" customWidth="1"/>
    <col min="4362" max="4362" width="6.6640625" style="747" bestFit="1" customWidth="1"/>
    <col min="4363" max="4363" width="7" style="747" bestFit="1" customWidth="1"/>
    <col min="4364" max="4364" width="8.88671875" style="747"/>
    <col min="4365" max="4365" width="8.88671875" style="747" customWidth="1"/>
    <col min="4366" max="4373" width="6.33203125" style="747" customWidth="1"/>
    <col min="4374" max="4374" width="4.77734375" style="747" customWidth="1"/>
    <col min="4375" max="4375" width="8.88671875" style="747"/>
    <col min="4376" max="4376" width="13.109375" style="747" bestFit="1" customWidth="1"/>
    <col min="4377" max="4379" width="8.88671875" style="747"/>
    <col min="4380" max="4380" width="11.77734375" style="747" customWidth="1"/>
    <col min="4381" max="4615" width="8.88671875" style="747"/>
    <col min="4616" max="4616" width="4.109375" style="747" bestFit="1" customWidth="1"/>
    <col min="4617" max="4617" width="9.5546875" style="747" bestFit="1" customWidth="1"/>
    <col min="4618" max="4618" width="6.6640625" style="747" bestFit="1" customWidth="1"/>
    <col min="4619" max="4619" width="7" style="747" bestFit="1" customWidth="1"/>
    <col min="4620" max="4620" width="8.88671875" style="747"/>
    <col min="4621" max="4621" width="8.88671875" style="747" customWidth="1"/>
    <col min="4622" max="4629" width="6.33203125" style="747" customWidth="1"/>
    <col min="4630" max="4630" width="4.77734375" style="747" customWidth="1"/>
    <col min="4631" max="4631" width="8.88671875" style="747"/>
    <col min="4632" max="4632" width="13.109375" style="747" bestFit="1" customWidth="1"/>
    <col min="4633" max="4635" width="8.88671875" style="747"/>
    <col min="4636" max="4636" width="11.77734375" style="747" customWidth="1"/>
    <col min="4637" max="4871" width="8.88671875" style="747"/>
    <col min="4872" max="4872" width="4.109375" style="747" bestFit="1" customWidth="1"/>
    <col min="4873" max="4873" width="9.5546875" style="747" bestFit="1" customWidth="1"/>
    <col min="4874" max="4874" width="6.6640625" style="747" bestFit="1" customWidth="1"/>
    <col min="4875" max="4875" width="7" style="747" bestFit="1" customWidth="1"/>
    <col min="4876" max="4876" width="8.88671875" style="747"/>
    <col min="4877" max="4877" width="8.88671875" style="747" customWidth="1"/>
    <col min="4878" max="4885" width="6.33203125" style="747" customWidth="1"/>
    <col min="4886" max="4886" width="4.77734375" style="747" customWidth="1"/>
    <col min="4887" max="4887" width="8.88671875" style="747"/>
    <col min="4888" max="4888" width="13.109375" style="747" bestFit="1" customWidth="1"/>
    <col min="4889" max="4891" width="8.88671875" style="747"/>
    <col min="4892" max="4892" width="11.77734375" style="747" customWidth="1"/>
    <col min="4893" max="5127" width="8.88671875" style="747"/>
    <col min="5128" max="5128" width="4.109375" style="747" bestFit="1" customWidth="1"/>
    <col min="5129" max="5129" width="9.5546875" style="747" bestFit="1" customWidth="1"/>
    <col min="5130" max="5130" width="6.6640625" style="747" bestFit="1" customWidth="1"/>
    <col min="5131" max="5131" width="7" style="747" bestFit="1" customWidth="1"/>
    <col min="5132" max="5132" width="8.88671875" style="747"/>
    <col min="5133" max="5133" width="8.88671875" style="747" customWidth="1"/>
    <col min="5134" max="5141" width="6.33203125" style="747" customWidth="1"/>
    <col min="5142" max="5142" width="4.77734375" style="747" customWidth="1"/>
    <col min="5143" max="5143" width="8.88671875" style="747"/>
    <col min="5144" max="5144" width="13.109375" style="747" bestFit="1" customWidth="1"/>
    <col min="5145" max="5147" width="8.88671875" style="747"/>
    <col min="5148" max="5148" width="11.77734375" style="747" customWidth="1"/>
    <col min="5149" max="5383" width="8.88671875" style="747"/>
    <col min="5384" max="5384" width="4.109375" style="747" bestFit="1" customWidth="1"/>
    <col min="5385" max="5385" width="9.5546875" style="747" bestFit="1" customWidth="1"/>
    <col min="5386" max="5386" width="6.6640625" style="747" bestFit="1" customWidth="1"/>
    <col min="5387" max="5387" width="7" style="747" bestFit="1" customWidth="1"/>
    <col min="5388" max="5388" width="8.88671875" style="747"/>
    <col min="5389" max="5389" width="8.88671875" style="747" customWidth="1"/>
    <col min="5390" max="5397" width="6.33203125" style="747" customWidth="1"/>
    <col min="5398" max="5398" width="4.77734375" style="747" customWidth="1"/>
    <col min="5399" max="5399" width="8.88671875" style="747"/>
    <col min="5400" max="5400" width="13.109375" style="747" bestFit="1" customWidth="1"/>
    <col min="5401" max="5403" width="8.88671875" style="747"/>
    <col min="5404" max="5404" width="11.77734375" style="747" customWidth="1"/>
    <col min="5405" max="5639" width="8.88671875" style="747"/>
    <col min="5640" max="5640" width="4.109375" style="747" bestFit="1" customWidth="1"/>
    <col min="5641" max="5641" width="9.5546875" style="747" bestFit="1" customWidth="1"/>
    <col min="5642" max="5642" width="6.6640625" style="747" bestFit="1" customWidth="1"/>
    <col min="5643" max="5643" width="7" style="747" bestFit="1" customWidth="1"/>
    <col min="5644" max="5644" width="8.88671875" style="747"/>
    <col min="5645" max="5645" width="8.88671875" style="747" customWidth="1"/>
    <col min="5646" max="5653" width="6.33203125" style="747" customWidth="1"/>
    <col min="5654" max="5654" width="4.77734375" style="747" customWidth="1"/>
    <col min="5655" max="5655" width="8.88671875" style="747"/>
    <col min="5656" max="5656" width="13.109375" style="747" bestFit="1" customWidth="1"/>
    <col min="5657" max="5659" width="8.88671875" style="747"/>
    <col min="5660" max="5660" width="11.77734375" style="747" customWidth="1"/>
    <col min="5661" max="5895" width="8.88671875" style="747"/>
    <col min="5896" max="5896" width="4.109375" style="747" bestFit="1" customWidth="1"/>
    <col min="5897" max="5897" width="9.5546875" style="747" bestFit="1" customWidth="1"/>
    <col min="5898" max="5898" width="6.6640625" style="747" bestFit="1" customWidth="1"/>
    <col min="5899" max="5899" width="7" style="747" bestFit="1" customWidth="1"/>
    <col min="5900" max="5900" width="8.88671875" style="747"/>
    <col min="5901" max="5901" width="8.88671875" style="747" customWidth="1"/>
    <col min="5902" max="5909" width="6.33203125" style="747" customWidth="1"/>
    <col min="5910" max="5910" width="4.77734375" style="747" customWidth="1"/>
    <col min="5911" max="5911" width="8.88671875" style="747"/>
    <col min="5912" max="5912" width="13.109375" style="747" bestFit="1" customWidth="1"/>
    <col min="5913" max="5915" width="8.88671875" style="747"/>
    <col min="5916" max="5916" width="11.77734375" style="747" customWidth="1"/>
    <col min="5917" max="6151" width="8.88671875" style="747"/>
    <col min="6152" max="6152" width="4.109375" style="747" bestFit="1" customWidth="1"/>
    <col min="6153" max="6153" width="9.5546875" style="747" bestFit="1" customWidth="1"/>
    <col min="6154" max="6154" width="6.6640625" style="747" bestFit="1" customWidth="1"/>
    <col min="6155" max="6155" width="7" style="747" bestFit="1" customWidth="1"/>
    <col min="6156" max="6156" width="8.88671875" style="747"/>
    <col min="6157" max="6157" width="8.88671875" style="747" customWidth="1"/>
    <col min="6158" max="6165" width="6.33203125" style="747" customWidth="1"/>
    <col min="6166" max="6166" width="4.77734375" style="747" customWidth="1"/>
    <col min="6167" max="6167" width="8.88671875" style="747"/>
    <col min="6168" max="6168" width="13.109375" style="747" bestFit="1" customWidth="1"/>
    <col min="6169" max="6171" width="8.88671875" style="747"/>
    <col min="6172" max="6172" width="11.77734375" style="747" customWidth="1"/>
    <col min="6173" max="6407" width="8.88671875" style="747"/>
    <col min="6408" max="6408" width="4.109375" style="747" bestFit="1" customWidth="1"/>
    <col min="6409" max="6409" width="9.5546875" style="747" bestFit="1" customWidth="1"/>
    <col min="6410" max="6410" width="6.6640625" style="747" bestFit="1" customWidth="1"/>
    <col min="6411" max="6411" width="7" style="747" bestFit="1" customWidth="1"/>
    <col min="6412" max="6412" width="8.88671875" style="747"/>
    <col min="6413" max="6413" width="8.88671875" style="747" customWidth="1"/>
    <col min="6414" max="6421" width="6.33203125" style="747" customWidth="1"/>
    <col min="6422" max="6422" width="4.77734375" style="747" customWidth="1"/>
    <col min="6423" max="6423" width="8.88671875" style="747"/>
    <col min="6424" max="6424" width="13.109375" style="747" bestFit="1" customWidth="1"/>
    <col min="6425" max="6427" width="8.88671875" style="747"/>
    <col min="6428" max="6428" width="11.77734375" style="747" customWidth="1"/>
    <col min="6429" max="6663" width="8.88671875" style="747"/>
    <col min="6664" max="6664" width="4.109375" style="747" bestFit="1" customWidth="1"/>
    <col min="6665" max="6665" width="9.5546875" style="747" bestFit="1" customWidth="1"/>
    <col min="6666" max="6666" width="6.6640625" style="747" bestFit="1" customWidth="1"/>
    <col min="6667" max="6667" width="7" style="747" bestFit="1" customWidth="1"/>
    <col min="6668" max="6668" width="8.88671875" style="747"/>
    <col min="6669" max="6669" width="8.88671875" style="747" customWidth="1"/>
    <col min="6670" max="6677" width="6.33203125" style="747" customWidth="1"/>
    <col min="6678" max="6678" width="4.77734375" style="747" customWidth="1"/>
    <col min="6679" max="6679" width="8.88671875" style="747"/>
    <col min="6680" max="6680" width="13.109375" style="747" bestFit="1" customWidth="1"/>
    <col min="6681" max="6683" width="8.88671875" style="747"/>
    <col min="6684" max="6684" width="11.77734375" style="747" customWidth="1"/>
    <col min="6685" max="6919" width="8.88671875" style="747"/>
    <col min="6920" max="6920" width="4.109375" style="747" bestFit="1" customWidth="1"/>
    <col min="6921" max="6921" width="9.5546875" style="747" bestFit="1" customWidth="1"/>
    <col min="6922" max="6922" width="6.6640625" style="747" bestFit="1" customWidth="1"/>
    <col min="6923" max="6923" width="7" style="747" bestFit="1" customWidth="1"/>
    <col min="6924" max="6924" width="8.88671875" style="747"/>
    <col min="6925" max="6925" width="8.88671875" style="747" customWidth="1"/>
    <col min="6926" max="6933" width="6.33203125" style="747" customWidth="1"/>
    <col min="6934" max="6934" width="4.77734375" style="747" customWidth="1"/>
    <col min="6935" max="6935" width="8.88671875" style="747"/>
    <col min="6936" max="6936" width="13.109375" style="747" bestFit="1" customWidth="1"/>
    <col min="6937" max="6939" width="8.88671875" style="747"/>
    <col min="6940" max="6940" width="11.77734375" style="747" customWidth="1"/>
    <col min="6941" max="7175" width="8.88671875" style="747"/>
    <col min="7176" max="7176" width="4.109375" style="747" bestFit="1" customWidth="1"/>
    <col min="7177" max="7177" width="9.5546875" style="747" bestFit="1" customWidth="1"/>
    <col min="7178" max="7178" width="6.6640625" style="747" bestFit="1" customWidth="1"/>
    <col min="7179" max="7179" width="7" style="747" bestFit="1" customWidth="1"/>
    <col min="7180" max="7180" width="8.88671875" style="747"/>
    <col min="7181" max="7181" width="8.88671875" style="747" customWidth="1"/>
    <col min="7182" max="7189" width="6.33203125" style="747" customWidth="1"/>
    <col min="7190" max="7190" width="4.77734375" style="747" customWidth="1"/>
    <col min="7191" max="7191" width="8.88671875" style="747"/>
    <col min="7192" max="7192" width="13.109375" style="747" bestFit="1" customWidth="1"/>
    <col min="7193" max="7195" width="8.88671875" style="747"/>
    <col min="7196" max="7196" width="11.77734375" style="747" customWidth="1"/>
    <col min="7197" max="7431" width="8.88671875" style="747"/>
    <col min="7432" max="7432" width="4.109375" style="747" bestFit="1" customWidth="1"/>
    <col min="7433" max="7433" width="9.5546875" style="747" bestFit="1" customWidth="1"/>
    <col min="7434" max="7434" width="6.6640625" style="747" bestFit="1" customWidth="1"/>
    <col min="7435" max="7435" width="7" style="747" bestFit="1" customWidth="1"/>
    <col min="7436" max="7436" width="8.88671875" style="747"/>
    <col min="7437" max="7437" width="8.88671875" style="747" customWidth="1"/>
    <col min="7438" max="7445" width="6.33203125" style="747" customWidth="1"/>
    <col min="7446" max="7446" width="4.77734375" style="747" customWidth="1"/>
    <col min="7447" max="7447" width="8.88671875" style="747"/>
    <col min="7448" max="7448" width="13.109375" style="747" bestFit="1" customWidth="1"/>
    <col min="7449" max="7451" width="8.88671875" style="747"/>
    <col min="7452" max="7452" width="11.77734375" style="747" customWidth="1"/>
    <col min="7453" max="7687" width="8.88671875" style="747"/>
    <col min="7688" max="7688" width="4.109375" style="747" bestFit="1" customWidth="1"/>
    <col min="7689" max="7689" width="9.5546875" style="747" bestFit="1" customWidth="1"/>
    <col min="7690" max="7690" width="6.6640625" style="747" bestFit="1" customWidth="1"/>
    <col min="7691" max="7691" width="7" style="747" bestFit="1" customWidth="1"/>
    <col min="7692" max="7692" width="8.88671875" style="747"/>
    <col min="7693" max="7693" width="8.88671875" style="747" customWidth="1"/>
    <col min="7694" max="7701" width="6.33203125" style="747" customWidth="1"/>
    <col min="7702" max="7702" width="4.77734375" style="747" customWidth="1"/>
    <col min="7703" max="7703" width="8.88671875" style="747"/>
    <col min="7704" max="7704" width="13.109375" style="747" bestFit="1" customWidth="1"/>
    <col min="7705" max="7707" width="8.88671875" style="747"/>
    <col min="7708" max="7708" width="11.77734375" style="747" customWidth="1"/>
    <col min="7709" max="7943" width="8.88671875" style="747"/>
    <col min="7944" max="7944" width="4.109375" style="747" bestFit="1" customWidth="1"/>
    <col min="7945" max="7945" width="9.5546875" style="747" bestFit="1" customWidth="1"/>
    <col min="7946" max="7946" width="6.6640625" style="747" bestFit="1" customWidth="1"/>
    <col min="7947" max="7947" width="7" style="747" bestFit="1" customWidth="1"/>
    <col min="7948" max="7948" width="8.88671875" style="747"/>
    <col min="7949" max="7949" width="8.88671875" style="747" customWidth="1"/>
    <col min="7950" max="7957" width="6.33203125" style="747" customWidth="1"/>
    <col min="7958" max="7958" width="4.77734375" style="747" customWidth="1"/>
    <col min="7959" max="7959" width="8.88671875" style="747"/>
    <col min="7960" max="7960" width="13.109375" style="747" bestFit="1" customWidth="1"/>
    <col min="7961" max="7963" width="8.88671875" style="747"/>
    <col min="7964" max="7964" width="11.77734375" style="747" customWidth="1"/>
    <col min="7965" max="8199" width="8.88671875" style="747"/>
    <col min="8200" max="8200" width="4.109375" style="747" bestFit="1" customWidth="1"/>
    <col min="8201" max="8201" width="9.5546875" style="747" bestFit="1" customWidth="1"/>
    <col min="8202" max="8202" width="6.6640625" style="747" bestFit="1" customWidth="1"/>
    <col min="8203" max="8203" width="7" style="747" bestFit="1" customWidth="1"/>
    <col min="8204" max="8204" width="8.88671875" style="747"/>
    <col min="8205" max="8205" width="8.88671875" style="747" customWidth="1"/>
    <col min="8206" max="8213" width="6.33203125" style="747" customWidth="1"/>
    <col min="8214" max="8214" width="4.77734375" style="747" customWidth="1"/>
    <col min="8215" max="8215" width="8.88671875" style="747"/>
    <col min="8216" max="8216" width="13.109375" style="747" bestFit="1" customWidth="1"/>
    <col min="8217" max="8219" width="8.88671875" style="747"/>
    <col min="8220" max="8220" width="11.77734375" style="747" customWidth="1"/>
    <col min="8221" max="8455" width="8.88671875" style="747"/>
    <col min="8456" max="8456" width="4.109375" style="747" bestFit="1" customWidth="1"/>
    <col min="8457" max="8457" width="9.5546875" style="747" bestFit="1" customWidth="1"/>
    <col min="8458" max="8458" width="6.6640625" style="747" bestFit="1" customWidth="1"/>
    <col min="8459" max="8459" width="7" style="747" bestFit="1" customWidth="1"/>
    <col min="8460" max="8460" width="8.88671875" style="747"/>
    <col min="8461" max="8461" width="8.88671875" style="747" customWidth="1"/>
    <col min="8462" max="8469" width="6.33203125" style="747" customWidth="1"/>
    <col min="8470" max="8470" width="4.77734375" style="747" customWidth="1"/>
    <col min="8471" max="8471" width="8.88671875" style="747"/>
    <col min="8472" max="8472" width="13.109375" style="747" bestFit="1" customWidth="1"/>
    <col min="8473" max="8475" width="8.88671875" style="747"/>
    <col min="8476" max="8476" width="11.77734375" style="747" customWidth="1"/>
    <col min="8477" max="8711" width="8.88671875" style="747"/>
    <col min="8712" max="8712" width="4.109375" style="747" bestFit="1" customWidth="1"/>
    <col min="8713" max="8713" width="9.5546875" style="747" bestFit="1" customWidth="1"/>
    <col min="8714" max="8714" width="6.6640625" style="747" bestFit="1" customWidth="1"/>
    <col min="8715" max="8715" width="7" style="747" bestFit="1" customWidth="1"/>
    <col min="8716" max="8716" width="8.88671875" style="747"/>
    <col min="8717" max="8717" width="8.88671875" style="747" customWidth="1"/>
    <col min="8718" max="8725" width="6.33203125" style="747" customWidth="1"/>
    <col min="8726" max="8726" width="4.77734375" style="747" customWidth="1"/>
    <col min="8727" max="8727" width="8.88671875" style="747"/>
    <col min="8728" max="8728" width="13.109375" style="747" bestFit="1" customWidth="1"/>
    <col min="8729" max="8731" width="8.88671875" style="747"/>
    <col min="8732" max="8732" width="11.77734375" style="747" customWidth="1"/>
    <col min="8733" max="8967" width="8.88671875" style="747"/>
    <col min="8968" max="8968" width="4.109375" style="747" bestFit="1" customWidth="1"/>
    <col min="8969" max="8969" width="9.5546875" style="747" bestFit="1" customWidth="1"/>
    <col min="8970" max="8970" width="6.6640625" style="747" bestFit="1" customWidth="1"/>
    <col min="8971" max="8971" width="7" style="747" bestFit="1" customWidth="1"/>
    <col min="8972" max="8972" width="8.88671875" style="747"/>
    <col min="8973" max="8973" width="8.88671875" style="747" customWidth="1"/>
    <col min="8974" max="8981" width="6.33203125" style="747" customWidth="1"/>
    <col min="8982" max="8982" width="4.77734375" style="747" customWidth="1"/>
    <col min="8983" max="8983" width="8.88671875" style="747"/>
    <col min="8984" max="8984" width="13.109375" style="747" bestFit="1" customWidth="1"/>
    <col min="8985" max="8987" width="8.88671875" style="747"/>
    <col min="8988" max="8988" width="11.77734375" style="747" customWidth="1"/>
    <col min="8989" max="9223" width="8.88671875" style="747"/>
    <col min="9224" max="9224" width="4.109375" style="747" bestFit="1" customWidth="1"/>
    <col min="9225" max="9225" width="9.5546875" style="747" bestFit="1" customWidth="1"/>
    <col min="9226" max="9226" width="6.6640625" style="747" bestFit="1" customWidth="1"/>
    <col min="9227" max="9227" width="7" style="747" bestFit="1" customWidth="1"/>
    <col min="9228" max="9228" width="8.88671875" style="747"/>
    <col min="9229" max="9229" width="8.88671875" style="747" customWidth="1"/>
    <col min="9230" max="9237" width="6.33203125" style="747" customWidth="1"/>
    <col min="9238" max="9238" width="4.77734375" style="747" customWidth="1"/>
    <col min="9239" max="9239" width="8.88671875" style="747"/>
    <col min="9240" max="9240" width="13.109375" style="747" bestFit="1" customWidth="1"/>
    <col min="9241" max="9243" width="8.88671875" style="747"/>
    <col min="9244" max="9244" width="11.77734375" style="747" customWidth="1"/>
    <col min="9245" max="9479" width="8.88671875" style="747"/>
    <col min="9480" max="9480" width="4.109375" style="747" bestFit="1" customWidth="1"/>
    <col min="9481" max="9481" width="9.5546875" style="747" bestFit="1" customWidth="1"/>
    <col min="9482" max="9482" width="6.6640625" style="747" bestFit="1" customWidth="1"/>
    <col min="9483" max="9483" width="7" style="747" bestFit="1" customWidth="1"/>
    <col min="9484" max="9484" width="8.88671875" style="747"/>
    <col min="9485" max="9485" width="8.88671875" style="747" customWidth="1"/>
    <col min="9486" max="9493" width="6.33203125" style="747" customWidth="1"/>
    <col min="9494" max="9494" width="4.77734375" style="747" customWidth="1"/>
    <col min="9495" max="9495" width="8.88671875" style="747"/>
    <col min="9496" max="9496" width="13.109375" style="747" bestFit="1" customWidth="1"/>
    <col min="9497" max="9499" width="8.88671875" style="747"/>
    <col min="9500" max="9500" width="11.77734375" style="747" customWidth="1"/>
    <col min="9501" max="9735" width="8.88671875" style="747"/>
    <col min="9736" max="9736" width="4.109375" style="747" bestFit="1" customWidth="1"/>
    <col min="9737" max="9737" width="9.5546875" style="747" bestFit="1" customWidth="1"/>
    <col min="9738" max="9738" width="6.6640625" style="747" bestFit="1" customWidth="1"/>
    <col min="9739" max="9739" width="7" style="747" bestFit="1" customWidth="1"/>
    <col min="9740" max="9740" width="8.88671875" style="747"/>
    <col min="9741" max="9741" width="8.88671875" style="747" customWidth="1"/>
    <col min="9742" max="9749" width="6.33203125" style="747" customWidth="1"/>
    <col min="9750" max="9750" width="4.77734375" style="747" customWidth="1"/>
    <col min="9751" max="9751" width="8.88671875" style="747"/>
    <col min="9752" max="9752" width="13.109375" style="747" bestFit="1" customWidth="1"/>
    <col min="9753" max="9755" width="8.88671875" style="747"/>
    <col min="9756" max="9756" width="11.77734375" style="747" customWidth="1"/>
    <col min="9757" max="9991" width="8.88671875" style="747"/>
    <col min="9992" max="9992" width="4.109375" style="747" bestFit="1" customWidth="1"/>
    <col min="9993" max="9993" width="9.5546875" style="747" bestFit="1" customWidth="1"/>
    <col min="9994" max="9994" width="6.6640625" style="747" bestFit="1" customWidth="1"/>
    <col min="9995" max="9995" width="7" style="747" bestFit="1" customWidth="1"/>
    <col min="9996" max="9996" width="8.88671875" style="747"/>
    <col min="9997" max="9997" width="8.88671875" style="747" customWidth="1"/>
    <col min="9998" max="10005" width="6.33203125" style="747" customWidth="1"/>
    <col min="10006" max="10006" width="4.77734375" style="747" customWidth="1"/>
    <col min="10007" max="10007" width="8.88671875" style="747"/>
    <col min="10008" max="10008" width="13.109375" style="747" bestFit="1" customWidth="1"/>
    <col min="10009" max="10011" width="8.88671875" style="747"/>
    <col min="10012" max="10012" width="11.77734375" style="747" customWidth="1"/>
    <col min="10013" max="10247" width="8.88671875" style="747"/>
    <col min="10248" max="10248" width="4.109375" style="747" bestFit="1" customWidth="1"/>
    <col min="10249" max="10249" width="9.5546875" style="747" bestFit="1" customWidth="1"/>
    <col min="10250" max="10250" width="6.6640625" style="747" bestFit="1" customWidth="1"/>
    <col min="10251" max="10251" width="7" style="747" bestFit="1" customWidth="1"/>
    <col min="10252" max="10252" width="8.88671875" style="747"/>
    <col min="10253" max="10253" width="8.88671875" style="747" customWidth="1"/>
    <col min="10254" max="10261" width="6.33203125" style="747" customWidth="1"/>
    <col min="10262" max="10262" width="4.77734375" style="747" customWidth="1"/>
    <col min="10263" max="10263" width="8.88671875" style="747"/>
    <col min="10264" max="10264" width="13.109375" style="747" bestFit="1" customWidth="1"/>
    <col min="10265" max="10267" width="8.88671875" style="747"/>
    <col min="10268" max="10268" width="11.77734375" style="747" customWidth="1"/>
    <col min="10269" max="10503" width="8.88671875" style="747"/>
    <col min="10504" max="10504" width="4.109375" style="747" bestFit="1" customWidth="1"/>
    <col min="10505" max="10505" width="9.5546875" style="747" bestFit="1" customWidth="1"/>
    <col min="10506" max="10506" width="6.6640625" style="747" bestFit="1" customWidth="1"/>
    <col min="10507" max="10507" width="7" style="747" bestFit="1" customWidth="1"/>
    <col min="10508" max="10508" width="8.88671875" style="747"/>
    <col min="10509" max="10509" width="8.88671875" style="747" customWidth="1"/>
    <col min="10510" max="10517" width="6.33203125" style="747" customWidth="1"/>
    <col min="10518" max="10518" width="4.77734375" style="747" customWidth="1"/>
    <col min="10519" max="10519" width="8.88671875" style="747"/>
    <col min="10520" max="10520" width="13.109375" style="747" bestFit="1" customWidth="1"/>
    <col min="10521" max="10523" width="8.88671875" style="747"/>
    <col min="10524" max="10524" width="11.77734375" style="747" customWidth="1"/>
    <col min="10525" max="10759" width="8.88671875" style="747"/>
    <col min="10760" max="10760" width="4.109375" style="747" bestFit="1" customWidth="1"/>
    <col min="10761" max="10761" width="9.5546875" style="747" bestFit="1" customWidth="1"/>
    <col min="10762" max="10762" width="6.6640625" style="747" bestFit="1" customWidth="1"/>
    <col min="10763" max="10763" width="7" style="747" bestFit="1" customWidth="1"/>
    <col min="10764" max="10764" width="8.88671875" style="747"/>
    <col min="10765" max="10765" width="8.88671875" style="747" customWidth="1"/>
    <col min="10766" max="10773" width="6.33203125" style="747" customWidth="1"/>
    <col min="10774" max="10774" width="4.77734375" style="747" customWidth="1"/>
    <col min="10775" max="10775" width="8.88671875" style="747"/>
    <col min="10776" max="10776" width="13.109375" style="747" bestFit="1" customWidth="1"/>
    <col min="10777" max="10779" width="8.88671875" style="747"/>
    <col min="10780" max="10780" width="11.77734375" style="747" customWidth="1"/>
    <col min="10781" max="11015" width="8.88671875" style="747"/>
    <col min="11016" max="11016" width="4.109375" style="747" bestFit="1" customWidth="1"/>
    <col min="11017" max="11017" width="9.5546875" style="747" bestFit="1" customWidth="1"/>
    <col min="11018" max="11018" width="6.6640625" style="747" bestFit="1" customWidth="1"/>
    <col min="11019" max="11019" width="7" style="747" bestFit="1" customWidth="1"/>
    <col min="11020" max="11020" width="8.88671875" style="747"/>
    <col min="11021" max="11021" width="8.88671875" style="747" customWidth="1"/>
    <col min="11022" max="11029" width="6.33203125" style="747" customWidth="1"/>
    <col min="11030" max="11030" width="4.77734375" style="747" customWidth="1"/>
    <col min="11031" max="11031" width="8.88671875" style="747"/>
    <col min="11032" max="11032" width="13.109375" style="747" bestFit="1" customWidth="1"/>
    <col min="11033" max="11035" width="8.88671875" style="747"/>
    <col min="11036" max="11036" width="11.77734375" style="747" customWidth="1"/>
    <col min="11037" max="11271" width="8.88671875" style="747"/>
    <col min="11272" max="11272" width="4.109375" style="747" bestFit="1" customWidth="1"/>
    <col min="11273" max="11273" width="9.5546875" style="747" bestFit="1" customWidth="1"/>
    <col min="11274" max="11274" width="6.6640625" style="747" bestFit="1" customWidth="1"/>
    <col min="11275" max="11275" width="7" style="747" bestFit="1" customWidth="1"/>
    <col min="11276" max="11276" width="8.88671875" style="747"/>
    <col min="11277" max="11277" width="8.88671875" style="747" customWidth="1"/>
    <col min="11278" max="11285" width="6.33203125" style="747" customWidth="1"/>
    <col min="11286" max="11286" width="4.77734375" style="747" customWidth="1"/>
    <col min="11287" max="11287" width="8.88671875" style="747"/>
    <col min="11288" max="11288" width="13.109375" style="747" bestFit="1" customWidth="1"/>
    <col min="11289" max="11291" width="8.88671875" style="747"/>
    <col min="11292" max="11292" width="11.77734375" style="747" customWidth="1"/>
    <col min="11293" max="11527" width="8.88671875" style="747"/>
    <col min="11528" max="11528" width="4.109375" style="747" bestFit="1" customWidth="1"/>
    <col min="11529" max="11529" width="9.5546875" style="747" bestFit="1" customWidth="1"/>
    <col min="11530" max="11530" width="6.6640625" style="747" bestFit="1" customWidth="1"/>
    <col min="11531" max="11531" width="7" style="747" bestFit="1" customWidth="1"/>
    <col min="11532" max="11532" width="8.88671875" style="747"/>
    <col min="11533" max="11533" width="8.88671875" style="747" customWidth="1"/>
    <col min="11534" max="11541" width="6.33203125" style="747" customWidth="1"/>
    <col min="11542" max="11542" width="4.77734375" style="747" customWidth="1"/>
    <col min="11543" max="11543" width="8.88671875" style="747"/>
    <col min="11544" max="11544" width="13.109375" style="747" bestFit="1" customWidth="1"/>
    <col min="11545" max="11547" width="8.88671875" style="747"/>
    <col min="11548" max="11548" width="11.77734375" style="747" customWidth="1"/>
    <col min="11549" max="11783" width="8.88671875" style="747"/>
    <col min="11784" max="11784" width="4.109375" style="747" bestFit="1" customWidth="1"/>
    <col min="11785" max="11785" width="9.5546875" style="747" bestFit="1" customWidth="1"/>
    <col min="11786" max="11786" width="6.6640625" style="747" bestFit="1" customWidth="1"/>
    <col min="11787" max="11787" width="7" style="747" bestFit="1" customWidth="1"/>
    <col min="11788" max="11788" width="8.88671875" style="747"/>
    <col min="11789" max="11789" width="8.88671875" style="747" customWidth="1"/>
    <col min="11790" max="11797" width="6.33203125" style="747" customWidth="1"/>
    <col min="11798" max="11798" width="4.77734375" style="747" customWidth="1"/>
    <col min="11799" max="11799" width="8.88671875" style="747"/>
    <col min="11800" max="11800" width="13.109375" style="747" bestFit="1" customWidth="1"/>
    <col min="11801" max="11803" width="8.88671875" style="747"/>
    <col min="11804" max="11804" width="11.77734375" style="747" customWidth="1"/>
    <col min="11805" max="12039" width="8.88671875" style="747"/>
    <col min="12040" max="12040" width="4.109375" style="747" bestFit="1" customWidth="1"/>
    <col min="12041" max="12041" width="9.5546875" style="747" bestFit="1" customWidth="1"/>
    <col min="12042" max="12042" width="6.6640625" style="747" bestFit="1" customWidth="1"/>
    <col min="12043" max="12043" width="7" style="747" bestFit="1" customWidth="1"/>
    <col min="12044" max="12044" width="8.88671875" style="747"/>
    <col min="12045" max="12045" width="8.88671875" style="747" customWidth="1"/>
    <col min="12046" max="12053" width="6.33203125" style="747" customWidth="1"/>
    <col min="12054" max="12054" width="4.77734375" style="747" customWidth="1"/>
    <col min="12055" max="12055" width="8.88671875" style="747"/>
    <col min="12056" max="12056" width="13.109375" style="747" bestFit="1" customWidth="1"/>
    <col min="12057" max="12059" width="8.88671875" style="747"/>
    <col min="12060" max="12060" width="11.77734375" style="747" customWidth="1"/>
    <col min="12061" max="12295" width="8.88671875" style="747"/>
    <col min="12296" max="12296" width="4.109375" style="747" bestFit="1" customWidth="1"/>
    <col min="12297" max="12297" width="9.5546875" style="747" bestFit="1" customWidth="1"/>
    <col min="12298" max="12298" width="6.6640625" style="747" bestFit="1" customWidth="1"/>
    <col min="12299" max="12299" width="7" style="747" bestFit="1" customWidth="1"/>
    <col min="12300" max="12300" width="8.88671875" style="747"/>
    <col min="12301" max="12301" width="8.88671875" style="747" customWidth="1"/>
    <col min="12302" max="12309" width="6.33203125" style="747" customWidth="1"/>
    <col min="12310" max="12310" width="4.77734375" style="747" customWidth="1"/>
    <col min="12311" max="12311" width="8.88671875" style="747"/>
    <col min="12312" max="12312" width="13.109375" style="747" bestFit="1" customWidth="1"/>
    <col min="12313" max="12315" width="8.88671875" style="747"/>
    <col min="12316" max="12316" width="11.77734375" style="747" customWidth="1"/>
    <col min="12317" max="12551" width="8.88671875" style="747"/>
    <col min="12552" max="12552" width="4.109375" style="747" bestFit="1" customWidth="1"/>
    <col min="12553" max="12553" width="9.5546875" style="747" bestFit="1" customWidth="1"/>
    <col min="12554" max="12554" width="6.6640625" style="747" bestFit="1" customWidth="1"/>
    <col min="12555" max="12555" width="7" style="747" bestFit="1" customWidth="1"/>
    <col min="12556" max="12556" width="8.88671875" style="747"/>
    <col min="12557" max="12557" width="8.88671875" style="747" customWidth="1"/>
    <col min="12558" max="12565" width="6.33203125" style="747" customWidth="1"/>
    <col min="12566" max="12566" width="4.77734375" style="747" customWidth="1"/>
    <col min="12567" max="12567" width="8.88671875" style="747"/>
    <col min="12568" max="12568" width="13.109375" style="747" bestFit="1" customWidth="1"/>
    <col min="12569" max="12571" width="8.88671875" style="747"/>
    <col min="12572" max="12572" width="11.77734375" style="747" customWidth="1"/>
    <col min="12573" max="12807" width="8.88671875" style="747"/>
    <col min="12808" max="12808" width="4.109375" style="747" bestFit="1" customWidth="1"/>
    <col min="12809" max="12809" width="9.5546875" style="747" bestFit="1" customWidth="1"/>
    <col min="12810" max="12810" width="6.6640625" style="747" bestFit="1" customWidth="1"/>
    <col min="12811" max="12811" width="7" style="747" bestFit="1" customWidth="1"/>
    <col min="12812" max="12812" width="8.88671875" style="747"/>
    <col min="12813" max="12813" width="8.88671875" style="747" customWidth="1"/>
    <col min="12814" max="12821" width="6.33203125" style="747" customWidth="1"/>
    <col min="12822" max="12822" width="4.77734375" style="747" customWidth="1"/>
    <col min="12823" max="12823" width="8.88671875" style="747"/>
    <col min="12824" max="12824" width="13.109375" style="747" bestFit="1" customWidth="1"/>
    <col min="12825" max="12827" width="8.88671875" style="747"/>
    <col min="12828" max="12828" width="11.77734375" style="747" customWidth="1"/>
    <col min="12829" max="13063" width="8.88671875" style="747"/>
    <col min="13064" max="13064" width="4.109375" style="747" bestFit="1" customWidth="1"/>
    <col min="13065" max="13065" width="9.5546875" style="747" bestFit="1" customWidth="1"/>
    <col min="13066" max="13066" width="6.6640625" style="747" bestFit="1" customWidth="1"/>
    <col min="13067" max="13067" width="7" style="747" bestFit="1" customWidth="1"/>
    <col min="13068" max="13068" width="8.88671875" style="747"/>
    <col min="13069" max="13069" width="8.88671875" style="747" customWidth="1"/>
    <col min="13070" max="13077" width="6.33203125" style="747" customWidth="1"/>
    <col min="13078" max="13078" width="4.77734375" style="747" customWidth="1"/>
    <col min="13079" max="13079" width="8.88671875" style="747"/>
    <col min="13080" max="13080" width="13.109375" style="747" bestFit="1" customWidth="1"/>
    <col min="13081" max="13083" width="8.88671875" style="747"/>
    <col min="13084" max="13084" width="11.77734375" style="747" customWidth="1"/>
    <col min="13085" max="13319" width="8.88671875" style="747"/>
    <col min="13320" max="13320" width="4.109375" style="747" bestFit="1" customWidth="1"/>
    <col min="13321" max="13321" width="9.5546875" style="747" bestFit="1" customWidth="1"/>
    <col min="13322" max="13322" width="6.6640625" style="747" bestFit="1" customWidth="1"/>
    <col min="13323" max="13323" width="7" style="747" bestFit="1" customWidth="1"/>
    <col min="13324" max="13324" width="8.88671875" style="747"/>
    <col min="13325" max="13325" width="8.88671875" style="747" customWidth="1"/>
    <col min="13326" max="13333" width="6.33203125" style="747" customWidth="1"/>
    <col min="13334" max="13334" width="4.77734375" style="747" customWidth="1"/>
    <col min="13335" max="13335" width="8.88671875" style="747"/>
    <col min="13336" max="13336" width="13.109375" style="747" bestFit="1" customWidth="1"/>
    <col min="13337" max="13339" width="8.88671875" style="747"/>
    <col min="13340" max="13340" width="11.77734375" style="747" customWidth="1"/>
    <col min="13341" max="13575" width="8.88671875" style="747"/>
    <col min="13576" max="13576" width="4.109375" style="747" bestFit="1" customWidth="1"/>
    <col min="13577" max="13577" width="9.5546875" style="747" bestFit="1" customWidth="1"/>
    <col min="13578" max="13578" width="6.6640625" style="747" bestFit="1" customWidth="1"/>
    <col min="13579" max="13579" width="7" style="747" bestFit="1" customWidth="1"/>
    <col min="13580" max="13580" width="8.88671875" style="747"/>
    <col min="13581" max="13581" width="8.88671875" style="747" customWidth="1"/>
    <col min="13582" max="13589" width="6.33203125" style="747" customWidth="1"/>
    <col min="13590" max="13590" width="4.77734375" style="747" customWidth="1"/>
    <col min="13591" max="13591" width="8.88671875" style="747"/>
    <col min="13592" max="13592" width="13.109375" style="747" bestFit="1" customWidth="1"/>
    <col min="13593" max="13595" width="8.88671875" style="747"/>
    <col min="13596" max="13596" width="11.77734375" style="747" customWidth="1"/>
    <col min="13597" max="13831" width="8.88671875" style="747"/>
    <col min="13832" max="13832" width="4.109375" style="747" bestFit="1" customWidth="1"/>
    <col min="13833" max="13833" width="9.5546875" style="747" bestFit="1" customWidth="1"/>
    <col min="13834" max="13834" width="6.6640625" style="747" bestFit="1" customWidth="1"/>
    <col min="13835" max="13835" width="7" style="747" bestFit="1" customWidth="1"/>
    <col min="13836" max="13836" width="8.88671875" style="747"/>
    <col min="13837" max="13837" width="8.88671875" style="747" customWidth="1"/>
    <col min="13838" max="13845" width="6.33203125" style="747" customWidth="1"/>
    <col min="13846" max="13846" width="4.77734375" style="747" customWidth="1"/>
    <col min="13847" max="13847" width="8.88671875" style="747"/>
    <col min="13848" max="13848" width="13.109375" style="747" bestFit="1" customWidth="1"/>
    <col min="13849" max="13851" width="8.88671875" style="747"/>
    <col min="13852" max="13852" width="11.77734375" style="747" customWidth="1"/>
    <col min="13853" max="14087" width="8.88671875" style="747"/>
    <col min="14088" max="14088" width="4.109375" style="747" bestFit="1" customWidth="1"/>
    <col min="14089" max="14089" width="9.5546875" style="747" bestFit="1" customWidth="1"/>
    <col min="14090" max="14090" width="6.6640625" style="747" bestFit="1" customWidth="1"/>
    <col min="14091" max="14091" width="7" style="747" bestFit="1" customWidth="1"/>
    <col min="14092" max="14092" width="8.88671875" style="747"/>
    <col min="14093" max="14093" width="8.88671875" style="747" customWidth="1"/>
    <col min="14094" max="14101" width="6.33203125" style="747" customWidth="1"/>
    <col min="14102" max="14102" width="4.77734375" style="747" customWidth="1"/>
    <col min="14103" max="14103" width="8.88671875" style="747"/>
    <col min="14104" max="14104" width="13.109375" style="747" bestFit="1" customWidth="1"/>
    <col min="14105" max="14107" width="8.88671875" style="747"/>
    <col min="14108" max="14108" width="11.77734375" style="747" customWidth="1"/>
    <col min="14109" max="14343" width="8.88671875" style="747"/>
    <col min="14344" max="14344" width="4.109375" style="747" bestFit="1" customWidth="1"/>
    <col min="14345" max="14345" width="9.5546875" style="747" bestFit="1" customWidth="1"/>
    <col min="14346" max="14346" width="6.6640625" style="747" bestFit="1" customWidth="1"/>
    <col min="14347" max="14347" width="7" style="747" bestFit="1" customWidth="1"/>
    <col min="14348" max="14348" width="8.88671875" style="747"/>
    <col min="14349" max="14349" width="8.88671875" style="747" customWidth="1"/>
    <col min="14350" max="14357" width="6.33203125" style="747" customWidth="1"/>
    <col min="14358" max="14358" width="4.77734375" style="747" customWidth="1"/>
    <col min="14359" max="14359" width="8.88671875" style="747"/>
    <col min="14360" max="14360" width="13.109375" style="747" bestFit="1" customWidth="1"/>
    <col min="14361" max="14363" width="8.88671875" style="747"/>
    <col min="14364" max="14364" width="11.77734375" style="747" customWidth="1"/>
    <col min="14365" max="14599" width="8.88671875" style="747"/>
    <col min="14600" max="14600" width="4.109375" style="747" bestFit="1" customWidth="1"/>
    <col min="14601" max="14601" width="9.5546875" style="747" bestFit="1" customWidth="1"/>
    <col min="14602" max="14602" width="6.6640625" style="747" bestFit="1" customWidth="1"/>
    <col min="14603" max="14603" width="7" style="747" bestFit="1" customWidth="1"/>
    <col min="14604" max="14604" width="8.88671875" style="747"/>
    <col min="14605" max="14605" width="8.88671875" style="747" customWidth="1"/>
    <col min="14606" max="14613" width="6.33203125" style="747" customWidth="1"/>
    <col min="14614" max="14614" width="4.77734375" style="747" customWidth="1"/>
    <col min="14615" max="14615" width="8.88671875" style="747"/>
    <col min="14616" max="14616" width="13.109375" style="747" bestFit="1" customWidth="1"/>
    <col min="14617" max="14619" width="8.88671875" style="747"/>
    <col min="14620" max="14620" width="11.77734375" style="747" customWidth="1"/>
    <col min="14621" max="14855" width="8.88671875" style="747"/>
    <col min="14856" max="14856" width="4.109375" style="747" bestFit="1" customWidth="1"/>
    <col min="14857" max="14857" width="9.5546875" style="747" bestFit="1" customWidth="1"/>
    <col min="14858" max="14858" width="6.6640625" style="747" bestFit="1" customWidth="1"/>
    <col min="14859" max="14859" width="7" style="747" bestFit="1" customWidth="1"/>
    <col min="14860" max="14860" width="8.88671875" style="747"/>
    <col min="14861" max="14861" width="8.88671875" style="747" customWidth="1"/>
    <col min="14862" max="14869" width="6.33203125" style="747" customWidth="1"/>
    <col min="14870" max="14870" width="4.77734375" style="747" customWidth="1"/>
    <col min="14871" max="14871" width="8.88671875" style="747"/>
    <col min="14872" max="14872" width="13.109375" style="747" bestFit="1" customWidth="1"/>
    <col min="14873" max="14875" width="8.88671875" style="747"/>
    <col min="14876" max="14876" width="11.77734375" style="747" customWidth="1"/>
    <col min="14877" max="15111" width="8.88671875" style="747"/>
    <col min="15112" max="15112" width="4.109375" style="747" bestFit="1" customWidth="1"/>
    <col min="15113" max="15113" width="9.5546875" style="747" bestFit="1" customWidth="1"/>
    <col min="15114" max="15114" width="6.6640625" style="747" bestFit="1" customWidth="1"/>
    <col min="15115" max="15115" width="7" style="747" bestFit="1" customWidth="1"/>
    <col min="15116" max="15116" width="8.88671875" style="747"/>
    <col min="15117" max="15117" width="8.88671875" style="747" customWidth="1"/>
    <col min="15118" max="15125" width="6.33203125" style="747" customWidth="1"/>
    <col min="15126" max="15126" width="4.77734375" style="747" customWidth="1"/>
    <col min="15127" max="15127" width="8.88671875" style="747"/>
    <col min="15128" max="15128" width="13.109375" style="747" bestFit="1" customWidth="1"/>
    <col min="15129" max="15131" width="8.88671875" style="747"/>
    <col min="15132" max="15132" width="11.77734375" style="747" customWidth="1"/>
    <col min="15133" max="15367" width="8.88671875" style="747"/>
    <col min="15368" max="15368" width="4.109375" style="747" bestFit="1" customWidth="1"/>
    <col min="15369" max="15369" width="9.5546875" style="747" bestFit="1" customWidth="1"/>
    <col min="15370" max="15370" width="6.6640625" style="747" bestFit="1" customWidth="1"/>
    <col min="15371" max="15371" width="7" style="747" bestFit="1" customWidth="1"/>
    <col min="15372" max="15372" width="8.88671875" style="747"/>
    <col min="15373" max="15373" width="8.88671875" style="747" customWidth="1"/>
    <col min="15374" max="15381" width="6.33203125" style="747" customWidth="1"/>
    <col min="15382" max="15382" width="4.77734375" style="747" customWidth="1"/>
    <col min="15383" max="15383" width="8.88671875" style="747"/>
    <col min="15384" max="15384" width="13.109375" style="747" bestFit="1" customWidth="1"/>
    <col min="15385" max="15387" width="8.88671875" style="747"/>
    <col min="15388" max="15388" width="11.77734375" style="747" customWidth="1"/>
    <col min="15389" max="15623" width="8.88671875" style="747"/>
    <col min="15624" max="15624" width="4.109375" style="747" bestFit="1" customWidth="1"/>
    <col min="15625" max="15625" width="9.5546875" style="747" bestFit="1" customWidth="1"/>
    <col min="15626" max="15626" width="6.6640625" style="747" bestFit="1" customWidth="1"/>
    <col min="15627" max="15627" width="7" style="747" bestFit="1" customWidth="1"/>
    <col min="15628" max="15628" width="8.88671875" style="747"/>
    <col min="15629" max="15629" width="8.88671875" style="747" customWidth="1"/>
    <col min="15630" max="15637" width="6.33203125" style="747" customWidth="1"/>
    <col min="15638" max="15638" width="4.77734375" style="747" customWidth="1"/>
    <col min="15639" max="15639" width="8.88671875" style="747"/>
    <col min="15640" max="15640" width="13.109375" style="747" bestFit="1" customWidth="1"/>
    <col min="15641" max="15643" width="8.88671875" style="747"/>
    <col min="15644" max="15644" width="11.77734375" style="747" customWidth="1"/>
    <col min="15645" max="15879" width="8.88671875" style="747"/>
    <col min="15880" max="15880" width="4.109375" style="747" bestFit="1" customWidth="1"/>
    <col min="15881" max="15881" width="9.5546875" style="747" bestFit="1" customWidth="1"/>
    <col min="15882" max="15882" width="6.6640625" style="747" bestFit="1" customWidth="1"/>
    <col min="15883" max="15883" width="7" style="747" bestFit="1" customWidth="1"/>
    <col min="15884" max="15884" width="8.88671875" style="747"/>
    <col min="15885" max="15885" width="8.88671875" style="747" customWidth="1"/>
    <col min="15886" max="15893" width="6.33203125" style="747" customWidth="1"/>
    <col min="15894" max="15894" width="4.77734375" style="747" customWidth="1"/>
    <col min="15895" max="15895" width="8.88671875" style="747"/>
    <col min="15896" max="15896" width="13.109375" style="747" bestFit="1" customWidth="1"/>
    <col min="15897" max="15899" width="8.88671875" style="747"/>
    <col min="15900" max="15900" width="11.77734375" style="747" customWidth="1"/>
    <col min="15901" max="16135" width="8.88671875" style="747"/>
    <col min="16136" max="16136" width="4.109375" style="747" bestFit="1" customWidth="1"/>
    <col min="16137" max="16137" width="9.5546875" style="747" bestFit="1" customWidth="1"/>
    <col min="16138" max="16138" width="6.6640625" style="747" bestFit="1" customWidth="1"/>
    <col min="16139" max="16139" width="7" style="747" bestFit="1" customWidth="1"/>
    <col min="16140" max="16140" width="8.88671875" style="747"/>
    <col min="16141" max="16141" width="8.88671875" style="747" customWidth="1"/>
    <col min="16142" max="16149" width="6.33203125" style="747" customWidth="1"/>
    <col min="16150" max="16150" width="4.77734375" style="747" customWidth="1"/>
    <col min="16151" max="16151" width="8.88671875" style="747"/>
    <col min="16152" max="16152" width="13.109375" style="747" bestFit="1" customWidth="1"/>
    <col min="16153" max="16155" width="8.88671875" style="747"/>
    <col min="16156" max="16156" width="11.77734375" style="747" customWidth="1"/>
    <col min="16157" max="16384" width="8.88671875" style="747"/>
  </cols>
  <sheetData>
    <row r="1" spans="1:31" ht="20.100000000000001" customHeight="1">
      <c r="A1" s="1409" t="s">
        <v>353</v>
      </c>
      <c r="B1" s="1409"/>
      <c r="C1" s="1409"/>
      <c r="D1" s="1409"/>
      <c r="E1" s="1409"/>
      <c r="F1" s="1409"/>
      <c r="G1" s="1409"/>
      <c r="H1" s="1409"/>
      <c r="I1" s="1409"/>
      <c r="J1" s="1409"/>
      <c r="K1" s="1409"/>
      <c r="L1" s="1409"/>
      <c r="M1" s="1409"/>
      <c r="N1" s="1409"/>
      <c r="O1" s="1409"/>
      <c r="P1" s="1409"/>
      <c r="Q1" s="1409"/>
      <c r="R1" s="1409"/>
      <c r="S1" s="1409"/>
      <c r="T1" s="1409"/>
      <c r="U1" s="1409"/>
      <c r="V1" s="1409"/>
      <c r="W1" s="1409"/>
    </row>
    <row r="2" spans="1:31" s="748" customFormat="1" ht="20.100000000000001" customHeight="1">
      <c r="A2" s="1410" t="s">
        <v>342</v>
      </c>
      <c r="B2" s="1413" t="s">
        <v>31</v>
      </c>
      <c r="C2" s="1413" t="s">
        <v>343</v>
      </c>
      <c r="D2" s="1416" t="s">
        <v>344</v>
      </c>
      <c r="E2" s="1416" t="s">
        <v>345</v>
      </c>
      <c r="F2" s="1408" t="s">
        <v>354</v>
      </c>
      <c r="G2" s="1408"/>
      <c r="H2" s="1408"/>
      <c r="I2" s="1408" t="s">
        <v>359</v>
      </c>
      <c r="J2" s="1408"/>
      <c r="K2" s="1408"/>
      <c r="L2" s="1408"/>
      <c r="M2" s="1408" t="s">
        <v>360</v>
      </c>
      <c r="N2" s="1408"/>
      <c r="O2" s="1408"/>
      <c r="P2" s="1408"/>
      <c r="Q2" s="1408"/>
      <c r="R2" s="1408" t="s">
        <v>436</v>
      </c>
      <c r="S2" s="1408" t="s">
        <v>1003</v>
      </c>
      <c r="T2" s="1408" t="s">
        <v>1002</v>
      </c>
      <c r="U2" s="1408" t="s">
        <v>822</v>
      </c>
      <c r="V2" s="1408" t="s">
        <v>1021</v>
      </c>
      <c r="W2" s="1401" t="s">
        <v>361</v>
      </c>
      <c r="Y2" s="749" t="s">
        <v>435</v>
      </c>
    </row>
    <row r="3" spans="1:31" s="748" customFormat="1" ht="20.100000000000001" customHeight="1">
      <c r="A3" s="1411"/>
      <c r="B3" s="1414"/>
      <c r="C3" s="1414"/>
      <c r="D3" s="1417"/>
      <c r="E3" s="1417"/>
      <c r="F3" s="792" t="s">
        <v>817</v>
      </c>
      <c r="G3" s="792" t="s">
        <v>1344</v>
      </c>
      <c r="H3" s="792" t="s">
        <v>1345</v>
      </c>
      <c r="I3" s="792" t="s">
        <v>1347</v>
      </c>
      <c r="J3" s="792" t="s">
        <v>1348</v>
      </c>
      <c r="K3" s="792" t="s">
        <v>1350</v>
      </c>
      <c r="L3" s="792" t="s">
        <v>1352</v>
      </c>
      <c r="M3" s="792" t="s">
        <v>1353</v>
      </c>
      <c r="N3" s="792" t="s">
        <v>1354</v>
      </c>
      <c r="O3" s="792" t="s">
        <v>1355</v>
      </c>
      <c r="P3" s="792" t="s">
        <v>1356</v>
      </c>
      <c r="Q3" s="792" t="s">
        <v>1357</v>
      </c>
      <c r="R3" s="1419"/>
      <c r="S3" s="1419"/>
      <c r="T3" s="1419"/>
      <c r="U3" s="1419"/>
      <c r="V3" s="1419"/>
      <c r="W3" s="1402"/>
      <c r="Y3" s="749"/>
    </row>
    <row r="4" spans="1:31" s="748" customFormat="1" ht="20.100000000000001" customHeight="1">
      <c r="A4" s="1411"/>
      <c r="B4" s="1414"/>
      <c r="C4" s="1414"/>
      <c r="D4" s="1417"/>
      <c r="E4" s="1417"/>
      <c r="F4" s="793">
        <v>0.8</v>
      </c>
      <c r="G4" s="793">
        <v>1</v>
      </c>
      <c r="H4" s="793">
        <v>1.2</v>
      </c>
      <c r="I4" s="794">
        <v>0.25</v>
      </c>
      <c r="J4" s="794">
        <v>0.5</v>
      </c>
      <c r="K4" s="794">
        <v>0.75</v>
      </c>
      <c r="L4" s="794">
        <v>1</v>
      </c>
      <c r="M4" s="794">
        <v>0.3</v>
      </c>
      <c r="N4" s="794">
        <v>0.4</v>
      </c>
      <c r="O4" s="794">
        <v>0.5</v>
      </c>
      <c r="P4" s="794">
        <v>0.6</v>
      </c>
      <c r="Q4" s="794">
        <v>0.7</v>
      </c>
      <c r="R4" s="792" t="s">
        <v>349</v>
      </c>
      <c r="S4" s="1414"/>
      <c r="T4" s="1414"/>
      <c r="U4" s="1414"/>
      <c r="V4" s="1414"/>
      <c r="W4" s="1402"/>
      <c r="Y4" s="749">
        <v>0.11</v>
      </c>
      <c r="AB4" s="748" t="s">
        <v>954</v>
      </c>
    </row>
    <row r="5" spans="1:31" s="750" customFormat="1" ht="20.100000000000001" customHeight="1">
      <c r="A5" s="1412"/>
      <c r="B5" s="1415"/>
      <c r="C5" s="1415"/>
      <c r="D5" s="1418"/>
      <c r="E5" s="1418"/>
      <c r="F5" s="795" t="s">
        <v>363</v>
      </c>
      <c r="G5" s="795" t="s">
        <v>5</v>
      </c>
      <c r="H5" s="795" t="s">
        <v>363</v>
      </c>
      <c r="I5" s="795" t="s">
        <v>363</v>
      </c>
      <c r="J5" s="795" t="s">
        <v>363</v>
      </c>
      <c r="K5" s="795" t="s">
        <v>363</v>
      </c>
      <c r="L5" s="795" t="s">
        <v>363</v>
      </c>
      <c r="M5" s="795" t="s">
        <v>363</v>
      </c>
      <c r="N5" s="795" t="s">
        <v>5</v>
      </c>
      <c r="O5" s="795" t="s">
        <v>5</v>
      </c>
      <c r="P5" s="795" t="s">
        <v>5</v>
      </c>
      <c r="Q5" s="795" t="s">
        <v>5</v>
      </c>
      <c r="R5" s="795" t="s">
        <v>364</v>
      </c>
      <c r="S5" s="1415"/>
      <c r="T5" s="1415"/>
      <c r="U5" s="1415"/>
      <c r="V5" s="1415"/>
      <c r="W5" s="1403"/>
      <c r="AB5" s="750" t="s">
        <v>952</v>
      </c>
      <c r="AC5" s="750" t="s">
        <v>953</v>
      </c>
    </row>
    <row r="6" spans="1:31" ht="20.100000000000001" customHeight="1">
      <c r="A6" s="1112">
        <v>1</v>
      </c>
      <c r="B6" s="1113" t="str">
        <f>AB6</f>
        <v>소(국)2-어천4</v>
      </c>
      <c r="C6" s="1113" t="str">
        <f>AC6</f>
        <v>M2-003</v>
      </c>
      <c r="D6" s="1113">
        <f>VLOOKUP(C6,'맨홀 평균 높이'!$J$4:$L$588,3,0)</f>
        <v>5.4</v>
      </c>
      <c r="E6" s="1114">
        <f>D6-$Y$4</f>
        <v>5.29</v>
      </c>
      <c r="F6" s="1115"/>
      <c r="G6" s="1115"/>
      <c r="H6" s="1115"/>
      <c r="I6" s="1115"/>
      <c r="J6" s="1115"/>
      <c r="K6" s="1115"/>
      <c r="L6" s="1115"/>
      <c r="M6" s="1115"/>
      <c r="N6" s="1115"/>
      <c r="O6" s="1115"/>
      <c r="P6" s="1115"/>
      <c r="Q6" s="1115"/>
      <c r="R6" s="1116">
        <f>E6-X6</f>
        <v>8.9999999999999858E-2</v>
      </c>
      <c r="S6" s="1117">
        <f>SUM(F6:L6)*4</f>
        <v>0</v>
      </c>
      <c r="T6" s="1117">
        <f>SUM(F6:L6)*2</f>
        <v>0</v>
      </c>
      <c r="U6" s="1117">
        <f>ROUND(((E6-R6)-0.6)/0.3,0)</f>
        <v>15</v>
      </c>
      <c r="V6" s="1117">
        <f>IF(X6&gt;=4,ROUND(((E6-R6)-0.6)/4,0),"0")</f>
        <v>1</v>
      </c>
      <c r="W6" s="1117"/>
      <c r="X6" s="1118">
        <v>5.2</v>
      </c>
      <c r="Y6" s="1119" t="str">
        <f>IF(ISERROR(VLOOKUP(C6,'부관맨홀 산출근거'!$K$2:$L$32,2,FALSE)),"","부관")</f>
        <v>부관</v>
      </c>
      <c r="Z6" s="753"/>
      <c r="AA6" s="753"/>
      <c r="AB6" s="757" t="s">
        <v>1230</v>
      </c>
      <c r="AC6" s="757" t="s">
        <v>1400</v>
      </c>
      <c r="AD6" s="753"/>
      <c r="AE6" s="753"/>
    </row>
    <row r="7" spans="1:31" ht="20.100000000000001" customHeight="1">
      <c r="A7" s="1112">
        <f>A6+1</f>
        <v>2</v>
      </c>
      <c r="B7" s="1113" t="str">
        <f t="shared" ref="B7:B50" si="0">AB7</f>
        <v>A004~A008(2)</v>
      </c>
      <c r="C7" s="1113" t="str">
        <f t="shared" ref="C7:C50" si="1">AC7</f>
        <v>M2-008(2)</v>
      </c>
      <c r="D7" s="1113">
        <f>VLOOKUP(C7,'맨홀 평균 높이'!$J$4:$L$588,3,0)</f>
        <v>7.03</v>
      </c>
      <c r="E7" s="1114">
        <f t="shared" ref="E7:E50" si="2">D7-$Y$4</f>
        <v>6.92</v>
      </c>
      <c r="F7" s="1115"/>
      <c r="G7" s="1115"/>
      <c r="H7" s="1115"/>
      <c r="I7" s="1115"/>
      <c r="J7" s="1115"/>
      <c r="K7" s="1115"/>
      <c r="L7" s="1115"/>
      <c r="M7" s="1115"/>
      <c r="N7" s="1115"/>
      <c r="O7" s="1115"/>
      <c r="P7" s="1115"/>
      <c r="Q7" s="1115"/>
      <c r="R7" s="1116">
        <f t="shared" ref="R7:R50" si="3">E7-X7</f>
        <v>1.9999999999999574E-2</v>
      </c>
      <c r="S7" s="1117">
        <f t="shared" ref="S7:S50" si="4">SUM(F7:L7)*4</f>
        <v>0</v>
      </c>
      <c r="T7" s="1117">
        <f t="shared" ref="T7:T50" si="5">SUM(F7:L7)*2</f>
        <v>0</v>
      </c>
      <c r="U7" s="1117">
        <f t="shared" ref="U7:U50" si="6">ROUND(((E7-R7)-0.6)/0.3,0)</f>
        <v>21</v>
      </c>
      <c r="V7" s="1117">
        <f t="shared" ref="V7:V50" si="7">IF(X7&gt;=4,ROUND(((E7-R7)-0.6)/4,0),"0")</f>
        <v>2</v>
      </c>
      <c r="W7" s="1117"/>
      <c r="X7" s="1118">
        <v>6.9</v>
      </c>
      <c r="Y7" s="752"/>
      <c r="Z7" s="753"/>
      <c r="AA7" s="753"/>
      <c r="AB7" s="757" t="s">
        <v>1334</v>
      </c>
      <c r="AC7" s="757" t="s">
        <v>1383</v>
      </c>
      <c r="AD7" s="753"/>
      <c r="AE7" s="753"/>
    </row>
    <row r="8" spans="1:31" ht="20.100000000000001" customHeight="1">
      <c r="A8" s="1112">
        <f t="shared" ref="A8:A50" si="8">A7+1</f>
        <v>3</v>
      </c>
      <c r="B8" s="1113" t="str">
        <f t="shared" si="0"/>
        <v>중(집)2-어천1</v>
      </c>
      <c r="C8" s="1113" t="str">
        <f t="shared" si="1"/>
        <v>M2-009</v>
      </c>
      <c r="D8" s="1113">
        <f>VLOOKUP(C8,'맨홀 평균 높이'!$J$4:$L$588,3,0)</f>
        <v>7.14</v>
      </c>
      <c r="E8" s="1114">
        <f t="shared" si="2"/>
        <v>7.0299999999999994</v>
      </c>
      <c r="F8" s="1115"/>
      <c r="G8" s="1115"/>
      <c r="H8" s="1115"/>
      <c r="I8" s="1115"/>
      <c r="J8" s="1115"/>
      <c r="K8" s="1115"/>
      <c r="L8" s="1115"/>
      <c r="M8" s="1115"/>
      <c r="N8" s="1115"/>
      <c r="O8" s="1115"/>
      <c r="P8" s="1115"/>
      <c r="Q8" s="1115"/>
      <c r="R8" s="1116">
        <f t="shared" si="3"/>
        <v>7.9999999999999183E-2</v>
      </c>
      <c r="S8" s="1117">
        <f t="shared" si="4"/>
        <v>0</v>
      </c>
      <c r="T8" s="1117">
        <f t="shared" si="5"/>
        <v>0</v>
      </c>
      <c r="U8" s="1117">
        <f t="shared" si="6"/>
        <v>21</v>
      </c>
      <c r="V8" s="1117">
        <f t="shared" si="7"/>
        <v>2</v>
      </c>
      <c r="W8" s="1117"/>
      <c r="X8" s="1118">
        <v>6.95</v>
      </c>
      <c r="Y8" s="752"/>
      <c r="Z8" s="753"/>
      <c r="AA8" s="753"/>
      <c r="AB8" s="757" t="s">
        <v>1234</v>
      </c>
      <c r="AC8" s="757" t="s">
        <v>1384</v>
      </c>
      <c r="AD8" s="753"/>
      <c r="AE8" s="753"/>
    </row>
    <row r="9" spans="1:31" ht="20.100000000000001" customHeight="1">
      <c r="A9" s="1112">
        <f t="shared" si="8"/>
        <v>4</v>
      </c>
      <c r="B9" s="1113" t="str">
        <f t="shared" si="0"/>
        <v>중(집)2-어천1</v>
      </c>
      <c r="C9" s="1113" t="str">
        <f t="shared" si="1"/>
        <v>M2-016</v>
      </c>
      <c r="D9" s="1113">
        <f>VLOOKUP(C9,'맨홀 평균 높이'!$J$4:$L$588,3,0)</f>
        <v>6.34</v>
      </c>
      <c r="E9" s="1114">
        <f t="shared" si="2"/>
        <v>6.2299999999999995</v>
      </c>
      <c r="F9" s="1115"/>
      <c r="G9" s="1115"/>
      <c r="H9" s="1115"/>
      <c r="I9" s="1115"/>
      <c r="J9" s="1115"/>
      <c r="K9" s="1115"/>
      <c r="L9" s="1115"/>
      <c r="M9" s="1115"/>
      <c r="N9" s="1115"/>
      <c r="O9" s="1115"/>
      <c r="P9" s="1115"/>
      <c r="Q9" s="1115"/>
      <c r="R9" s="1116">
        <f t="shared" si="3"/>
        <v>7.9999999999999183E-2</v>
      </c>
      <c r="S9" s="1117">
        <f t="shared" si="4"/>
        <v>0</v>
      </c>
      <c r="T9" s="1117">
        <f t="shared" si="5"/>
        <v>0</v>
      </c>
      <c r="U9" s="1117">
        <f t="shared" si="6"/>
        <v>19</v>
      </c>
      <c r="V9" s="1117">
        <f t="shared" si="7"/>
        <v>1</v>
      </c>
      <c r="W9" s="1117"/>
      <c r="X9" s="1118">
        <v>6.15</v>
      </c>
      <c r="Y9" s="752"/>
      <c r="Z9" s="753"/>
      <c r="AA9" s="753"/>
      <c r="AB9" s="757" t="s">
        <v>1234</v>
      </c>
      <c r="AC9" s="757" t="s">
        <v>1494</v>
      </c>
      <c r="AD9" s="753"/>
      <c r="AE9" s="753"/>
    </row>
    <row r="10" spans="1:31" ht="20.100000000000001" customHeight="1">
      <c r="A10" s="1112">
        <f t="shared" si="8"/>
        <v>5</v>
      </c>
      <c r="B10" s="1113" t="str">
        <f>AB10</f>
        <v>중(집)2-어천1</v>
      </c>
      <c r="C10" s="1113" t="str">
        <f>AC10</f>
        <v>M2-023</v>
      </c>
      <c r="D10" s="1113">
        <f>VLOOKUP(C10,'맨홀 평균 높이'!$J$4:$L$588,3,0)</f>
        <v>6.53</v>
      </c>
      <c r="E10" s="1114">
        <f t="shared" si="2"/>
        <v>6.42</v>
      </c>
      <c r="F10" s="1115"/>
      <c r="G10" s="1115"/>
      <c r="H10" s="1115"/>
      <c r="I10" s="1115"/>
      <c r="J10" s="1115"/>
      <c r="K10" s="1115"/>
      <c r="L10" s="1115"/>
      <c r="M10" s="1115"/>
      <c r="N10" s="1115"/>
      <c r="O10" s="1115"/>
      <c r="P10" s="1115"/>
      <c r="Q10" s="1115"/>
      <c r="R10" s="1116">
        <f t="shared" ref="R10:R14" si="9">E10-X10</f>
        <v>1.9999999999999574E-2</v>
      </c>
      <c r="S10" s="1117">
        <f t="shared" ref="S10:S14" si="10">SUM(F10:L10)*4</f>
        <v>0</v>
      </c>
      <c r="T10" s="1117">
        <f t="shared" ref="T10:T14" si="11">SUM(F10:L10)*2</f>
        <v>0</v>
      </c>
      <c r="U10" s="1117">
        <f t="shared" ref="U10:U14" si="12">ROUND(((E10-R10)-0.6)/0.3,0)</f>
        <v>19</v>
      </c>
      <c r="V10" s="1117">
        <f t="shared" ref="V10:V14" si="13">IF(X10&gt;=4,ROUND(((E10-R10)-0.6)/4,0),"0")</f>
        <v>1</v>
      </c>
      <c r="W10" s="1117"/>
      <c r="X10" s="1118">
        <v>6.4</v>
      </c>
      <c r="Y10" s="752"/>
      <c r="Z10" s="753"/>
      <c r="AA10" s="753"/>
      <c r="AB10" s="1215" t="s">
        <v>1234</v>
      </c>
      <c r="AC10" s="1215" t="s">
        <v>1539</v>
      </c>
      <c r="AD10" s="753"/>
      <c r="AE10" s="753"/>
    </row>
    <row r="11" spans="1:31" ht="20.100000000000001" customHeight="1">
      <c r="A11" s="1112">
        <f t="shared" si="8"/>
        <v>6</v>
      </c>
      <c r="B11" s="1113" t="str">
        <f t="shared" ref="B11:B14" si="14">AB11</f>
        <v>중(집)2-어천1</v>
      </c>
      <c r="C11" s="1113" t="str">
        <f t="shared" ref="C11:C14" si="15">AC11</f>
        <v>M2-030</v>
      </c>
      <c r="D11" s="1113">
        <f>VLOOKUP(C11,'맨홀 평균 높이'!$J$4:$L$588,3,0)</f>
        <v>5.37</v>
      </c>
      <c r="E11" s="1114">
        <f t="shared" si="2"/>
        <v>5.26</v>
      </c>
      <c r="F11" s="1115"/>
      <c r="G11" s="1115"/>
      <c r="H11" s="1115"/>
      <c r="I11" s="1115"/>
      <c r="J11" s="1115"/>
      <c r="K11" s="1115"/>
      <c r="L11" s="1115"/>
      <c r="M11" s="1115"/>
      <c r="N11" s="1115"/>
      <c r="O11" s="1115"/>
      <c r="P11" s="1115"/>
      <c r="Q11" s="1115"/>
      <c r="R11" s="1116">
        <f t="shared" si="9"/>
        <v>5.9999999999999609E-2</v>
      </c>
      <c r="S11" s="1117">
        <f t="shared" si="10"/>
        <v>0</v>
      </c>
      <c r="T11" s="1117">
        <f t="shared" si="11"/>
        <v>0</v>
      </c>
      <c r="U11" s="1117">
        <f t="shared" si="12"/>
        <v>15</v>
      </c>
      <c r="V11" s="1117">
        <f t="shared" si="13"/>
        <v>1</v>
      </c>
      <c r="W11" s="1117"/>
      <c r="X11" s="1118">
        <v>5.2</v>
      </c>
      <c r="Y11" s="752"/>
      <c r="Z11" s="753"/>
      <c r="AA11" s="753"/>
      <c r="AB11" s="1215" t="s">
        <v>1234</v>
      </c>
      <c r="AC11" s="1215" t="s">
        <v>1544</v>
      </c>
      <c r="AD11" s="753"/>
      <c r="AE11" s="753"/>
    </row>
    <row r="12" spans="1:31" ht="20.100000000000001" customHeight="1">
      <c r="A12" s="1112">
        <f t="shared" si="8"/>
        <v>7</v>
      </c>
      <c r="B12" s="1113" t="str">
        <f t="shared" si="14"/>
        <v>중(집)2-어천1</v>
      </c>
      <c r="C12" s="1113" t="str">
        <f t="shared" si="15"/>
        <v>M2-031</v>
      </c>
      <c r="D12" s="1113">
        <f>VLOOKUP(C12,'맨홀 평균 높이'!$J$4:$L$588,3,0)</f>
        <v>5.29</v>
      </c>
      <c r="E12" s="1114">
        <f t="shared" si="2"/>
        <v>5.18</v>
      </c>
      <c r="F12" s="1115"/>
      <c r="G12" s="1115"/>
      <c r="H12" s="1115"/>
      <c r="I12" s="1115"/>
      <c r="J12" s="1115"/>
      <c r="K12" s="1115"/>
      <c r="L12" s="1115"/>
      <c r="M12" s="1115"/>
      <c r="N12" s="1115"/>
      <c r="O12" s="1115"/>
      <c r="P12" s="1115"/>
      <c r="Q12" s="1115"/>
      <c r="R12" s="1116">
        <f t="shared" si="9"/>
        <v>2.9999999999999361E-2</v>
      </c>
      <c r="S12" s="1117">
        <f t="shared" si="10"/>
        <v>0</v>
      </c>
      <c r="T12" s="1117">
        <f t="shared" si="11"/>
        <v>0</v>
      </c>
      <c r="U12" s="1117">
        <f t="shared" si="12"/>
        <v>15</v>
      </c>
      <c r="V12" s="1117">
        <f t="shared" si="13"/>
        <v>1</v>
      </c>
      <c r="W12" s="1117"/>
      <c r="X12" s="1118">
        <v>5.15</v>
      </c>
      <c r="Y12" s="752"/>
      <c r="Z12" s="753"/>
      <c r="AA12" s="753"/>
      <c r="AB12" s="1215" t="s">
        <v>1234</v>
      </c>
      <c r="AC12" s="1215" t="s">
        <v>1545</v>
      </c>
      <c r="AD12" s="753"/>
      <c r="AE12" s="753"/>
    </row>
    <row r="13" spans="1:31" ht="20.100000000000001" customHeight="1">
      <c r="A13" s="1112">
        <f t="shared" si="8"/>
        <v>8</v>
      </c>
      <c r="B13" s="1113" t="str">
        <f t="shared" si="14"/>
        <v>중(집)2-어천1</v>
      </c>
      <c r="C13" s="1113" t="str">
        <f t="shared" si="15"/>
        <v>M2-034</v>
      </c>
      <c r="D13" s="1113">
        <f>VLOOKUP(C13,'맨홀 평균 높이'!$J$4:$L$588,3,0)</f>
        <v>4.2699999999999996</v>
      </c>
      <c r="E13" s="1114">
        <f t="shared" si="2"/>
        <v>4.1599999999999993</v>
      </c>
      <c r="F13" s="1115"/>
      <c r="G13" s="1115"/>
      <c r="H13" s="1115"/>
      <c r="I13" s="1115"/>
      <c r="J13" s="1115"/>
      <c r="K13" s="1115"/>
      <c r="L13" s="1115"/>
      <c r="M13" s="1115"/>
      <c r="N13" s="1115"/>
      <c r="O13" s="1115"/>
      <c r="P13" s="1115"/>
      <c r="Q13" s="1115"/>
      <c r="R13" s="1116">
        <f t="shared" si="9"/>
        <v>9.9999999999988987E-3</v>
      </c>
      <c r="S13" s="1117">
        <f t="shared" si="10"/>
        <v>0</v>
      </c>
      <c r="T13" s="1117">
        <f t="shared" si="11"/>
        <v>0</v>
      </c>
      <c r="U13" s="1117">
        <f t="shared" si="12"/>
        <v>12</v>
      </c>
      <c r="V13" s="1117">
        <f t="shared" si="13"/>
        <v>1</v>
      </c>
      <c r="W13" s="1117"/>
      <c r="X13" s="1118">
        <v>4.1500000000000004</v>
      </c>
      <c r="Y13" s="752"/>
      <c r="Z13" s="753"/>
      <c r="AA13" s="753"/>
      <c r="AB13" s="1215" t="s">
        <v>1234</v>
      </c>
      <c r="AC13" s="1215" t="s">
        <v>1540</v>
      </c>
      <c r="AD13" s="753"/>
      <c r="AE13" s="753"/>
    </row>
    <row r="14" spans="1:31" ht="20.100000000000001" customHeight="1">
      <c r="A14" s="1112">
        <f t="shared" si="8"/>
        <v>9</v>
      </c>
      <c r="B14" s="1113" t="str">
        <f t="shared" si="14"/>
        <v>중(집)2-어천1</v>
      </c>
      <c r="C14" s="1113" t="str">
        <f t="shared" si="15"/>
        <v>M2-038</v>
      </c>
      <c r="D14" s="1113">
        <f>VLOOKUP(C14,'맨홀 평균 높이'!$J$4:$L$588,3,0)</f>
        <v>5.72</v>
      </c>
      <c r="E14" s="1114">
        <f t="shared" si="2"/>
        <v>5.6099999999999994</v>
      </c>
      <c r="F14" s="1115"/>
      <c r="G14" s="1115"/>
      <c r="H14" s="1115"/>
      <c r="I14" s="1115"/>
      <c r="J14" s="1115"/>
      <c r="K14" s="1115"/>
      <c r="L14" s="1115"/>
      <c r="M14" s="1115"/>
      <c r="N14" s="1115"/>
      <c r="O14" s="1115"/>
      <c r="P14" s="1115"/>
      <c r="Q14" s="1115"/>
      <c r="R14" s="1116">
        <f t="shared" si="9"/>
        <v>5.9999999999999609E-2</v>
      </c>
      <c r="S14" s="1117">
        <f t="shared" si="10"/>
        <v>0</v>
      </c>
      <c r="T14" s="1117">
        <f t="shared" si="11"/>
        <v>0</v>
      </c>
      <c r="U14" s="1117">
        <f t="shared" si="12"/>
        <v>17</v>
      </c>
      <c r="V14" s="1117">
        <f t="shared" si="13"/>
        <v>1</v>
      </c>
      <c r="W14" s="1117"/>
      <c r="X14" s="1118">
        <v>5.55</v>
      </c>
      <c r="Y14" s="752"/>
      <c r="Z14" s="753"/>
      <c r="AA14" s="753"/>
      <c r="AB14" s="1215" t="s">
        <v>1234</v>
      </c>
      <c r="AC14" s="1215" t="s">
        <v>1546</v>
      </c>
      <c r="AD14" s="753"/>
      <c r="AE14" s="753"/>
    </row>
    <row r="15" spans="1:31" ht="20.100000000000001" customHeight="1">
      <c r="A15" s="1112">
        <f t="shared" si="8"/>
        <v>10</v>
      </c>
      <c r="B15" s="1113" t="str">
        <f t="shared" si="0"/>
        <v>소(국)1-어천4</v>
      </c>
      <c r="C15" s="1113" t="str">
        <f t="shared" si="1"/>
        <v>M2-048(1)</v>
      </c>
      <c r="D15" s="1113">
        <f>VLOOKUP(C15,'맨홀 평균 높이'!$J$4:$L$588,3,0)</f>
        <v>1.88</v>
      </c>
      <c r="E15" s="1114">
        <f t="shared" si="2"/>
        <v>1.7699999999999998</v>
      </c>
      <c r="F15" s="1115"/>
      <c r="G15" s="1115"/>
      <c r="H15" s="1115"/>
      <c r="I15" s="1115"/>
      <c r="J15" s="1115"/>
      <c r="K15" s="1115"/>
      <c r="L15" s="1115"/>
      <c r="M15" s="1115"/>
      <c r="N15" s="1115"/>
      <c r="O15" s="1115"/>
      <c r="P15" s="1115"/>
      <c r="Q15" s="1115"/>
      <c r="R15" s="1116">
        <f t="shared" si="3"/>
        <v>6.999999999999984E-2</v>
      </c>
      <c r="S15" s="1117">
        <f t="shared" si="4"/>
        <v>0</v>
      </c>
      <c r="T15" s="1117">
        <f t="shared" si="5"/>
        <v>0</v>
      </c>
      <c r="U15" s="1117">
        <f t="shared" si="6"/>
        <v>4</v>
      </c>
      <c r="V15" s="1117" t="str">
        <f t="shared" si="7"/>
        <v>0</v>
      </c>
      <c r="W15" s="1117"/>
      <c r="X15" s="1118">
        <v>1.7</v>
      </c>
      <c r="Y15" s="752"/>
      <c r="Z15" s="753"/>
      <c r="AA15" s="753"/>
      <c r="AB15" s="757" t="s">
        <v>1262</v>
      </c>
      <c r="AC15" s="757" t="s">
        <v>1505</v>
      </c>
      <c r="AD15" s="753"/>
      <c r="AE15" s="753"/>
    </row>
    <row r="16" spans="1:31" ht="20.100000000000001" customHeight="1">
      <c r="A16" s="1112">
        <f t="shared" si="8"/>
        <v>11</v>
      </c>
      <c r="B16" s="1113" t="str">
        <f t="shared" si="0"/>
        <v>소(국)1-어천1</v>
      </c>
      <c r="C16" s="1113" t="str">
        <f t="shared" si="1"/>
        <v>M2-049</v>
      </c>
      <c r="D16" s="1113">
        <f>VLOOKUP(C16,'맨홀 평균 높이'!$J$4:$L$588,3,0)</f>
        <v>2.38</v>
      </c>
      <c r="E16" s="1114">
        <f t="shared" si="2"/>
        <v>2.27</v>
      </c>
      <c r="F16" s="1115"/>
      <c r="G16" s="1115"/>
      <c r="H16" s="1115"/>
      <c r="I16" s="1115"/>
      <c r="J16" s="1115"/>
      <c r="K16" s="1115"/>
      <c r="L16" s="1115"/>
      <c r="M16" s="1115"/>
      <c r="N16" s="1115"/>
      <c r="O16" s="1115"/>
      <c r="P16" s="1115"/>
      <c r="Q16" s="1115"/>
      <c r="R16" s="1116">
        <f t="shared" si="3"/>
        <v>6.999999999999984E-2</v>
      </c>
      <c r="S16" s="1117">
        <f t="shared" si="4"/>
        <v>0</v>
      </c>
      <c r="T16" s="1117">
        <f t="shared" si="5"/>
        <v>0</v>
      </c>
      <c r="U16" s="1117">
        <f t="shared" si="6"/>
        <v>5</v>
      </c>
      <c r="V16" s="1117" t="str">
        <f t="shared" si="7"/>
        <v>0</v>
      </c>
      <c r="W16" s="1117"/>
      <c r="X16" s="1118">
        <v>2.2000000000000002</v>
      </c>
      <c r="Y16" s="752"/>
      <c r="Z16" s="753"/>
      <c r="AA16" s="753"/>
      <c r="AB16" s="757" t="s">
        <v>1263</v>
      </c>
      <c r="AC16" s="757" t="s">
        <v>1386</v>
      </c>
      <c r="AD16" s="753"/>
      <c r="AE16" s="753"/>
    </row>
    <row r="17" spans="1:31" ht="20.100000000000001" customHeight="1">
      <c r="A17" s="1112">
        <f t="shared" si="8"/>
        <v>12</v>
      </c>
      <c r="B17" s="1113" t="str">
        <f t="shared" si="0"/>
        <v>소(국)1-어천1</v>
      </c>
      <c r="C17" s="1113" t="str">
        <f t="shared" si="1"/>
        <v>M2-050(1)</v>
      </c>
      <c r="D17" s="1113">
        <f>VLOOKUP(C17,'맨홀 평균 높이'!$J$4:$L$588,3,0)</f>
        <v>2.2400000000000002</v>
      </c>
      <c r="E17" s="1114">
        <f t="shared" si="2"/>
        <v>2.1300000000000003</v>
      </c>
      <c r="F17" s="1115"/>
      <c r="G17" s="1115"/>
      <c r="H17" s="1115"/>
      <c r="I17" s="1115"/>
      <c r="J17" s="1115"/>
      <c r="K17" s="1115"/>
      <c r="L17" s="1115"/>
      <c r="M17" s="1115"/>
      <c r="N17" s="1115"/>
      <c r="O17" s="1115"/>
      <c r="P17" s="1115"/>
      <c r="Q17" s="1115"/>
      <c r="R17" s="1116">
        <f t="shared" si="3"/>
        <v>8.0000000000000515E-2</v>
      </c>
      <c r="S17" s="1117">
        <f t="shared" si="4"/>
        <v>0</v>
      </c>
      <c r="T17" s="1117">
        <f t="shared" si="5"/>
        <v>0</v>
      </c>
      <c r="U17" s="1117">
        <f t="shared" si="6"/>
        <v>5</v>
      </c>
      <c r="V17" s="1117" t="str">
        <f t="shared" si="7"/>
        <v>0</v>
      </c>
      <c r="W17" s="1117"/>
      <c r="X17" s="1118">
        <v>2.0499999999999998</v>
      </c>
      <c r="Y17" s="752"/>
      <c r="Z17" s="753"/>
      <c r="AA17" s="753"/>
      <c r="AB17" s="757" t="s">
        <v>1263</v>
      </c>
      <c r="AC17" s="757" t="s">
        <v>1442</v>
      </c>
      <c r="AD17" s="753"/>
      <c r="AE17" s="753"/>
    </row>
    <row r="18" spans="1:31" ht="20.100000000000001" customHeight="1">
      <c r="A18" s="1112">
        <f t="shared" si="8"/>
        <v>13</v>
      </c>
      <c r="B18" s="1113" t="str">
        <f t="shared" si="0"/>
        <v>소(국)1-어천1</v>
      </c>
      <c r="C18" s="1113" t="str">
        <f t="shared" si="1"/>
        <v>M2-052</v>
      </c>
      <c r="D18" s="1113">
        <f>VLOOKUP(C18,'맨홀 평균 높이'!$J$4:$L$588,3,0)</f>
        <v>1.95</v>
      </c>
      <c r="E18" s="1114">
        <f t="shared" si="2"/>
        <v>1.8399999999999999</v>
      </c>
      <c r="F18" s="1115"/>
      <c r="G18" s="1115"/>
      <c r="H18" s="1115"/>
      <c r="I18" s="1115"/>
      <c r="J18" s="1115"/>
      <c r="K18" s="1115"/>
      <c r="L18" s="1115"/>
      <c r="M18" s="1115"/>
      <c r="N18" s="1115"/>
      <c r="O18" s="1115"/>
      <c r="P18" s="1115"/>
      <c r="Q18" s="1115"/>
      <c r="R18" s="1116">
        <f t="shared" si="3"/>
        <v>4.0000000000000036E-2</v>
      </c>
      <c r="S18" s="1117">
        <f t="shared" si="4"/>
        <v>0</v>
      </c>
      <c r="T18" s="1117">
        <f t="shared" si="5"/>
        <v>0</v>
      </c>
      <c r="U18" s="1117">
        <f t="shared" si="6"/>
        <v>4</v>
      </c>
      <c r="V18" s="1117" t="str">
        <f t="shared" si="7"/>
        <v>0</v>
      </c>
      <c r="W18" s="1117"/>
      <c r="X18" s="1118">
        <v>1.7999999999999998</v>
      </c>
      <c r="Y18" s="752"/>
      <c r="Z18" s="753"/>
      <c r="AA18" s="753"/>
      <c r="AB18" s="757" t="s">
        <v>1263</v>
      </c>
      <c r="AC18" s="757" t="s">
        <v>1446</v>
      </c>
      <c r="AD18" s="753"/>
      <c r="AE18" s="753"/>
    </row>
    <row r="19" spans="1:31" ht="20.100000000000001" customHeight="1">
      <c r="A19" s="1112">
        <f t="shared" si="8"/>
        <v>14</v>
      </c>
      <c r="B19" s="1113" t="str">
        <f t="shared" si="0"/>
        <v>중(국)3-어천1</v>
      </c>
      <c r="C19" s="1113" t="str">
        <f t="shared" si="1"/>
        <v>M2-053</v>
      </c>
      <c r="D19" s="1113">
        <f>VLOOKUP(C19,'맨홀 평균 높이'!$J$4:$L$588,3,0)</f>
        <v>3.47</v>
      </c>
      <c r="E19" s="1114">
        <f t="shared" si="2"/>
        <v>3.3600000000000003</v>
      </c>
      <c r="F19" s="1115"/>
      <c r="G19" s="1115"/>
      <c r="H19" s="1115"/>
      <c r="I19" s="1115"/>
      <c r="J19" s="1115"/>
      <c r="K19" s="1115"/>
      <c r="L19" s="1115"/>
      <c r="M19" s="1115"/>
      <c r="N19" s="1115"/>
      <c r="O19" s="1115"/>
      <c r="P19" s="1115"/>
      <c r="Q19" s="1115"/>
      <c r="R19" s="1116">
        <f t="shared" si="3"/>
        <v>6.0000000000000497E-2</v>
      </c>
      <c r="S19" s="1117">
        <f t="shared" si="4"/>
        <v>0</v>
      </c>
      <c r="T19" s="1117">
        <f t="shared" si="5"/>
        <v>0</v>
      </c>
      <c r="U19" s="1117">
        <f t="shared" si="6"/>
        <v>9</v>
      </c>
      <c r="V19" s="1117" t="str">
        <f t="shared" si="7"/>
        <v>0</v>
      </c>
      <c r="W19" s="1117"/>
      <c r="X19" s="1118">
        <v>3.3</v>
      </c>
      <c r="Y19" s="752"/>
      <c r="Z19" s="753"/>
      <c r="AA19" s="753"/>
      <c r="AB19" s="757" t="s">
        <v>1264</v>
      </c>
      <c r="AC19" s="757" t="s">
        <v>1402</v>
      </c>
      <c r="AD19" s="753"/>
      <c r="AE19" s="753"/>
    </row>
    <row r="20" spans="1:31" ht="20.100000000000001" customHeight="1">
      <c r="A20" s="1112">
        <f t="shared" si="8"/>
        <v>15</v>
      </c>
      <c r="B20" s="1113" t="str">
        <f t="shared" si="0"/>
        <v>소(국)1-어천1</v>
      </c>
      <c r="C20" s="1113" t="str">
        <f t="shared" si="1"/>
        <v>M2-061(1)</v>
      </c>
      <c r="D20" s="1113">
        <f>VLOOKUP(C20,'맨홀 평균 높이'!$J$4:$L$588,3,0)</f>
        <v>2.13</v>
      </c>
      <c r="E20" s="1114">
        <f t="shared" si="2"/>
        <v>2.02</v>
      </c>
      <c r="F20" s="1115"/>
      <c r="G20" s="1115"/>
      <c r="H20" s="1115"/>
      <c r="I20" s="1115"/>
      <c r="J20" s="1115"/>
      <c r="K20" s="1115"/>
      <c r="L20" s="1115"/>
      <c r="M20" s="1115"/>
      <c r="N20" s="1115"/>
      <c r="O20" s="1115"/>
      <c r="P20" s="1115"/>
      <c r="Q20" s="1115"/>
      <c r="R20" s="1116">
        <f t="shared" si="3"/>
        <v>7.0000000000000062E-2</v>
      </c>
      <c r="S20" s="1117">
        <f t="shared" si="4"/>
        <v>0</v>
      </c>
      <c r="T20" s="1117">
        <f t="shared" si="5"/>
        <v>0</v>
      </c>
      <c r="U20" s="1117">
        <f t="shared" si="6"/>
        <v>5</v>
      </c>
      <c r="V20" s="1117" t="str">
        <f t="shared" si="7"/>
        <v>0</v>
      </c>
      <c r="W20" s="1117"/>
      <c r="X20" s="1118">
        <v>1.95</v>
      </c>
      <c r="Y20" s="752"/>
      <c r="Z20" s="753"/>
      <c r="AA20" s="753"/>
      <c r="AB20" s="757" t="s">
        <v>1263</v>
      </c>
      <c r="AC20" s="757" t="s">
        <v>1406</v>
      </c>
      <c r="AD20" s="753"/>
      <c r="AE20" s="753"/>
    </row>
    <row r="21" spans="1:31" ht="20.100000000000001" customHeight="1">
      <c r="A21" s="1112">
        <f t="shared" si="8"/>
        <v>16</v>
      </c>
      <c r="B21" s="1113" t="str">
        <f t="shared" si="0"/>
        <v>소(국)2-어천2</v>
      </c>
      <c r="C21" s="1113" t="str">
        <f t="shared" si="1"/>
        <v>M2-062(1)</v>
      </c>
      <c r="D21" s="1113">
        <f>VLOOKUP(C21,'맨홀 평균 높이'!$J$4:$L$588,3,0)</f>
        <v>1.73</v>
      </c>
      <c r="E21" s="1114">
        <f t="shared" si="2"/>
        <v>1.6199999999999999</v>
      </c>
      <c r="F21" s="1115"/>
      <c r="G21" s="1115"/>
      <c r="H21" s="1115"/>
      <c r="I21" s="1115"/>
      <c r="J21" s="1115"/>
      <c r="K21" s="1115"/>
      <c r="L21" s="1115"/>
      <c r="M21" s="1115"/>
      <c r="N21" s="1115"/>
      <c r="O21" s="1115"/>
      <c r="P21" s="1115"/>
      <c r="Q21" s="1115"/>
      <c r="R21" s="1116">
        <f t="shared" si="3"/>
        <v>1.9999999999999796E-2</v>
      </c>
      <c r="S21" s="1117">
        <f t="shared" si="4"/>
        <v>0</v>
      </c>
      <c r="T21" s="1117">
        <f t="shared" si="5"/>
        <v>0</v>
      </c>
      <c r="U21" s="1117">
        <f t="shared" si="6"/>
        <v>3</v>
      </c>
      <c r="V21" s="1117" t="str">
        <f t="shared" si="7"/>
        <v>0</v>
      </c>
      <c r="W21" s="1117"/>
      <c r="X21" s="1118">
        <v>1.6</v>
      </c>
      <c r="Y21" s="752"/>
      <c r="Z21" s="753"/>
      <c r="AA21" s="753"/>
      <c r="AB21" s="757" t="s">
        <v>1265</v>
      </c>
      <c r="AC21" s="757" t="s">
        <v>1491</v>
      </c>
      <c r="AD21" s="753"/>
      <c r="AE21" s="753"/>
    </row>
    <row r="22" spans="1:31" ht="20.100000000000001" customHeight="1">
      <c r="A22" s="1112">
        <f t="shared" si="8"/>
        <v>17</v>
      </c>
      <c r="B22" s="1113" t="str">
        <f t="shared" si="0"/>
        <v>소(국)2-어천3</v>
      </c>
      <c r="C22" s="1113" t="str">
        <f t="shared" si="1"/>
        <v>M2-063(2)</v>
      </c>
      <c r="D22" s="1113">
        <f>VLOOKUP(C22,'맨홀 평균 높이'!$J$4:$L$588,3,0)</f>
        <v>1.43</v>
      </c>
      <c r="E22" s="1114">
        <f t="shared" si="2"/>
        <v>1.3199999999999998</v>
      </c>
      <c r="F22" s="1115"/>
      <c r="G22" s="1115"/>
      <c r="H22" s="1115"/>
      <c r="I22" s="1115"/>
      <c r="J22" s="1115"/>
      <c r="K22" s="1115"/>
      <c r="L22" s="1115"/>
      <c r="M22" s="1115"/>
      <c r="N22" s="1115"/>
      <c r="O22" s="1115"/>
      <c r="P22" s="1115"/>
      <c r="Q22" s="1115"/>
      <c r="R22" s="1116">
        <f t="shared" si="3"/>
        <v>1.9999999999999796E-2</v>
      </c>
      <c r="S22" s="1117">
        <f t="shared" si="4"/>
        <v>0</v>
      </c>
      <c r="T22" s="1117">
        <f t="shared" si="5"/>
        <v>0</v>
      </c>
      <c r="U22" s="1117">
        <f t="shared" si="6"/>
        <v>2</v>
      </c>
      <c r="V22" s="1117" t="str">
        <f t="shared" si="7"/>
        <v>0</v>
      </c>
      <c r="W22" s="1117"/>
      <c r="X22" s="1118">
        <v>1.3</v>
      </c>
      <c r="Y22" s="752"/>
      <c r="Z22" s="753"/>
      <c r="AA22" s="753"/>
      <c r="AB22" s="757" t="s">
        <v>1266</v>
      </c>
      <c r="AC22" s="757" t="s">
        <v>1450</v>
      </c>
      <c r="AD22" s="753"/>
      <c r="AE22" s="753"/>
    </row>
    <row r="23" spans="1:31" ht="20.100000000000001" customHeight="1">
      <c r="A23" s="1112">
        <f t="shared" si="8"/>
        <v>18</v>
      </c>
      <c r="B23" s="1113" t="str">
        <f t="shared" si="0"/>
        <v>A074~A076(2)</v>
      </c>
      <c r="C23" s="1113" t="str">
        <f t="shared" si="1"/>
        <v>M2-065</v>
      </c>
      <c r="D23" s="1113">
        <f>VLOOKUP(C23,'맨홀 평균 높이'!$J$4:$L$588,3,0)</f>
        <v>3.21</v>
      </c>
      <c r="E23" s="1114">
        <f t="shared" si="2"/>
        <v>3.1</v>
      </c>
      <c r="F23" s="1115"/>
      <c r="G23" s="1115"/>
      <c r="H23" s="1115"/>
      <c r="I23" s="1115"/>
      <c r="J23" s="1115"/>
      <c r="K23" s="1115"/>
      <c r="L23" s="1115"/>
      <c r="M23" s="1115"/>
      <c r="N23" s="1115"/>
      <c r="O23" s="1115"/>
      <c r="P23" s="1115"/>
      <c r="Q23" s="1115"/>
      <c r="R23" s="1116">
        <f t="shared" si="3"/>
        <v>5.0000000000000266E-2</v>
      </c>
      <c r="S23" s="1117">
        <f t="shared" si="4"/>
        <v>0</v>
      </c>
      <c r="T23" s="1117">
        <f t="shared" si="5"/>
        <v>0</v>
      </c>
      <c r="U23" s="1117">
        <f t="shared" si="6"/>
        <v>8</v>
      </c>
      <c r="V23" s="1117" t="str">
        <f t="shared" si="7"/>
        <v>0</v>
      </c>
      <c r="W23" s="1117"/>
      <c r="X23" s="1118">
        <v>3.05</v>
      </c>
      <c r="Y23" s="752"/>
      <c r="Z23" s="753"/>
      <c r="AA23" s="753"/>
      <c r="AB23" s="757" t="s">
        <v>1338</v>
      </c>
      <c r="AC23" s="757" t="s">
        <v>1388</v>
      </c>
      <c r="AD23" s="753"/>
      <c r="AE23" s="753"/>
    </row>
    <row r="24" spans="1:31" ht="20.100000000000001" customHeight="1">
      <c r="A24" s="1112">
        <f t="shared" si="8"/>
        <v>19</v>
      </c>
      <c r="B24" s="1113" t="str">
        <f t="shared" si="0"/>
        <v>소(국)2-어천5</v>
      </c>
      <c r="C24" s="1113" t="str">
        <f t="shared" si="1"/>
        <v>M2-068</v>
      </c>
      <c r="D24" s="1113">
        <f>VLOOKUP(C24,'맨홀 평균 높이'!$J$4:$L$588,3,0)</f>
        <v>1.42</v>
      </c>
      <c r="E24" s="1114">
        <f t="shared" si="2"/>
        <v>1.3099999999999998</v>
      </c>
      <c r="F24" s="1115"/>
      <c r="G24" s="1115"/>
      <c r="H24" s="1115"/>
      <c r="I24" s="1115"/>
      <c r="J24" s="1115"/>
      <c r="K24" s="1115"/>
      <c r="L24" s="1115"/>
      <c r="M24" s="1115"/>
      <c r="N24" s="1115"/>
      <c r="O24" s="1115"/>
      <c r="P24" s="1115"/>
      <c r="Q24" s="1115"/>
      <c r="R24" s="1116">
        <f t="shared" si="3"/>
        <v>9.9999999999997868E-3</v>
      </c>
      <c r="S24" s="1117">
        <f t="shared" si="4"/>
        <v>0</v>
      </c>
      <c r="T24" s="1117">
        <f t="shared" si="5"/>
        <v>0</v>
      </c>
      <c r="U24" s="1117">
        <f t="shared" si="6"/>
        <v>2</v>
      </c>
      <c r="V24" s="1117" t="str">
        <f t="shared" si="7"/>
        <v>0</v>
      </c>
      <c r="W24" s="1117"/>
      <c r="X24" s="1118">
        <v>1.3</v>
      </c>
      <c r="Y24" s="752"/>
      <c r="Z24" s="753"/>
      <c r="AA24" s="753"/>
      <c r="AB24" s="757" t="s">
        <v>1268</v>
      </c>
      <c r="AC24" s="757" t="s">
        <v>1387</v>
      </c>
      <c r="AD24" s="753"/>
      <c r="AE24" s="753"/>
    </row>
    <row r="25" spans="1:31" ht="20.100000000000001" customHeight="1">
      <c r="A25" s="1112">
        <f t="shared" si="8"/>
        <v>20</v>
      </c>
      <c r="B25" s="1113" t="str">
        <f t="shared" si="0"/>
        <v>소(국)2-어천5</v>
      </c>
      <c r="C25" s="1113" t="str">
        <f t="shared" si="1"/>
        <v>M2-069(1)</v>
      </c>
      <c r="D25" s="1113">
        <f>VLOOKUP(C25,'맨홀 평균 높이'!$J$4:$L$588,3,0)</f>
        <v>1.52</v>
      </c>
      <c r="E25" s="1114">
        <f t="shared" si="2"/>
        <v>1.41</v>
      </c>
      <c r="F25" s="1115"/>
      <c r="G25" s="1115"/>
      <c r="H25" s="1115"/>
      <c r="I25" s="1115"/>
      <c r="J25" s="1115"/>
      <c r="K25" s="1115"/>
      <c r="L25" s="1115"/>
      <c r="M25" s="1115"/>
      <c r="N25" s="1115"/>
      <c r="O25" s="1115"/>
      <c r="P25" s="1115"/>
      <c r="Q25" s="1115"/>
      <c r="R25" s="1116">
        <f t="shared" si="3"/>
        <v>1.0000000000000009E-2</v>
      </c>
      <c r="S25" s="1117">
        <f t="shared" si="4"/>
        <v>0</v>
      </c>
      <c r="T25" s="1117">
        <f t="shared" si="5"/>
        <v>0</v>
      </c>
      <c r="U25" s="1117">
        <f t="shared" si="6"/>
        <v>3</v>
      </c>
      <c r="V25" s="1117" t="str">
        <f t="shared" si="7"/>
        <v>0</v>
      </c>
      <c r="W25" s="1117"/>
      <c r="X25" s="1118">
        <v>1.4</v>
      </c>
      <c r="Y25" s="752"/>
      <c r="Z25" s="753"/>
      <c r="AA25" s="753"/>
      <c r="AB25" s="757" t="s">
        <v>1268</v>
      </c>
      <c r="AC25" s="757" t="s">
        <v>1451</v>
      </c>
      <c r="AD25" s="753"/>
      <c r="AE25" s="753"/>
    </row>
    <row r="26" spans="1:31" ht="20.100000000000001" customHeight="1">
      <c r="A26" s="1112">
        <f t="shared" si="8"/>
        <v>21</v>
      </c>
      <c r="B26" s="1113" t="str">
        <f t="shared" si="0"/>
        <v>소(국)2-어천5</v>
      </c>
      <c r="C26" s="1113" t="str">
        <f t="shared" si="1"/>
        <v>M2-070(1)</v>
      </c>
      <c r="D26" s="1113">
        <f>VLOOKUP(C26,'맨홀 평균 높이'!$J$4:$L$588,3,0)</f>
        <v>2.72</v>
      </c>
      <c r="E26" s="1114">
        <f t="shared" si="2"/>
        <v>2.6100000000000003</v>
      </c>
      <c r="F26" s="1115"/>
      <c r="G26" s="1115"/>
      <c r="H26" s="1115"/>
      <c r="I26" s="1115"/>
      <c r="J26" s="1115"/>
      <c r="K26" s="1115"/>
      <c r="L26" s="1115"/>
      <c r="M26" s="1115"/>
      <c r="N26" s="1115"/>
      <c r="O26" s="1115"/>
      <c r="P26" s="1115"/>
      <c r="Q26" s="1115"/>
      <c r="R26" s="1116">
        <f t="shared" si="3"/>
        <v>6.0000000000000497E-2</v>
      </c>
      <c r="S26" s="1117">
        <f t="shared" si="4"/>
        <v>0</v>
      </c>
      <c r="T26" s="1117">
        <f t="shared" si="5"/>
        <v>0</v>
      </c>
      <c r="U26" s="1117">
        <f t="shared" si="6"/>
        <v>7</v>
      </c>
      <c r="V26" s="1117" t="str">
        <f t="shared" si="7"/>
        <v>0</v>
      </c>
      <c r="W26" s="1117"/>
      <c r="X26" s="1118">
        <v>2.5499999999999998</v>
      </c>
      <c r="Y26" s="752"/>
      <c r="Z26" s="753"/>
      <c r="AA26" s="753"/>
      <c r="AB26" s="757" t="s">
        <v>1268</v>
      </c>
      <c r="AC26" s="757" t="s">
        <v>1452</v>
      </c>
      <c r="AD26" s="753"/>
      <c r="AE26" s="753"/>
    </row>
    <row r="27" spans="1:31" ht="20.100000000000001" customHeight="1">
      <c r="A27" s="1112">
        <f t="shared" si="8"/>
        <v>22</v>
      </c>
      <c r="B27" s="1113" t="str">
        <f t="shared" si="0"/>
        <v>소(국)2-어천5</v>
      </c>
      <c r="C27" s="1113" t="str">
        <f t="shared" si="1"/>
        <v>M2-070(2)</v>
      </c>
      <c r="D27" s="1113">
        <f>VLOOKUP(C27,'맨홀 평균 높이'!$J$4:$L$588,3,0)</f>
        <v>2.5099999999999998</v>
      </c>
      <c r="E27" s="1114">
        <f t="shared" si="2"/>
        <v>2.4</v>
      </c>
      <c r="F27" s="1115"/>
      <c r="G27" s="1115"/>
      <c r="H27" s="1115"/>
      <c r="I27" s="1115"/>
      <c r="J27" s="1115"/>
      <c r="K27" s="1115"/>
      <c r="L27" s="1115"/>
      <c r="M27" s="1115"/>
      <c r="N27" s="1115"/>
      <c r="O27" s="1115"/>
      <c r="P27" s="1115"/>
      <c r="Q27" s="1115"/>
      <c r="R27" s="1116">
        <f t="shared" si="3"/>
        <v>0</v>
      </c>
      <c r="S27" s="1117">
        <f t="shared" si="4"/>
        <v>0</v>
      </c>
      <c r="T27" s="1117">
        <f t="shared" si="5"/>
        <v>0</v>
      </c>
      <c r="U27" s="1117">
        <f t="shared" si="6"/>
        <v>6</v>
      </c>
      <c r="V27" s="1117" t="str">
        <f t="shared" si="7"/>
        <v>0</v>
      </c>
      <c r="W27" s="1117"/>
      <c r="X27" s="1118">
        <v>2.4</v>
      </c>
      <c r="Y27" s="752"/>
      <c r="Z27" s="753"/>
      <c r="AA27" s="753"/>
      <c r="AB27" s="757" t="s">
        <v>1268</v>
      </c>
      <c r="AC27" s="757" t="s">
        <v>1453</v>
      </c>
      <c r="AD27" s="753"/>
      <c r="AE27" s="753"/>
    </row>
    <row r="28" spans="1:31" ht="20.100000000000001" customHeight="1">
      <c r="A28" s="1112">
        <f t="shared" si="8"/>
        <v>23</v>
      </c>
      <c r="B28" s="1113" t="str">
        <f t="shared" si="0"/>
        <v>소(국)2-어천5</v>
      </c>
      <c r="C28" s="1113" t="str">
        <f t="shared" si="1"/>
        <v>M2-070(3)</v>
      </c>
      <c r="D28" s="1113">
        <f>VLOOKUP(C28,'맨홀 평균 높이'!$J$4:$L$588,3,0)</f>
        <v>2.29</v>
      </c>
      <c r="E28" s="1114">
        <f t="shared" si="2"/>
        <v>2.1800000000000002</v>
      </c>
      <c r="F28" s="1115"/>
      <c r="G28" s="1115"/>
      <c r="H28" s="1115"/>
      <c r="I28" s="1115"/>
      <c r="J28" s="1115"/>
      <c r="K28" s="1115"/>
      <c r="L28" s="1115"/>
      <c r="M28" s="1115"/>
      <c r="N28" s="1115"/>
      <c r="O28" s="1115"/>
      <c r="P28" s="1115"/>
      <c r="Q28" s="1115"/>
      <c r="R28" s="1116">
        <f t="shared" si="3"/>
        <v>3.0000000000000249E-2</v>
      </c>
      <c r="S28" s="1117">
        <f t="shared" si="4"/>
        <v>0</v>
      </c>
      <c r="T28" s="1117">
        <f t="shared" si="5"/>
        <v>0</v>
      </c>
      <c r="U28" s="1117">
        <f t="shared" si="6"/>
        <v>5</v>
      </c>
      <c r="V28" s="1117" t="str">
        <f t="shared" si="7"/>
        <v>0</v>
      </c>
      <c r="W28" s="1117"/>
      <c r="X28" s="1118">
        <v>2.15</v>
      </c>
      <c r="Y28" s="752"/>
      <c r="Z28" s="753"/>
      <c r="AA28" s="753"/>
      <c r="AB28" s="757" t="s">
        <v>1268</v>
      </c>
      <c r="AC28" s="757" t="s">
        <v>1454</v>
      </c>
      <c r="AD28" s="753"/>
      <c r="AE28" s="753"/>
    </row>
    <row r="29" spans="1:31" ht="20.100000000000001" customHeight="1">
      <c r="A29" s="1112">
        <f t="shared" si="8"/>
        <v>24</v>
      </c>
      <c r="B29" s="1113" t="str">
        <f t="shared" si="0"/>
        <v>소(국)2-어천5</v>
      </c>
      <c r="C29" s="1113" t="str">
        <f t="shared" si="1"/>
        <v>M2-070(4)</v>
      </c>
      <c r="D29" s="1113">
        <f>VLOOKUP(C29,'맨홀 평균 높이'!$J$4:$L$588,3,0)</f>
        <v>2.16</v>
      </c>
      <c r="E29" s="1114">
        <f t="shared" si="2"/>
        <v>2.0500000000000003</v>
      </c>
      <c r="F29" s="1115"/>
      <c r="G29" s="1115"/>
      <c r="H29" s="1115"/>
      <c r="I29" s="1115"/>
      <c r="J29" s="1115"/>
      <c r="K29" s="1115"/>
      <c r="L29" s="1115"/>
      <c r="M29" s="1115"/>
      <c r="N29" s="1115"/>
      <c r="O29" s="1115"/>
      <c r="P29" s="1115"/>
      <c r="Q29" s="1115"/>
      <c r="R29" s="1116">
        <f t="shared" si="3"/>
        <v>0</v>
      </c>
      <c r="S29" s="1117">
        <f t="shared" si="4"/>
        <v>0</v>
      </c>
      <c r="T29" s="1117">
        <f t="shared" si="5"/>
        <v>0</v>
      </c>
      <c r="U29" s="1117">
        <f t="shared" si="6"/>
        <v>5</v>
      </c>
      <c r="V29" s="1117" t="str">
        <f t="shared" si="7"/>
        <v>0</v>
      </c>
      <c r="W29" s="1117"/>
      <c r="X29" s="1118">
        <v>2.0499999999999998</v>
      </c>
      <c r="Y29" s="752"/>
      <c r="Z29" s="753"/>
      <c r="AA29" s="753"/>
      <c r="AB29" s="757" t="s">
        <v>1268</v>
      </c>
      <c r="AC29" s="757" t="s">
        <v>1455</v>
      </c>
      <c r="AD29" s="753"/>
      <c r="AE29" s="753"/>
    </row>
    <row r="30" spans="1:31" ht="20.100000000000001" customHeight="1">
      <c r="A30" s="1112">
        <f t="shared" si="8"/>
        <v>25</v>
      </c>
      <c r="B30" s="1113" t="str">
        <f t="shared" si="0"/>
        <v>소(국)2-어천5</v>
      </c>
      <c r="C30" s="1113" t="str">
        <f t="shared" si="1"/>
        <v>M2-076</v>
      </c>
      <c r="D30" s="1113">
        <f>VLOOKUP(C30,'맨홀 평균 높이'!$J$4:$L$588,3,0)</f>
        <v>2.3199999999999998</v>
      </c>
      <c r="E30" s="1114">
        <f t="shared" si="2"/>
        <v>2.21</v>
      </c>
      <c r="F30" s="1115"/>
      <c r="G30" s="1115"/>
      <c r="H30" s="1115"/>
      <c r="I30" s="1115"/>
      <c r="J30" s="1115"/>
      <c r="K30" s="1115"/>
      <c r="L30" s="1115"/>
      <c r="M30" s="1115"/>
      <c r="N30" s="1115"/>
      <c r="O30" s="1115"/>
      <c r="P30" s="1115"/>
      <c r="Q30" s="1115"/>
      <c r="R30" s="1116">
        <f t="shared" si="3"/>
        <v>6.0000000000000053E-2</v>
      </c>
      <c r="S30" s="1117">
        <f t="shared" si="4"/>
        <v>0</v>
      </c>
      <c r="T30" s="1117">
        <f t="shared" si="5"/>
        <v>0</v>
      </c>
      <c r="U30" s="1117">
        <f t="shared" si="6"/>
        <v>5</v>
      </c>
      <c r="V30" s="1117" t="str">
        <f t="shared" si="7"/>
        <v>0</v>
      </c>
      <c r="W30" s="1117"/>
      <c r="X30" s="1118">
        <v>2.15</v>
      </c>
      <c r="Y30" s="752"/>
      <c r="Z30" s="753"/>
      <c r="AA30" s="753"/>
      <c r="AB30" s="757" t="s">
        <v>1268</v>
      </c>
      <c r="AC30" s="757" t="s">
        <v>1457</v>
      </c>
      <c r="AD30" s="753"/>
      <c r="AE30" s="753"/>
    </row>
    <row r="31" spans="1:31" ht="20.100000000000001" customHeight="1">
      <c r="A31" s="1112">
        <f t="shared" si="8"/>
        <v>26</v>
      </c>
      <c r="B31" s="1113" t="str">
        <f t="shared" si="0"/>
        <v>소(국)2-어천6</v>
      </c>
      <c r="C31" s="1113" t="str">
        <f t="shared" si="1"/>
        <v>M2-078(1)</v>
      </c>
      <c r="D31" s="1113">
        <f>VLOOKUP(C31,'맨홀 평균 높이'!$J$4:$L$588,3,0)</f>
        <v>1.42</v>
      </c>
      <c r="E31" s="1114">
        <f t="shared" si="2"/>
        <v>1.3099999999999998</v>
      </c>
      <c r="F31" s="1115"/>
      <c r="G31" s="1115"/>
      <c r="H31" s="1115"/>
      <c r="I31" s="1115"/>
      <c r="J31" s="1115"/>
      <c r="K31" s="1115"/>
      <c r="L31" s="1115"/>
      <c r="M31" s="1115"/>
      <c r="N31" s="1115"/>
      <c r="O31" s="1115"/>
      <c r="P31" s="1115"/>
      <c r="Q31" s="1115"/>
      <c r="R31" s="1116">
        <f t="shared" si="3"/>
        <v>9.9999999999997868E-3</v>
      </c>
      <c r="S31" s="1117">
        <f t="shared" si="4"/>
        <v>0</v>
      </c>
      <c r="T31" s="1117">
        <f t="shared" si="5"/>
        <v>0</v>
      </c>
      <c r="U31" s="1117">
        <f t="shared" si="6"/>
        <v>2</v>
      </c>
      <c r="V31" s="1117" t="str">
        <f t="shared" si="7"/>
        <v>0</v>
      </c>
      <c r="W31" s="1117"/>
      <c r="X31" s="1118">
        <v>1.3</v>
      </c>
      <c r="Y31" s="752"/>
      <c r="Z31" s="753"/>
      <c r="AA31" s="753"/>
      <c r="AB31" s="757" t="s">
        <v>1272</v>
      </c>
      <c r="AC31" s="757" t="s">
        <v>1458</v>
      </c>
      <c r="AD31" s="753"/>
      <c r="AE31" s="753"/>
    </row>
    <row r="32" spans="1:31" ht="20.100000000000001" customHeight="1">
      <c r="A32" s="1112">
        <f t="shared" si="8"/>
        <v>27</v>
      </c>
      <c r="B32" s="1113" t="str">
        <f t="shared" si="0"/>
        <v>소(국)2-어천6</v>
      </c>
      <c r="C32" s="1113" t="str">
        <f t="shared" si="1"/>
        <v>M2-078(2)</v>
      </c>
      <c r="D32" s="1113">
        <f>VLOOKUP(C32,'맨홀 평균 높이'!$J$4:$L$588,3,0)</f>
        <v>1.63</v>
      </c>
      <c r="E32" s="1114">
        <f t="shared" si="2"/>
        <v>1.5199999999999998</v>
      </c>
      <c r="F32" s="1115"/>
      <c r="G32" s="1115"/>
      <c r="H32" s="1115"/>
      <c r="I32" s="1115"/>
      <c r="J32" s="1115"/>
      <c r="K32" s="1115"/>
      <c r="L32" s="1115"/>
      <c r="M32" s="1115"/>
      <c r="N32" s="1115"/>
      <c r="O32" s="1115"/>
      <c r="P32" s="1115"/>
      <c r="Q32" s="1115"/>
      <c r="R32" s="1116">
        <f t="shared" si="3"/>
        <v>1.9999999999999796E-2</v>
      </c>
      <c r="S32" s="1117">
        <f t="shared" si="4"/>
        <v>0</v>
      </c>
      <c r="T32" s="1117">
        <f t="shared" si="5"/>
        <v>0</v>
      </c>
      <c r="U32" s="1117">
        <f t="shared" si="6"/>
        <v>3</v>
      </c>
      <c r="V32" s="1117" t="str">
        <f t="shared" si="7"/>
        <v>0</v>
      </c>
      <c r="W32" s="1117"/>
      <c r="X32" s="1118">
        <v>1.5</v>
      </c>
      <c r="Y32" s="752"/>
      <c r="Z32" s="753"/>
      <c r="AA32" s="753"/>
      <c r="AB32" s="757" t="s">
        <v>1272</v>
      </c>
      <c r="AC32" s="757" t="s">
        <v>1459</v>
      </c>
      <c r="AD32" s="753"/>
      <c r="AE32" s="753"/>
    </row>
    <row r="33" spans="1:31" ht="20.100000000000001" customHeight="1">
      <c r="A33" s="1112">
        <f t="shared" si="8"/>
        <v>28</v>
      </c>
      <c r="B33" s="1113" t="str">
        <f t="shared" si="0"/>
        <v>소(국)2-어천6</v>
      </c>
      <c r="C33" s="1113" t="str">
        <f t="shared" si="1"/>
        <v>M2-079(1)</v>
      </c>
      <c r="D33" s="1113">
        <f>VLOOKUP(C33,'맨홀 평균 높이'!$J$4:$L$588,3,0)</f>
        <v>2.42</v>
      </c>
      <c r="E33" s="1114">
        <f t="shared" si="2"/>
        <v>2.31</v>
      </c>
      <c r="F33" s="1115"/>
      <c r="G33" s="1115"/>
      <c r="H33" s="1115"/>
      <c r="I33" s="1115"/>
      <c r="J33" s="1115"/>
      <c r="K33" s="1115"/>
      <c r="L33" s="1115"/>
      <c r="M33" s="1115"/>
      <c r="N33" s="1115"/>
      <c r="O33" s="1115"/>
      <c r="P33" s="1115"/>
      <c r="Q33" s="1115"/>
      <c r="R33" s="1116">
        <f t="shared" si="3"/>
        <v>1.0000000000000231E-2</v>
      </c>
      <c r="S33" s="1117">
        <f t="shared" si="4"/>
        <v>0</v>
      </c>
      <c r="T33" s="1117">
        <f t="shared" si="5"/>
        <v>0</v>
      </c>
      <c r="U33" s="1117">
        <f t="shared" si="6"/>
        <v>6</v>
      </c>
      <c r="V33" s="1117" t="str">
        <f t="shared" si="7"/>
        <v>0</v>
      </c>
      <c r="W33" s="1117"/>
      <c r="X33" s="1118">
        <v>2.2999999999999998</v>
      </c>
      <c r="Y33" s="752"/>
      <c r="Z33" s="753"/>
      <c r="AA33" s="753"/>
      <c r="AB33" s="758" t="s">
        <v>1272</v>
      </c>
      <c r="AC33" s="759" t="s">
        <v>1460</v>
      </c>
      <c r="AD33" s="753"/>
      <c r="AE33" s="753"/>
    </row>
    <row r="34" spans="1:31" ht="20.100000000000001" customHeight="1">
      <c r="A34" s="1112">
        <f t="shared" si="8"/>
        <v>29</v>
      </c>
      <c r="B34" s="1113" t="str">
        <f t="shared" si="0"/>
        <v>소(국)2-어천6</v>
      </c>
      <c r="C34" s="1113" t="str">
        <f t="shared" si="1"/>
        <v>M2-079(2)</v>
      </c>
      <c r="D34" s="1113">
        <f>VLOOKUP(C34,'맨홀 평균 높이'!$J$4:$L$588,3,0)</f>
        <v>2.5099999999999998</v>
      </c>
      <c r="E34" s="1114">
        <f t="shared" si="2"/>
        <v>2.4</v>
      </c>
      <c r="F34" s="1115"/>
      <c r="G34" s="1115"/>
      <c r="H34" s="1115"/>
      <c r="I34" s="1115"/>
      <c r="J34" s="1115"/>
      <c r="K34" s="1115"/>
      <c r="L34" s="1115"/>
      <c r="M34" s="1115"/>
      <c r="N34" s="1115"/>
      <c r="O34" s="1115"/>
      <c r="P34" s="1115"/>
      <c r="Q34" s="1115"/>
      <c r="R34" s="1116">
        <f t="shared" si="3"/>
        <v>0</v>
      </c>
      <c r="S34" s="1117">
        <f t="shared" si="4"/>
        <v>0</v>
      </c>
      <c r="T34" s="1117">
        <f t="shared" si="5"/>
        <v>0</v>
      </c>
      <c r="U34" s="1117">
        <f t="shared" si="6"/>
        <v>6</v>
      </c>
      <c r="V34" s="1117" t="str">
        <f t="shared" si="7"/>
        <v>0</v>
      </c>
      <c r="W34" s="1117"/>
      <c r="X34" s="1118">
        <v>2.4</v>
      </c>
      <c r="Y34" s="752"/>
      <c r="Z34" s="753"/>
      <c r="AA34" s="753"/>
      <c r="AB34" s="758" t="s">
        <v>1272</v>
      </c>
      <c r="AC34" s="759" t="s">
        <v>1461</v>
      </c>
      <c r="AD34" s="753"/>
      <c r="AE34" s="753"/>
    </row>
    <row r="35" spans="1:31" ht="20.100000000000001" customHeight="1">
      <c r="A35" s="1112">
        <f t="shared" si="8"/>
        <v>30</v>
      </c>
      <c r="B35" s="1113" t="str">
        <f t="shared" si="0"/>
        <v>소(국)2-어천6</v>
      </c>
      <c r="C35" s="1113" t="str">
        <f t="shared" si="1"/>
        <v>M2-079(3)</v>
      </c>
      <c r="D35" s="1113">
        <f>VLOOKUP(C35,'맨홀 평균 높이'!$J$4:$L$588,3,0)</f>
        <v>2.63</v>
      </c>
      <c r="E35" s="1114">
        <f t="shared" si="2"/>
        <v>2.52</v>
      </c>
      <c r="F35" s="1115"/>
      <c r="G35" s="1115"/>
      <c r="H35" s="1115"/>
      <c r="I35" s="1115"/>
      <c r="J35" s="1115"/>
      <c r="K35" s="1115"/>
      <c r="L35" s="1115"/>
      <c r="M35" s="1115"/>
      <c r="N35" s="1115"/>
      <c r="O35" s="1115"/>
      <c r="P35" s="1115"/>
      <c r="Q35" s="1115"/>
      <c r="R35" s="1116">
        <f t="shared" si="3"/>
        <v>6.999999999999984E-2</v>
      </c>
      <c r="S35" s="1117">
        <f t="shared" si="4"/>
        <v>0</v>
      </c>
      <c r="T35" s="1117">
        <f t="shared" si="5"/>
        <v>0</v>
      </c>
      <c r="U35" s="1117">
        <f t="shared" si="6"/>
        <v>6</v>
      </c>
      <c r="V35" s="1117" t="str">
        <f t="shared" si="7"/>
        <v>0</v>
      </c>
      <c r="W35" s="1117"/>
      <c r="X35" s="1118">
        <v>2.4500000000000002</v>
      </c>
      <c r="Y35" s="752"/>
      <c r="Z35" s="753"/>
      <c r="AA35" s="753"/>
      <c r="AB35" s="758" t="s">
        <v>1272</v>
      </c>
      <c r="AC35" s="759" t="s">
        <v>1462</v>
      </c>
      <c r="AD35" s="753"/>
      <c r="AE35" s="753"/>
    </row>
    <row r="36" spans="1:31" ht="20.100000000000001" customHeight="1">
      <c r="A36" s="1112">
        <f t="shared" si="8"/>
        <v>31</v>
      </c>
      <c r="B36" s="1113" t="str">
        <f t="shared" si="0"/>
        <v>소(국)2-어천6</v>
      </c>
      <c r="C36" s="1113" t="str">
        <f t="shared" si="1"/>
        <v>M2-080</v>
      </c>
      <c r="D36" s="1113">
        <f>VLOOKUP(C36,'맨홀 평균 높이'!$J$4:$L$588,3,0)</f>
        <v>3.37</v>
      </c>
      <c r="E36" s="1114">
        <f t="shared" si="2"/>
        <v>3.2600000000000002</v>
      </c>
      <c r="F36" s="1115"/>
      <c r="G36" s="1115"/>
      <c r="H36" s="1115"/>
      <c r="I36" s="1115"/>
      <c r="J36" s="1115"/>
      <c r="K36" s="1115"/>
      <c r="L36" s="1115"/>
      <c r="M36" s="1115"/>
      <c r="N36" s="1115"/>
      <c r="O36" s="1115"/>
      <c r="P36" s="1115"/>
      <c r="Q36" s="1115"/>
      <c r="R36" s="1116">
        <f t="shared" si="3"/>
        <v>6.0000000000000053E-2</v>
      </c>
      <c r="S36" s="1117">
        <f t="shared" si="4"/>
        <v>0</v>
      </c>
      <c r="T36" s="1117">
        <f t="shared" si="5"/>
        <v>0</v>
      </c>
      <c r="U36" s="1117">
        <f t="shared" si="6"/>
        <v>9</v>
      </c>
      <c r="V36" s="1117" t="str">
        <f t="shared" si="7"/>
        <v>0</v>
      </c>
      <c r="W36" s="1117"/>
      <c r="X36" s="1118">
        <v>3.2</v>
      </c>
      <c r="Y36" s="752"/>
      <c r="Z36" s="753"/>
      <c r="AA36" s="753"/>
      <c r="AB36" s="758" t="s">
        <v>1272</v>
      </c>
      <c r="AC36" s="759" t="s">
        <v>1393</v>
      </c>
      <c r="AD36" s="753"/>
      <c r="AE36" s="753"/>
    </row>
    <row r="37" spans="1:31" ht="20.100000000000001" customHeight="1">
      <c r="A37" s="1112">
        <f t="shared" si="8"/>
        <v>32</v>
      </c>
      <c r="B37" s="1113" t="str">
        <f t="shared" si="0"/>
        <v>소(국)2-어천8</v>
      </c>
      <c r="C37" s="1113" t="str">
        <f t="shared" si="1"/>
        <v>M2-094</v>
      </c>
      <c r="D37" s="1113">
        <f>VLOOKUP(C37,'맨홀 평균 높이'!$J$4:$L$588,3,0)</f>
        <v>2.78</v>
      </c>
      <c r="E37" s="1114">
        <f t="shared" si="2"/>
        <v>2.67</v>
      </c>
      <c r="F37" s="1115"/>
      <c r="G37" s="1115"/>
      <c r="H37" s="1115"/>
      <c r="I37" s="1115"/>
      <c r="J37" s="1115"/>
      <c r="K37" s="1115"/>
      <c r="L37" s="1115"/>
      <c r="M37" s="1115"/>
      <c r="N37" s="1115"/>
      <c r="O37" s="1115"/>
      <c r="P37" s="1115"/>
      <c r="Q37" s="1115"/>
      <c r="R37" s="1116">
        <f t="shared" si="3"/>
        <v>2.0000000000000018E-2</v>
      </c>
      <c r="S37" s="1117">
        <f t="shared" si="4"/>
        <v>0</v>
      </c>
      <c r="T37" s="1117">
        <f t="shared" si="5"/>
        <v>0</v>
      </c>
      <c r="U37" s="1117">
        <f t="shared" si="6"/>
        <v>7</v>
      </c>
      <c r="V37" s="1117" t="str">
        <f t="shared" si="7"/>
        <v>0</v>
      </c>
      <c r="W37" s="1117"/>
      <c r="X37" s="1118">
        <v>2.65</v>
      </c>
      <c r="Y37" s="752"/>
      <c r="Z37" s="753"/>
      <c r="AA37" s="753"/>
      <c r="AB37" s="758" t="s">
        <v>1286</v>
      </c>
      <c r="AC37" s="759" t="s">
        <v>1389</v>
      </c>
      <c r="AD37" s="753"/>
      <c r="AE37" s="753"/>
    </row>
    <row r="38" spans="1:31" ht="20.100000000000001" customHeight="1">
      <c r="A38" s="1112">
        <f t="shared" si="8"/>
        <v>33</v>
      </c>
      <c r="B38" s="1113" t="str">
        <f t="shared" si="0"/>
        <v>소(국)2-어천10</v>
      </c>
      <c r="C38" s="1113" t="str">
        <f t="shared" si="1"/>
        <v>M2-097(1)</v>
      </c>
      <c r="D38" s="1113">
        <f>VLOOKUP(C38,'맨홀 평균 높이'!$J$4:$L$588,3,0)</f>
        <v>1.66</v>
      </c>
      <c r="E38" s="1114">
        <f t="shared" si="2"/>
        <v>1.5499999999999998</v>
      </c>
      <c r="F38" s="1115"/>
      <c r="G38" s="1115"/>
      <c r="H38" s="1115"/>
      <c r="I38" s="1115"/>
      <c r="J38" s="1115"/>
      <c r="K38" s="1115"/>
      <c r="L38" s="1115"/>
      <c r="M38" s="1115"/>
      <c r="N38" s="1115"/>
      <c r="O38" s="1115"/>
      <c r="P38" s="1115"/>
      <c r="Q38" s="1115"/>
      <c r="R38" s="1116">
        <f t="shared" si="3"/>
        <v>4.9999999999999822E-2</v>
      </c>
      <c r="S38" s="1117">
        <f t="shared" si="4"/>
        <v>0</v>
      </c>
      <c r="T38" s="1117">
        <f t="shared" si="5"/>
        <v>0</v>
      </c>
      <c r="U38" s="1117">
        <f t="shared" si="6"/>
        <v>3</v>
      </c>
      <c r="V38" s="1117" t="str">
        <f t="shared" si="7"/>
        <v>0</v>
      </c>
      <c r="W38" s="1117"/>
      <c r="X38" s="1118">
        <v>1.5</v>
      </c>
      <c r="Y38" s="752"/>
      <c r="Z38" s="753"/>
      <c r="AA38" s="753"/>
      <c r="AB38" s="758" t="s">
        <v>1287</v>
      </c>
      <c r="AC38" s="759" t="s">
        <v>1464</v>
      </c>
      <c r="AD38" s="753"/>
      <c r="AE38" s="753"/>
    </row>
    <row r="39" spans="1:31" ht="20.100000000000001" customHeight="1">
      <c r="A39" s="1112">
        <f t="shared" si="8"/>
        <v>34</v>
      </c>
      <c r="B39" s="1113" t="str">
        <f t="shared" si="0"/>
        <v>소(국)1-어천7</v>
      </c>
      <c r="C39" s="1113" t="str">
        <f t="shared" si="1"/>
        <v>M2-099</v>
      </c>
      <c r="D39" s="1113">
        <f>VLOOKUP(C39,'맨홀 평균 높이'!$J$4:$L$588,3,0)</f>
        <v>2.3199999999999998</v>
      </c>
      <c r="E39" s="1114">
        <f t="shared" si="2"/>
        <v>2.21</v>
      </c>
      <c r="F39" s="1115"/>
      <c r="G39" s="1115"/>
      <c r="H39" s="1115"/>
      <c r="I39" s="1115"/>
      <c r="J39" s="1115"/>
      <c r="K39" s="1115"/>
      <c r="L39" s="1115"/>
      <c r="M39" s="1115"/>
      <c r="N39" s="1115"/>
      <c r="O39" s="1115"/>
      <c r="P39" s="1115"/>
      <c r="Q39" s="1115"/>
      <c r="R39" s="1116">
        <f t="shared" si="3"/>
        <v>6.0000000000000053E-2</v>
      </c>
      <c r="S39" s="1117">
        <f t="shared" si="4"/>
        <v>0</v>
      </c>
      <c r="T39" s="1117">
        <f t="shared" si="5"/>
        <v>0</v>
      </c>
      <c r="U39" s="1117">
        <f t="shared" si="6"/>
        <v>5</v>
      </c>
      <c r="V39" s="1117" t="str">
        <f t="shared" si="7"/>
        <v>0</v>
      </c>
      <c r="W39" s="1117"/>
      <c r="X39" s="1118">
        <v>2.15</v>
      </c>
      <c r="Y39" s="752"/>
      <c r="Z39" s="753"/>
      <c r="AA39" s="753"/>
      <c r="AB39" s="758" t="s">
        <v>1289</v>
      </c>
      <c r="AC39" s="759" t="s">
        <v>1390</v>
      </c>
      <c r="AD39" s="753"/>
      <c r="AE39" s="753"/>
    </row>
    <row r="40" spans="1:31" ht="20.100000000000001" customHeight="1">
      <c r="A40" s="1112">
        <f t="shared" si="8"/>
        <v>35</v>
      </c>
      <c r="B40" s="1113" t="str">
        <f t="shared" si="0"/>
        <v>소(국)1-어천7</v>
      </c>
      <c r="C40" s="1113" t="str">
        <f t="shared" si="1"/>
        <v>M2-105(1)</v>
      </c>
      <c r="D40" s="1113">
        <f>VLOOKUP(C40,'맨홀 평균 높이'!$J$4:$L$588,3,0)</f>
        <v>1.46</v>
      </c>
      <c r="E40" s="1114">
        <f t="shared" si="2"/>
        <v>1.3499999999999999</v>
      </c>
      <c r="F40" s="1115"/>
      <c r="G40" s="1115"/>
      <c r="H40" s="1115"/>
      <c r="I40" s="1115"/>
      <c r="J40" s="1115"/>
      <c r="K40" s="1115"/>
      <c r="L40" s="1115"/>
      <c r="M40" s="1115"/>
      <c r="N40" s="1115"/>
      <c r="O40" s="1115"/>
      <c r="P40" s="1115"/>
      <c r="Q40" s="1115"/>
      <c r="R40" s="1116">
        <f t="shared" si="3"/>
        <v>4.9999999999999822E-2</v>
      </c>
      <c r="S40" s="1117">
        <f t="shared" si="4"/>
        <v>0</v>
      </c>
      <c r="T40" s="1117">
        <f t="shared" si="5"/>
        <v>0</v>
      </c>
      <c r="U40" s="1117">
        <f t="shared" si="6"/>
        <v>2</v>
      </c>
      <c r="V40" s="1117" t="str">
        <f t="shared" si="7"/>
        <v>0</v>
      </c>
      <c r="W40" s="1117"/>
      <c r="X40" s="1118">
        <v>1.3</v>
      </c>
      <c r="Y40" s="752"/>
      <c r="Z40" s="753"/>
      <c r="AA40" s="753"/>
      <c r="AB40" s="758" t="s">
        <v>1289</v>
      </c>
      <c r="AC40" s="759" t="s">
        <v>1467</v>
      </c>
      <c r="AD40" s="753"/>
      <c r="AE40" s="753"/>
    </row>
    <row r="41" spans="1:31" ht="20.100000000000001" customHeight="1">
      <c r="A41" s="1112">
        <f t="shared" si="8"/>
        <v>36</v>
      </c>
      <c r="B41" s="1113" t="str">
        <f t="shared" si="0"/>
        <v>소(국)1-어천8</v>
      </c>
      <c r="C41" s="1113" t="str">
        <f t="shared" si="1"/>
        <v>M2-106</v>
      </c>
      <c r="D41" s="1113">
        <f>VLOOKUP(C41,'맨홀 평균 높이'!$J$4:$L$588,3,0)</f>
        <v>1.67</v>
      </c>
      <c r="E41" s="1114">
        <f t="shared" si="2"/>
        <v>1.5599999999999998</v>
      </c>
      <c r="F41" s="1115"/>
      <c r="G41" s="1115"/>
      <c r="H41" s="1115"/>
      <c r="I41" s="1115"/>
      <c r="J41" s="1115"/>
      <c r="K41" s="1115"/>
      <c r="L41" s="1115"/>
      <c r="M41" s="1115"/>
      <c r="N41" s="1115"/>
      <c r="O41" s="1115"/>
      <c r="P41" s="1115"/>
      <c r="Q41" s="1115"/>
      <c r="R41" s="1116">
        <f t="shared" si="3"/>
        <v>5.9999999999999831E-2</v>
      </c>
      <c r="S41" s="1117">
        <f t="shared" si="4"/>
        <v>0</v>
      </c>
      <c r="T41" s="1117">
        <f t="shared" si="5"/>
        <v>0</v>
      </c>
      <c r="U41" s="1117">
        <f t="shared" si="6"/>
        <v>3</v>
      </c>
      <c r="V41" s="1117" t="str">
        <f t="shared" si="7"/>
        <v>0</v>
      </c>
      <c r="W41" s="1117"/>
      <c r="X41" s="1118">
        <v>1.5</v>
      </c>
      <c r="Y41" s="752"/>
      <c r="Z41" s="753"/>
      <c r="AA41" s="753"/>
      <c r="AB41" s="758" t="s">
        <v>1292</v>
      </c>
      <c r="AC41" s="759" t="s">
        <v>1391</v>
      </c>
      <c r="AD41" s="753"/>
      <c r="AE41" s="753"/>
    </row>
    <row r="42" spans="1:31" ht="20.100000000000001" customHeight="1">
      <c r="A42" s="1112">
        <f t="shared" si="8"/>
        <v>37</v>
      </c>
      <c r="B42" s="1113" t="str">
        <f t="shared" si="0"/>
        <v>소(국)1-어천7</v>
      </c>
      <c r="C42" s="1113" t="str">
        <f t="shared" si="1"/>
        <v>M2-107</v>
      </c>
      <c r="D42" s="1113">
        <f>VLOOKUP(C42,'맨홀 평균 높이'!$J$4:$L$588,3,0)</f>
        <v>2.52</v>
      </c>
      <c r="E42" s="1114">
        <f t="shared" si="2"/>
        <v>2.41</v>
      </c>
      <c r="F42" s="1115"/>
      <c r="G42" s="1115"/>
      <c r="H42" s="1115"/>
      <c r="I42" s="1115"/>
      <c r="J42" s="1115"/>
      <c r="K42" s="1115"/>
      <c r="L42" s="1115"/>
      <c r="M42" s="1115"/>
      <c r="N42" s="1115"/>
      <c r="O42" s="1115"/>
      <c r="P42" s="1115"/>
      <c r="Q42" s="1115"/>
      <c r="R42" s="1116">
        <f t="shared" si="3"/>
        <v>1.0000000000000231E-2</v>
      </c>
      <c r="S42" s="1117">
        <f t="shared" si="4"/>
        <v>0</v>
      </c>
      <c r="T42" s="1117">
        <f t="shared" si="5"/>
        <v>0</v>
      </c>
      <c r="U42" s="1117">
        <f t="shared" si="6"/>
        <v>6</v>
      </c>
      <c r="V42" s="1117" t="str">
        <f t="shared" si="7"/>
        <v>0</v>
      </c>
      <c r="W42" s="1117"/>
      <c r="X42" s="1118">
        <v>2.4</v>
      </c>
      <c r="Y42" s="752"/>
      <c r="Z42" s="753"/>
      <c r="AA42" s="753"/>
      <c r="AB42" s="758" t="s">
        <v>1289</v>
      </c>
      <c r="AC42" s="759" t="s">
        <v>1392</v>
      </c>
      <c r="AD42" s="753"/>
      <c r="AE42" s="753"/>
    </row>
    <row r="43" spans="1:31" ht="20.100000000000001" customHeight="1">
      <c r="A43" s="1112">
        <f t="shared" si="8"/>
        <v>38</v>
      </c>
      <c r="B43" s="1113" t="str">
        <f t="shared" si="0"/>
        <v>소(특)1 어천12</v>
      </c>
      <c r="C43" s="1113" t="str">
        <f t="shared" si="1"/>
        <v>M2-111(1)</v>
      </c>
      <c r="D43" s="1113">
        <f>VLOOKUP(C43,'맨홀 평균 높이'!$J$4:$L$588,3,0)</f>
        <v>1.44</v>
      </c>
      <c r="E43" s="1114">
        <f t="shared" si="2"/>
        <v>1.3299999999999998</v>
      </c>
      <c r="F43" s="1115"/>
      <c r="G43" s="1115"/>
      <c r="H43" s="1115"/>
      <c r="I43" s="1115"/>
      <c r="J43" s="1115"/>
      <c r="K43" s="1115"/>
      <c r="L43" s="1115"/>
      <c r="M43" s="1115"/>
      <c r="N43" s="1115"/>
      <c r="O43" s="1115"/>
      <c r="P43" s="1115"/>
      <c r="Q43" s="1115"/>
      <c r="R43" s="1116">
        <f t="shared" si="3"/>
        <v>2.9999999999999805E-2</v>
      </c>
      <c r="S43" s="1117">
        <f t="shared" si="4"/>
        <v>0</v>
      </c>
      <c r="T43" s="1117">
        <f t="shared" si="5"/>
        <v>0</v>
      </c>
      <c r="U43" s="1117">
        <f t="shared" si="6"/>
        <v>2</v>
      </c>
      <c r="V43" s="1117" t="str">
        <f t="shared" si="7"/>
        <v>0</v>
      </c>
      <c r="W43" s="1117"/>
      <c r="X43" s="1118">
        <v>1.3</v>
      </c>
      <c r="Y43" s="752"/>
      <c r="Z43" s="753"/>
      <c r="AA43" s="753"/>
      <c r="AB43" s="758" t="s">
        <v>1468</v>
      </c>
      <c r="AC43" s="759" t="s">
        <v>1394</v>
      </c>
      <c r="AD43" s="753"/>
      <c r="AE43" s="753"/>
    </row>
    <row r="44" spans="1:31" ht="20.100000000000001" customHeight="1">
      <c r="A44" s="1112">
        <f t="shared" si="8"/>
        <v>39</v>
      </c>
      <c r="B44" s="1113" t="str">
        <f t="shared" ref="B44:B45" si="16">AB44</f>
        <v>중(보)매송2-4</v>
      </c>
      <c r="C44" s="1113" t="str">
        <f t="shared" ref="C44:C45" si="17">AC44</f>
        <v>M2-113</v>
      </c>
      <c r="D44" s="1113">
        <f>VLOOKUP(C44,'맨홀 평균 높이'!$J$4:$L$588,3,0)</f>
        <v>1.54</v>
      </c>
      <c r="E44" s="1114">
        <f t="shared" si="2"/>
        <v>1.43</v>
      </c>
      <c r="F44" s="1115"/>
      <c r="G44" s="1115"/>
      <c r="H44" s="1115"/>
      <c r="I44" s="1115"/>
      <c r="J44" s="1115"/>
      <c r="K44" s="1115"/>
      <c r="L44" s="1115"/>
      <c r="M44" s="1115"/>
      <c r="N44" s="1115"/>
      <c r="O44" s="1115"/>
      <c r="P44" s="1115"/>
      <c r="Q44" s="1115"/>
      <c r="R44" s="1116">
        <f t="shared" ref="R44:R45" si="18">E44-X44</f>
        <v>3.0000000000000027E-2</v>
      </c>
      <c r="S44" s="1117">
        <f t="shared" ref="S44:S45" si="19">SUM(F44:L44)*4</f>
        <v>0</v>
      </c>
      <c r="T44" s="1117">
        <f t="shared" ref="T44:T45" si="20">SUM(F44:L44)*2</f>
        <v>0</v>
      </c>
      <c r="U44" s="1117">
        <f t="shared" ref="U44:U45" si="21">ROUND(((E44-R44)-0.6)/0.3,0)</f>
        <v>3</v>
      </c>
      <c r="V44" s="1117" t="str">
        <f t="shared" ref="V44:V45" si="22">IF(X44&gt;=4,ROUND(((E44-R44)-0.6)/4,0),"0")</f>
        <v>0</v>
      </c>
      <c r="W44" s="1117"/>
      <c r="X44" s="1118">
        <v>1.4</v>
      </c>
      <c r="Y44" s="752"/>
      <c r="Z44" s="753"/>
      <c r="AA44" s="753"/>
      <c r="AB44" s="1264" t="s">
        <v>1294</v>
      </c>
      <c r="AC44" s="1264" t="s">
        <v>1547</v>
      </c>
      <c r="AD44" s="753"/>
      <c r="AE44" s="753"/>
    </row>
    <row r="45" spans="1:31" ht="20.100000000000001" customHeight="1">
      <c r="A45" s="1112">
        <f t="shared" si="8"/>
        <v>40</v>
      </c>
      <c r="B45" s="1113" t="str">
        <f t="shared" si="16"/>
        <v>중(보)매송2-4</v>
      </c>
      <c r="C45" s="1113" t="str">
        <f t="shared" si="17"/>
        <v>M2-117</v>
      </c>
      <c r="D45" s="1113">
        <f>VLOOKUP(C45,'맨홀 평균 높이'!$J$4:$L$588,3,0)</f>
        <v>3.35</v>
      </c>
      <c r="E45" s="1114">
        <f t="shared" si="2"/>
        <v>3.24</v>
      </c>
      <c r="F45" s="1115"/>
      <c r="G45" s="1115"/>
      <c r="H45" s="1115"/>
      <c r="I45" s="1115"/>
      <c r="J45" s="1115"/>
      <c r="K45" s="1115"/>
      <c r="L45" s="1115"/>
      <c r="M45" s="1115"/>
      <c r="N45" s="1115"/>
      <c r="O45" s="1115"/>
      <c r="P45" s="1115"/>
      <c r="Q45" s="1115"/>
      <c r="R45" s="1116">
        <f t="shared" si="18"/>
        <v>9.0000000000000302E-2</v>
      </c>
      <c r="S45" s="1117">
        <f t="shared" si="19"/>
        <v>0</v>
      </c>
      <c r="T45" s="1117">
        <f t="shared" si="20"/>
        <v>0</v>
      </c>
      <c r="U45" s="1117">
        <f t="shared" si="21"/>
        <v>9</v>
      </c>
      <c r="V45" s="1117" t="str">
        <f t="shared" si="22"/>
        <v>0</v>
      </c>
      <c r="W45" s="1117"/>
      <c r="X45" s="1118">
        <v>3.15</v>
      </c>
      <c r="Y45" s="752"/>
      <c r="Z45" s="753"/>
      <c r="AA45" s="753"/>
      <c r="AB45" s="1264" t="s">
        <v>1294</v>
      </c>
      <c r="AC45" s="1264" t="s">
        <v>1548</v>
      </c>
      <c r="AD45" s="753"/>
      <c r="AE45" s="753"/>
    </row>
    <row r="46" spans="1:31" ht="20.100000000000001" customHeight="1">
      <c r="A46" s="1112">
        <f t="shared" si="8"/>
        <v>41</v>
      </c>
      <c r="B46" s="1113" t="str">
        <f t="shared" si="0"/>
        <v>중(국)3-어천6</v>
      </c>
      <c r="C46" s="1113" t="str">
        <f t="shared" si="1"/>
        <v>M2-139</v>
      </c>
      <c r="D46" s="1113">
        <f>VLOOKUP(C46,'맨홀 평균 높이'!$J$4:$L$588,3,0)</f>
        <v>3.71</v>
      </c>
      <c r="E46" s="1114">
        <f t="shared" si="2"/>
        <v>3.6</v>
      </c>
      <c r="F46" s="1115"/>
      <c r="G46" s="1115"/>
      <c r="H46" s="1115"/>
      <c r="I46" s="1115"/>
      <c r="J46" s="1115"/>
      <c r="K46" s="1115"/>
      <c r="L46" s="1115"/>
      <c r="M46" s="1115"/>
      <c r="N46" s="1115"/>
      <c r="O46" s="1115"/>
      <c r="P46" s="1115"/>
      <c r="Q46" s="1115"/>
      <c r="R46" s="1116">
        <f t="shared" si="3"/>
        <v>5.0000000000000266E-2</v>
      </c>
      <c r="S46" s="1117">
        <f t="shared" si="4"/>
        <v>0</v>
      </c>
      <c r="T46" s="1117">
        <f t="shared" si="5"/>
        <v>0</v>
      </c>
      <c r="U46" s="1117">
        <f t="shared" si="6"/>
        <v>10</v>
      </c>
      <c r="V46" s="1117" t="str">
        <f t="shared" si="7"/>
        <v>0</v>
      </c>
      <c r="W46" s="1117"/>
      <c r="X46" s="1118">
        <v>3.55</v>
      </c>
      <c r="Y46" s="752"/>
      <c r="Z46" s="753"/>
      <c r="AA46" s="753"/>
      <c r="AB46" s="758" t="s">
        <v>1299</v>
      </c>
      <c r="AC46" s="759" t="s">
        <v>1397</v>
      </c>
      <c r="AD46" s="753"/>
      <c r="AE46" s="753"/>
    </row>
    <row r="47" spans="1:31" ht="20.100000000000001" customHeight="1">
      <c r="A47" s="1112">
        <f t="shared" si="8"/>
        <v>42</v>
      </c>
      <c r="B47" s="1113" t="str">
        <f t="shared" si="0"/>
        <v>중(집)2-어천4</v>
      </c>
      <c r="C47" s="1113" t="str">
        <f t="shared" si="1"/>
        <v>M2-142</v>
      </c>
      <c r="D47" s="1113">
        <f>VLOOKUP(C47,'맨홀 평균 높이'!$J$4:$L$588,3,0)</f>
        <v>2.4700000000000002</v>
      </c>
      <c r="E47" s="1114">
        <f t="shared" si="2"/>
        <v>2.3600000000000003</v>
      </c>
      <c r="F47" s="1115"/>
      <c r="G47" s="1115"/>
      <c r="H47" s="1115"/>
      <c r="I47" s="1115"/>
      <c r="J47" s="1115"/>
      <c r="K47" s="1115"/>
      <c r="L47" s="1115"/>
      <c r="M47" s="1115"/>
      <c r="N47" s="1115"/>
      <c r="O47" s="1115"/>
      <c r="P47" s="1115"/>
      <c r="Q47" s="1115"/>
      <c r="R47" s="1116">
        <f t="shared" si="3"/>
        <v>6.0000000000000497E-2</v>
      </c>
      <c r="S47" s="1117">
        <f t="shared" si="4"/>
        <v>0</v>
      </c>
      <c r="T47" s="1117">
        <f t="shared" si="5"/>
        <v>0</v>
      </c>
      <c r="U47" s="1117">
        <f t="shared" si="6"/>
        <v>6</v>
      </c>
      <c r="V47" s="1117" t="str">
        <f t="shared" si="7"/>
        <v>0</v>
      </c>
      <c r="W47" s="1117"/>
      <c r="X47" s="1118">
        <v>2.2999999999999998</v>
      </c>
      <c r="Y47" s="752"/>
      <c r="Z47" s="753"/>
      <c r="AA47" s="753"/>
      <c r="AB47" s="907" t="s">
        <v>1511</v>
      </c>
      <c r="AC47" s="907" t="s">
        <v>1512</v>
      </c>
      <c r="AD47" s="753"/>
      <c r="AE47" s="753"/>
    </row>
    <row r="48" spans="1:31" ht="20.100000000000001" customHeight="1">
      <c r="A48" s="1112">
        <f t="shared" si="8"/>
        <v>43</v>
      </c>
      <c r="B48" s="1113" t="str">
        <f t="shared" si="0"/>
        <v>대(집)3-어천1</v>
      </c>
      <c r="C48" s="1113" t="str">
        <f t="shared" si="1"/>
        <v>M2-144</v>
      </c>
      <c r="D48" s="1113">
        <f>VLOOKUP(C48,'맨홀 평균 높이'!$J$4:$L$588,3,0)</f>
        <v>2</v>
      </c>
      <c r="E48" s="1114">
        <f t="shared" si="2"/>
        <v>1.89</v>
      </c>
      <c r="F48" s="1115"/>
      <c r="G48" s="1115"/>
      <c r="H48" s="1115"/>
      <c r="I48" s="1115"/>
      <c r="J48" s="1115"/>
      <c r="K48" s="1115"/>
      <c r="L48" s="1115"/>
      <c r="M48" s="1115"/>
      <c r="N48" s="1115"/>
      <c r="O48" s="1115"/>
      <c r="P48" s="1115"/>
      <c r="Q48" s="1115"/>
      <c r="R48" s="1116">
        <f t="shared" si="3"/>
        <v>9.000000000000008E-2</v>
      </c>
      <c r="S48" s="1117">
        <f t="shared" si="4"/>
        <v>0</v>
      </c>
      <c r="T48" s="1117">
        <f t="shared" si="5"/>
        <v>0</v>
      </c>
      <c r="U48" s="1117">
        <f t="shared" si="6"/>
        <v>4</v>
      </c>
      <c r="V48" s="1117" t="str">
        <f t="shared" si="7"/>
        <v>0</v>
      </c>
      <c r="W48" s="1117"/>
      <c r="X48" s="1118">
        <v>1.7999999999999998</v>
      </c>
      <c r="Y48" s="752"/>
      <c r="Z48" s="753"/>
      <c r="AA48" s="753"/>
      <c r="AB48" s="907" t="s">
        <v>1304</v>
      </c>
      <c r="AC48" s="907" t="s">
        <v>1521</v>
      </c>
      <c r="AD48" s="753"/>
      <c r="AE48" s="753"/>
    </row>
    <row r="49" spans="1:38" ht="19.5" customHeight="1">
      <c r="A49" s="1112">
        <f t="shared" si="8"/>
        <v>44</v>
      </c>
      <c r="B49" s="1113" t="str">
        <f t="shared" si="0"/>
        <v>대(집)3-어천1</v>
      </c>
      <c r="C49" s="1113" t="str">
        <f t="shared" si="1"/>
        <v>M2-147</v>
      </c>
      <c r="D49" s="1113">
        <f>VLOOKUP(C49,'맨홀 평균 높이'!$J$4:$L$588,3,0)</f>
        <v>2.4700000000000002</v>
      </c>
      <c r="E49" s="1114">
        <f t="shared" si="2"/>
        <v>2.3600000000000003</v>
      </c>
      <c r="F49" s="1115"/>
      <c r="G49" s="1115"/>
      <c r="H49" s="1115"/>
      <c r="I49" s="1115"/>
      <c r="J49" s="1115"/>
      <c r="K49" s="1115"/>
      <c r="L49" s="1115"/>
      <c r="M49" s="1115"/>
      <c r="N49" s="1115"/>
      <c r="O49" s="1115"/>
      <c r="P49" s="1115"/>
      <c r="Q49" s="1115"/>
      <c r="R49" s="1116">
        <f t="shared" si="3"/>
        <v>6.0000000000000497E-2</v>
      </c>
      <c r="S49" s="1117">
        <f t="shared" si="4"/>
        <v>0</v>
      </c>
      <c r="T49" s="1117">
        <f t="shared" si="5"/>
        <v>0</v>
      </c>
      <c r="U49" s="1117">
        <f t="shared" si="6"/>
        <v>6</v>
      </c>
      <c r="V49" s="1117" t="str">
        <f t="shared" si="7"/>
        <v>0</v>
      </c>
      <c r="W49" s="1117"/>
      <c r="X49" s="1118">
        <v>2.2999999999999998</v>
      </c>
      <c r="Y49" s="752"/>
      <c r="Z49" s="753"/>
      <c r="AA49" s="753"/>
      <c r="AB49" s="758" t="s">
        <v>1304</v>
      </c>
      <c r="AC49" s="759" t="s">
        <v>1398</v>
      </c>
      <c r="AD49" s="753"/>
      <c r="AE49" s="753"/>
    </row>
    <row r="50" spans="1:38" ht="19.5" customHeight="1">
      <c r="A50" s="1112">
        <f t="shared" si="8"/>
        <v>45</v>
      </c>
      <c r="B50" s="1113" t="str">
        <f t="shared" si="0"/>
        <v>중(국)3-어천4</v>
      </c>
      <c r="C50" s="1113" t="str">
        <f t="shared" si="1"/>
        <v>M2-149</v>
      </c>
      <c r="D50" s="1113">
        <f>VLOOKUP(C50,'맨홀 평균 높이'!$J$4:$L$588,3,0)</f>
        <v>6.45</v>
      </c>
      <c r="E50" s="1114">
        <f t="shared" si="2"/>
        <v>6.34</v>
      </c>
      <c r="F50" s="1115"/>
      <c r="G50" s="1115"/>
      <c r="H50" s="1115"/>
      <c r="I50" s="1115"/>
      <c r="J50" s="1115"/>
      <c r="K50" s="1115"/>
      <c r="L50" s="1115"/>
      <c r="M50" s="1115"/>
      <c r="N50" s="1115"/>
      <c r="O50" s="1115"/>
      <c r="P50" s="1115"/>
      <c r="Q50" s="1115"/>
      <c r="R50" s="1116">
        <f t="shared" si="3"/>
        <v>4.0000000000000036E-2</v>
      </c>
      <c r="S50" s="1117">
        <f t="shared" si="4"/>
        <v>0</v>
      </c>
      <c r="T50" s="1117">
        <f t="shared" si="5"/>
        <v>0</v>
      </c>
      <c r="U50" s="1117">
        <f t="shared" si="6"/>
        <v>19</v>
      </c>
      <c r="V50" s="1117">
        <f t="shared" si="7"/>
        <v>1</v>
      </c>
      <c r="W50" s="1117"/>
      <c r="X50" s="1118">
        <v>6.3</v>
      </c>
      <c r="Y50" s="752"/>
      <c r="Z50" s="753"/>
      <c r="AA50" s="753"/>
      <c r="AB50" s="907" t="s">
        <v>1295</v>
      </c>
      <c r="AC50" s="907" t="s">
        <v>1527</v>
      </c>
      <c r="AD50" s="753"/>
      <c r="AE50" s="753"/>
    </row>
    <row r="51" spans="1:38" s="748" customFormat="1" ht="20.100000000000001" customHeight="1">
      <c r="A51" s="1404" t="s">
        <v>351</v>
      </c>
      <c r="B51" s="1405"/>
      <c r="C51" s="787">
        <f>COUNTA(C6:C50)</f>
        <v>45</v>
      </c>
      <c r="D51" s="788">
        <f>SUM(D6:D50)</f>
        <v>138.26999999999995</v>
      </c>
      <c r="E51" s="788"/>
      <c r="F51" s="789">
        <f t="shared" ref="F51:Q51" si="23">SUM(F6:F50)</f>
        <v>0</v>
      </c>
      <c r="G51" s="789">
        <f t="shared" si="23"/>
        <v>0</v>
      </c>
      <c r="H51" s="789">
        <f t="shared" si="23"/>
        <v>0</v>
      </c>
      <c r="I51" s="789">
        <f t="shared" si="23"/>
        <v>0</v>
      </c>
      <c r="J51" s="789">
        <f t="shared" si="23"/>
        <v>0</v>
      </c>
      <c r="K51" s="789">
        <f t="shared" si="23"/>
        <v>0</v>
      </c>
      <c r="L51" s="789">
        <f t="shared" si="23"/>
        <v>0</v>
      </c>
      <c r="M51" s="789">
        <f t="shared" si="23"/>
        <v>0</v>
      </c>
      <c r="N51" s="789">
        <f t="shared" si="23"/>
        <v>0</v>
      </c>
      <c r="O51" s="789">
        <f t="shared" si="23"/>
        <v>0</v>
      </c>
      <c r="P51" s="789">
        <f t="shared" si="23"/>
        <v>0</v>
      </c>
      <c r="Q51" s="789">
        <f t="shared" si="23"/>
        <v>0</v>
      </c>
      <c r="R51" s="788">
        <f>SUM(R6:R50)/C51</f>
        <v>4.3777777777777714E-2</v>
      </c>
      <c r="S51" s="790">
        <f>SUM(S6:S50)</f>
        <v>0</v>
      </c>
      <c r="T51" s="790">
        <f>SUM(T6:T50)</f>
        <v>0</v>
      </c>
      <c r="U51" s="790">
        <f>SUM(U6:U50)</f>
        <v>349</v>
      </c>
      <c r="V51" s="790">
        <f>SUM(V6:V50)</f>
        <v>12</v>
      </c>
      <c r="W51" s="791"/>
      <c r="X51" s="751"/>
    </row>
    <row r="52" spans="1:38" s="748" customFormat="1" ht="20.100000000000001" customHeight="1">
      <c r="A52" s="796"/>
      <c r="B52" s="796"/>
      <c r="C52" s="1406" t="s">
        <v>352</v>
      </c>
      <c r="D52" s="1407"/>
      <c r="E52" s="784">
        <f>D51/C51</f>
        <v>3.0726666666666658</v>
      </c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6"/>
      <c r="T52" s="786"/>
      <c r="U52" s="786"/>
      <c r="V52" s="786"/>
      <c r="W52" s="786"/>
      <c r="Z52" s="747"/>
      <c r="AA52" s="747"/>
      <c r="AD52" s="747"/>
      <c r="AE52" s="747"/>
      <c r="AF52" s="747"/>
    </row>
    <row r="53" spans="1:38" ht="20.100000000000001" customHeight="1">
      <c r="A53" s="754"/>
      <c r="B53" s="754"/>
      <c r="C53" s="754"/>
      <c r="D53" s="755"/>
      <c r="E53" s="755"/>
      <c r="F53" s="754"/>
      <c r="G53" s="754"/>
      <c r="H53" s="754"/>
      <c r="I53" s="754"/>
      <c r="J53" s="754"/>
      <c r="K53" s="754"/>
      <c r="L53" s="754"/>
      <c r="M53" s="754"/>
      <c r="N53" s="754"/>
      <c r="O53" s="754"/>
      <c r="P53" s="754"/>
      <c r="Q53" s="754"/>
      <c r="R53" s="754"/>
      <c r="S53" s="754"/>
      <c r="T53" s="754"/>
      <c r="U53" s="754"/>
      <c r="V53" s="754"/>
      <c r="W53" s="754"/>
      <c r="Z53" s="748"/>
      <c r="AA53" s="748"/>
      <c r="AB53" s="748"/>
      <c r="AC53" s="748"/>
      <c r="AD53" s="748"/>
      <c r="AE53" s="748"/>
      <c r="AF53" s="748"/>
      <c r="AG53" s="748"/>
      <c r="AH53" s="748"/>
      <c r="AI53" s="748"/>
    </row>
    <row r="54" spans="1:38" ht="20.100000000000001" customHeight="1">
      <c r="A54" s="754"/>
      <c r="B54" s="754"/>
      <c r="C54" s="754"/>
      <c r="D54" s="755"/>
      <c r="E54" s="755"/>
      <c r="F54" s="754"/>
      <c r="G54" s="756"/>
      <c r="H54" s="756">
        <f>SUM(F51:H51)</f>
        <v>0</v>
      </c>
      <c r="I54" s="754"/>
      <c r="J54" s="754"/>
      <c r="K54" s="754"/>
      <c r="L54" s="754"/>
      <c r="M54" s="754"/>
      <c r="N54" s="754"/>
      <c r="O54" s="756"/>
      <c r="P54" s="754"/>
      <c r="Q54" s="756">
        <f>SUM(M51:Q51)</f>
        <v>0</v>
      </c>
      <c r="R54" s="754"/>
      <c r="S54" s="756"/>
      <c r="U54" s="754"/>
      <c r="V54" s="754"/>
      <c r="W54" s="754"/>
      <c r="X54" s="754"/>
      <c r="Y54" s="754"/>
      <c r="Z54" s="754"/>
      <c r="AJ54" s="748"/>
      <c r="AK54" s="748"/>
      <c r="AL54" s="748"/>
    </row>
    <row r="55" spans="1:38" ht="20.100000000000001" customHeight="1">
      <c r="A55" s="754"/>
      <c r="B55" s="754"/>
      <c r="C55" s="754"/>
      <c r="D55" s="755"/>
      <c r="E55" s="755"/>
      <c r="F55" s="754"/>
      <c r="G55" s="756"/>
      <c r="H55" s="756"/>
      <c r="I55" s="754"/>
      <c r="J55" s="754"/>
      <c r="K55" s="754"/>
      <c r="L55" s="754"/>
      <c r="M55" s="754"/>
      <c r="N55" s="754"/>
      <c r="O55" s="756"/>
      <c r="P55" s="754"/>
      <c r="Q55" s="754"/>
      <c r="R55" s="754"/>
      <c r="S55" s="756"/>
      <c r="T55" s="756"/>
      <c r="U55" s="754"/>
      <c r="V55" s="754"/>
      <c r="W55" s="754"/>
      <c r="X55" s="754"/>
      <c r="Y55" s="754"/>
      <c r="Z55" s="754"/>
      <c r="AJ55" s="748"/>
      <c r="AK55" s="748"/>
      <c r="AL55" s="748"/>
    </row>
    <row r="56" spans="1:38" ht="20.100000000000001" customHeight="1">
      <c r="A56" s="754"/>
      <c r="B56" s="754"/>
      <c r="C56" s="754"/>
      <c r="D56" s="755"/>
      <c r="E56" s="755"/>
      <c r="F56" s="754"/>
      <c r="G56" s="754"/>
      <c r="H56" s="754"/>
      <c r="I56" s="754"/>
      <c r="J56" s="754"/>
      <c r="K56" s="754"/>
      <c r="L56" s="754"/>
      <c r="M56" s="754"/>
      <c r="N56" s="754"/>
      <c r="O56" s="754"/>
      <c r="P56" s="754"/>
      <c r="Q56" s="754"/>
      <c r="R56" s="754"/>
      <c r="S56" s="754"/>
      <c r="T56" s="754"/>
      <c r="U56" s="754"/>
      <c r="V56" s="754"/>
      <c r="W56" s="754"/>
    </row>
    <row r="57" spans="1:38" ht="20.100000000000001" customHeight="1">
      <c r="A57" s="754"/>
      <c r="B57" s="754"/>
      <c r="C57" s="754"/>
      <c r="D57" s="755"/>
      <c r="E57" s="755"/>
      <c r="F57" s="754"/>
      <c r="G57" s="754"/>
      <c r="H57" s="754"/>
      <c r="I57" s="754"/>
      <c r="J57" s="754"/>
      <c r="K57" s="754"/>
      <c r="L57" s="754"/>
      <c r="M57" s="754"/>
      <c r="N57" s="754"/>
      <c r="O57" s="754"/>
      <c r="P57" s="754"/>
      <c r="Q57" s="754"/>
      <c r="R57" s="754"/>
      <c r="S57" s="754"/>
      <c r="T57" s="754"/>
      <c r="U57" s="754"/>
      <c r="V57" s="754"/>
      <c r="W57" s="754"/>
    </row>
    <row r="58" spans="1:38" ht="20.100000000000001" customHeight="1">
      <c r="A58" s="754"/>
      <c r="B58" s="754"/>
      <c r="C58" s="754"/>
      <c r="D58" s="755"/>
      <c r="E58" s="755"/>
      <c r="F58" s="754"/>
      <c r="G58" s="754"/>
      <c r="H58" s="754"/>
      <c r="I58" s="754"/>
      <c r="J58" s="754"/>
      <c r="K58" s="754"/>
      <c r="L58" s="754"/>
      <c r="M58" s="754"/>
      <c r="N58" s="754"/>
      <c r="O58" s="754"/>
      <c r="P58" s="754"/>
      <c r="Q58" s="754"/>
      <c r="R58" s="754"/>
      <c r="S58" s="754"/>
      <c r="T58" s="754"/>
      <c r="U58" s="754"/>
      <c r="V58" s="754"/>
      <c r="W58" s="754"/>
    </row>
    <row r="59" spans="1:38" ht="20.100000000000001" customHeight="1">
      <c r="A59" s="754"/>
      <c r="B59" s="754"/>
      <c r="C59" s="754"/>
      <c r="D59" s="755"/>
      <c r="E59" s="755"/>
      <c r="F59" s="754"/>
      <c r="G59" s="754"/>
      <c r="H59" s="754"/>
      <c r="I59" s="754"/>
      <c r="J59" s="754"/>
      <c r="K59" s="754"/>
      <c r="L59" s="754"/>
      <c r="M59" s="754"/>
      <c r="N59" s="754"/>
      <c r="O59" s="754"/>
      <c r="P59" s="754"/>
      <c r="Q59" s="754"/>
      <c r="R59" s="754"/>
      <c r="S59" s="754"/>
      <c r="T59" s="754"/>
      <c r="U59" s="754"/>
      <c r="V59" s="754"/>
      <c r="W59" s="754"/>
    </row>
    <row r="60" spans="1:38" ht="20.100000000000001" customHeight="1">
      <c r="A60" s="754"/>
      <c r="B60" s="754"/>
      <c r="C60" s="754"/>
      <c r="D60" s="755"/>
      <c r="E60" s="755"/>
      <c r="F60" s="754"/>
      <c r="G60" s="754"/>
      <c r="H60" s="754"/>
      <c r="I60" s="754"/>
      <c r="J60" s="754"/>
      <c r="K60" s="754"/>
      <c r="L60" s="754"/>
      <c r="M60" s="754"/>
      <c r="N60" s="754"/>
      <c r="O60" s="754"/>
      <c r="P60" s="754"/>
      <c r="Q60" s="754"/>
      <c r="R60" s="754"/>
      <c r="S60" s="754"/>
      <c r="T60" s="754"/>
      <c r="U60" s="754"/>
      <c r="V60" s="754"/>
      <c r="W60" s="754"/>
    </row>
    <row r="61" spans="1:38" ht="20.100000000000001" customHeight="1">
      <c r="A61" s="754"/>
      <c r="B61" s="754"/>
      <c r="C61" s="754"/>
      <c r="D61" s="755"/>
      <c r="E61" s="755"/>
      <c r="F61" s="754"/>
      <c r="G61" s="754"/>
      <c r="H61" s="754"/>
      <c r="I61" s="754"/>
      <c r="J61" s="754"/>
      <c r="K61" s="754"/>
      <c r="L61" s="754"/>
      <c r="M61" s="754"/>
      <c r="N61" s="754"/>
      <c r="O61" s="754"/>
      <c r="P61" s="754"/>
      <c r="Q61" s="754"/>
      <c r="R61" s="754"/>
      <c r="S61" s="754"/>
      <c r="T61" s="754"/>
      <c r="U61" s="754"/>
      <c r="V61" s="754"/>
      <c r="W61" s="754"/>
    </row>
    <row r="62" spans="1:38" ht="20.100000000000001" customHeight="1">
      <c r="A62" s="754"/>
      <c r="B62" s="754"/>
      <c r="C62" s="754"/>
      <c r="D62" s="755"/>
      <c r="E62" s="755"/>
      <c r="F62" s="754"/>
      <c r="G62" s="754"/>
      <c r="H62" s="754"/>
      <c r="I62" s="754"/>
      <c r="J62" s="754"/>
      <c r="K62" s="754"/>
      <c r="L62" s="754"/>
      <c r="M62" s="754"/>
      <c r="N62" s="754"/>
      <c r="O62" s="754"/>
      <c r="P62" s="754"/>
      <c r="Q62" s="754"/>
      <c r="R62" s="754"/>
      <c r="S62" s="754"/>
      <c r="T62" s="754"/>
      <c r="U62" s="754"/>
      <c r="V62" s="754"/>
      <c r="W62" s="754"/>
    </row>
    <row r="63" spans="1:38" ht="20.100000000000001" customHeight="1">
      <c r="A63" s="754"/>
      <c r="B63" s="754"/>
      <c r="C63" s="754"/>
      <c r="D63" s="755"/>
      <c r="E63" s="755"/>
      <c r="F63" s="754"/>
      <c r="G63" s="754"/>
      <c r="H63" s="754"/>
      <c r="I63" s="754"/>
      <c r="J63" s="754"/>
      <c r="K63" s="754"/>
      <c r="L63" s="754"/>
      <c r="M63" s="754"/>
      <c r="N63" s="754"/>
      <c r="O63" s="754"/>
      <c r="P63" s="754"/>
      <c r="Q63" s="754"/>
      <c r="R63" s="754"/>
      <c r="S63" s="754"/>
      <c r="T63" s="754"/>
      <c r="U63" s="754"/>
      <c r="V63" s="754"/>
      <c r="W63" s="754"/>
    </row>
    <row r="64" spans="1:38" ht="20.100000000000001" customHeight="1">
      <c r="A64" s="754"/>
      <c r="B64" s="754"/>
      <c r="C64" s="754"/>
      <c r="D64" s="755"/>
      <c r="E64" s="755"/>
      <c r="F64" s="754"/>
      <c r="G64" s="754"/>
      <c r="H64" s="754"/>
      <c r="I64" s="754"/>
      <c r="J64" s="754"/>
      <c r="K64" s="754"/>
      <c r="L64" s="754"/>
      <c r="M64" s="754"/>
      <c r="N64" s="754"/>
      <c r="O64" s="754"/>
      <c r="P64" s="754"/>
      <c r="Q64" s="754"/>
      <c r="R64" s="754"/>
      <c r="S64" s="754"/>
      <c r="T64" s="754"/>
      <c r="U64" s="754"/>
      <c r="V64" s="754"/>
      <c r="W64" s="754"/>
    </row>
    <row r="65" spans="1:23" ht="20.100000000000001" customHeight="1">
      <c r="A65" s="754"/>
      <c r="B65" s="754"/>
      <c r="C65" s="754"/>
      <c r="D65" s="755"/>
      <c r="E65" s="755"/>
      <c r="F65" s="754"/>
      <c r="G65" s="754"/>
      <c r="H65" s="754"/>
      <c r="I65" s="754"/>
      <c r="J65" s="754"/>
      <c r="K65" s="754"/>
      <c r="L65" s="754"/>
      <c r="M65" s="754"/>
      <c r="N65" s="754"/>
      <c r="O65" s="754"/>
      <c r="P65" s="754"/>
      <c r="Q65" s="754"/>
      <c r="R65" s="754"/>
      <c r="S65" s="754"/>
      <c r="T65" s="754"/>
      <c r="U65" s="754"/>
      <c r="V65" s="754"/>
      <c r="W65" s="754"/>
    </row>
    <row r="66" spans="1:23" ht="20.100000000000001" customHeight="1">
      <c r="A66" s="754"/>
      <c r="B66" s="754"/>
      <c r="C66" s="754"/>
      <c r="D66" s="755"/>
      <c r="E66" s="755"/>
      <c r="F66" s="754"/>
      <c r="G66" s="754"/>
      <c r="H66" s="754"/>
      <c r="I66" s="754"/>
      <c r="J66" s="754"/>
      <c r="K66" s="754"/>
      <c r="L66" s="754"/>
      <c r="M66" s="754"/>
      <c r="N66" s="754"/>
      <c r="O66" s="754"/>
      <c r="P66" s="754"/>
      <c r="Q66" s="754"/>
      <c r="R66" s="754"/>
      <c r="S66" s="754"/>
      <c r="T66" s="754"/>
      <c r="U66" s="754"/>
      <c r="V66" s="754"/>
      <c r="W66" s="754"/>
    </row>
    <row r="67" spans="1:23" ht="20.100000000000001" customHeight="1">
      <c r="A67" s="754"/>
      <c r="B67" s="754"/>
      <c r="C67" s="754"/>
      <c r="D67" s="755"/>
      <c r="E67" s="755"/>
      <c r="F67" s="754"/>
      <c r="G67" s="754"/>
      <c r="H67" s="754"/>
      <c r="I67" s="754"/>
      <c r="J67" s="754"/>
      <c r="K67" s="754"/>
      <c r="L67" s="754"/>
      <c r="M67" s="754"/>
      <c r="N67" s="754"/>
      <c r="O67" s="754"/>
      <c r="P67" s="754"/>
      <c r="Q67" s="754"/>
      <c r="R67" s="754"/>
      <c r="S67" s="754"/>
      <c r="T67" s="754"/>
      <c r="U67" s="754"/>
      <c r="V67" s="754"/>
      <c r="W67" s="754"/>
    </row>
    <row r="68" spans="1:23" ht="20.100000000000001" customHeight="1">
      <c r="A68" s="754"/>
      <c r="B68" s="754"/>
      <c r="D68" s="755"/>
      <c r="E68" s="755"/>
      <c r="F68" s="754"/>
      <c r="G68" s="754"/>
      <c r="H68" s="754"/>
      <c r="I68" s="754"/>
      <c r="J68" s="754"/>
      <c r="K68" s="754"/>
      <c r="L68" s="754"/>
      <c r="M68" s="754"/>
      <c r="N68" s="754"/>
      <c r="O68" s="754"/>
      <c r="P68" s="754"/>
      <c r="Q68" s="754"/>
      <c r="R68" s="754"/>
      <c r="S68" s="754"/>
      <c r="T68" s="754"/>
      <c r="U68" s="754"/>
      <c r="V68" s="754"/>
      <c r="W68" s="754"/>
    </row>
    <row r="69" spans="1:23" ht="20.100000000000001" customHeight="1">
      <c r="A69" s="747"/>
      <c r="B69" s="747"/>
    </row>
    <row r="70" spans="1:23" ht="20.100000000000001" customHeight="1">
      <c r="A70" s="747"/>
      <c r="B70" s="747"/>
    </row>
    <row r="71" spans="1:23" ht="20.100000000000001" customHeight="1">
      <c r="A71" s="747"/>
      <c r="B71" s="747"/>
    </row>
    <row r="72" spans="1:23" ht="20.100000000000001" customHeight="1">
      <c r="A72" s="747"/>
      <c r="B72" s="747"/>
    </row>
    <row r="73" spans="1:23" ht="20.100000000000001" customHeight="1">
      <c r="A73" s="747"/>
      <c r="B73" s="747"/>
    </row>
    <row r="74" spans="1:23" ht="20.100000000000001" customHeight="1">
      <c r="A74" s="747"/>
      <c r="B74" s="747"/>
    </row>
    <row r="75" spans="1:23" ht="20.100000000000001" customHeight="1">
      <c r="A75" s="747"/>
      <c r="B75" s="747"/>
    </row>
    <row r="76" spans="1:23" ht="20.100000000000001" customHeight="1">
      <c r="A76" s="747"/>
      <c r="B76" s="747"/>
    </row>
    <row r="77" spans="1:23" ht="20.100000000000001" customHeight="1">
      <c r="A77" s="747"/>
      <c r="B77" s="747"/>
    </row>
    <row r="78" spans="1:23" ht="20.100000000000001" customHeight="1">
      <c r="A78" s="747"/>
      <c r="B78" s="747"/>
    </row>
    <row r="79" spans="1:23" ht="20.100000000000001" customHeight="1">
      <c r="A79" s="747"/>
      <c r="B79" s="747"/>
    </row>
    <row r="80" spans="1:23" ht="20.100000000000001" customHeight="1">
      <c r="A80" s="747"/>
      <c r="B80" s="747"/>
    </row>
    <row r="81" spans="1:29" ht="20.100000000000001" customHeight="1">
      <c r="A81" s="747"/>
      <c r="B81" s="747"/>
    </row>
    <row r="82" spans="1:29" ht="20.100000000000001" customHeight="1">
      <c r="A82" s="747"/>
      <c r="B82" s="747"/>
    </row>
    <row r="83" spans="1:29" ht="20.100000000000001" customHeight="1">
      <c r="A83" s="747"/>
      <c r="B83" s="747"/>
    </row>
    <row r="84" spans="1:29" ht="20.100000000000001" customHeight="1">
      <c r="A84" s="747"/>
      <c r="B84" s="747"/>
    </row>
    <row r="85" spans="1:29" ht="20.100000000000001" customHeight="1">
      <c r="A85" s="747"/>
      <c r="B85" s="747"/>
    </row>
    <row r="86" spans="1:29" ht="20.100000000000001" customHeight="1">
      <c r="A86" s="747"/>
      <c r="B86" s="747"/>
    </row>
    <row r="87" spans="1:29" ht="20.100000000000001" customHeight="1">
      <c r="A87" s="747"/>
      <c r="B87" s="747"/>
    </row>
    <row r="88" spans="1:29" ht="20.100000000000001" customHeight="1">
      <c r="A88" s="747"/>
      <c r="B88" s="747"/>
    </row>
    <row r="89" spans="1:29" ht="20.100000000000001" customHeight="1">
      <c r="A89" s="747"/>
      <c r="B89" s="747"/>
    </row>
    <row r="90" spans="1:29" ht="20.100000000000001" customHeight="1">
      <c r="A90" s="747"/>
      <c r="B90" s="747"/>
    </row>
    <row r="91" spans="1:29" ht="20.100000000000001" customHeight="1">
      <c r="A91" s="747"/>
      <c r="B91" s="747"/>
      <c r="AB91" s="748"/>
      <c r="AC91" s="748"/>
    </row>
    <row r="92" spans="1:29" ht="20.100000000000001" customHeight="1">
      <c r="A92" s="747"/>
      <c r="B92" s="747"/>
      <c r="AB92" s="748"/>
      <c r="AC92" s="748"/>
    </row>
    <row r="93" spans="1:29" ht="20.100000000000001" customHeight="1">
      <c r="A93" s="747"/>
      <c r="B93" s="747"/>
      <c r="AB93" s="748"/>
      <c r="AC93" s="748"/>
    </row>
    <row r="94" spans="1:29" ht="20.100000000000001" customHeight="1">
      <c r="A94" s="747"/>
      <c r="B94" s="747"/>
    </row>
    <row r="95" spans="1:29" ht="20.100000000000001" customHeight="1">
      <c r="A95" s="747"/>
      <c r="B95" s="747"/>
    </row>
    <row r="96" spans="1:29" ht="20.100000000000001" customHeight="1">
      <c r="A96" s="747"/>
      <c r="B96" s="747"/>
    </row>
    <row r="97" spans="1:35" ht="20.100000000000001" customHeight="1">
      <c r="A97" s="747"/>
      <c r="B97" s="747"/>
    </row>
    <row r="98" spans="1:35" ht="20.100000000000001" customHeight="1">
      <c r="A98" s="747"/>
      <c r="B98" s="747"/>
    </row>
    <row r="99" spans="1:35" ht="20.100000000000001" customHeight="1">
      <c r="A99" s="747"/>
      <c r="B99" s="747"/>
    </row>
    <row r="100" spans="1:35" ht="20.100000000000001" customHeight="1">
      <c r="A100" s="747"/>
      <c r="B100" s="747"/>
    </row>
    <row r="101" spans="1:35" ht="20.100000000000001" customHeight="1">
      <c r="A101" s="747"/>
      <c r="B101" s="747"/>
    </row>
    <row r="102" spans="1:35" ht="20.100000000000001" customHeight="1">
      <c r="A102" s="747"/>
      <c r="B102" s="747"/>
    </row>
    <row r="103" spans="1:35" ht="20.100000000000001" customHeight="1">
      <c r="A103" s="747"/>
      <c r="B103" s="747"/>
      <c r="AB103" s="748"/>
      <c r="AC103" s="748"/>
      <c r="AG103" s="748"/>
      <c r="AH103" s="748"/>
      <c r="AI103" s="748"/>
    </row>
    <row r="104" spans="1:35" ht="20.100000000000001" customHeight="1">
      <c r="A104" s="747"/>
      <c r="B104" s="747"/>
      <c r="AB104" s="748"/>
      <c r="AC104" s="748"/>
      <c r="AG104" s="748"/>
      <c r="AH104" s="748"/>
      <c r="AI104" s="748"/>
    </row>
    <row r="105" spans="1:35" ht="20.100000000000001" customHeight="1">
      <c r="A105" s="747"/>
      <c r="B105" s="747"/>
    </row>
    <row r="106" spans="1:35" ht="20.100000000000001" customHeight="1">
      <c r="A106" s="747"/>
      <c r="B106" s="747"/>
    </row>
    <row r="107" spans="1:35" ht="20.100000000000001" customHeight="1">
      <c r="A107" s="747"/>
      <c r="B107" s="747"/>
    </row>
    <row r="108" spans="1:35" ht="20.100000000000001" customHeight="1">
      <c r="A108" s="747"/>
      <c r="B108" s="747"/>
    </row>
    <row r="109" spans="1:35" ht="20.100000000000001" customHeight="1">
      <c r="A109" s="747"/>
      <c r="B109" s="747"/>
    </row>
    <row r="110" spans="1:35" ht="20.100000000000001" customHeight="1">
      <c r="A110" s="747"/>
      <c r="B110" s="747"/>
    </row>
    <row r="111" spans="1:35" ht="20.100000000000001" customHeight="1">
      <c r="A111" s="747"/>
      <c r="B111" s="747"/>
    </row>
    <row r="112" spans="1:35" ht="20.100000000000001" customHeight="1">
      <c r="A112" s="747"/>
      <c r="B112" s="747"/>
    </row>
    <row r="113" spans="1:2" ht="20.100000000000001" customHeight="1">
      <c r="A113" s="747"/>
      <c r="B113" s="747"/>
    </row>
    <row r="114" spans="1:2" ht="20.100000000000001" customHeight="1">
      <c r="A114" s="747"/>
      <c r="B114" s="747"/>
    </row>
    <row r="115" spans="1:2" ht="20.100000000000001" customHeight="1">
      <c r="A115" s="747"/>
      <c r="B115" s="747"/>
    </row>
    <row r="116" spans="1:2" ht="20.100000000000001" customHeight="1">
      <c r="A116" s="747"/>
      <c r="B116" s="747"/>
    </row>
    <row r="117" spans="1:2" ht="20.100000000000001" customHeight="1">
      <c r="A117" s="747"/>
      <c r="B117" s="747"/>
    </row>
    <row r="118" spans="1:2" ht="20.100000000000001" customHeight="1">
      <c r="A118" s="747"/>
      <c r="B118" s="747"/>
    </row>
    <row r="119" spans="1:2" ht="20.100000000000001" customHeight="1">
      <c r="A119" s="747"/>
      <c r="B119" s="747"/>
    </row>
    <row r="120" spans="1:2" ht="20.100000000000001" customHeight="1">
      <c r="A120" s="747"/>
      <c r="B120" s="747"/>
    </row>
    <row r="121" spans="1:2" ht="20.100000000000001" customHeight="1">
      <c r="A121" s="747"/>
      <c r="B121" s="747"/>
    </row>
    <row r="122" spans="1:2" ht="20.100000000000001" customHeight="1">
      <c r="A122" s="747"/>
      <c r="B122" s="747"/>
    </row>
    <row r="123" spans="1:2" ht="20.100000000000001" customHeight="1">
      <c r="A123" s="747"/>
      <c r="B123" s="747"/>
    </row>
    <row r="124" spans="1:2" ht="20.100000000000001" customHeight="1">
      <c r="A124" s="747"/>
      <c r="B124" s="747"/>
    </row>
    <row r="125" spans="1:2" ht="20.100000000000001" customHeight="1">
      <c r="A125" s="747"/>
      <c r="B125" s="747"/>
    </row>
    <row r="126" spans="1:2" ht="20.100000000000001" customHeight="1">
      <c r="A126" s="747"/>
      <c r="B126" s="747"/>
    </row>
    <row r="127" spans="1:2" ht="20.100000000000001" customHeight="1">
      <c r="A127" s="747"/>
      <c r="B127" s="747"/>
    </row>
    <row r="128" spans="1:2" ht="20.100000000000001" customHeight="1">
      <c r="A128" s="747"/>
      <c r="B128" s="747"/>
    </row>
    <row r="129" spans="1:2" ht="20.100000000000001" customHeight="1">
      <c r="A129" s="747"/>
      <c r="B129" s="747"/>
    </row>
    <row r="130" spans="1:2" ht="20.100000000000001" customHeight="1">
      <c r="A130" s="747"/>
      <c r="B130" s="747"/>
    </row>
    <row r="131" spans="1:2" ht="20.100000000000001" customHeight="1">
      <c r="A131" s="747"/>
      <c r="B131" s="747"/>
    </row>
    <row r="132" spans="1:2" ht="20.100000000000001" customHeight="1">
      <c r="A132" s="747"/>
      <c r="B132" s="747"/>
    </row>
    <row r="133" spans="1:2" ht="20.100000000000001" customHeight="1">
      <c r="A133" s="747"/>
      <c r="B133" s="747"/>
    </row>
    <row r="134" spans="1:2" ht="20.100000000000001" customHeight="1">
      <c r="A134" s="747"/>
      <c r="B134" s="747"/>
    </row>
    <row r="135" spans="1:2" ht="20.100000000000001" customHeight="1">
      <c r="A135" s="747"/>
      <c r="B135" s="747"/>
    </row>
    <row r="136" spans="1:2" ht="20.100000000000001" customHeight="1">
      <c r="A136" s="747"/>
      <c r="B136" s="747"/>
    </row>
    <row r="137" spans="1:2" ht="20.100000000000001" customHeight="1">
      <c r="A137" s="747"/>
      <c r="B137" s="747"/>
    </row>
    <row r="138" spans="1:2" ht="20.100000000000001" customHeight="1">
      <c r="A138" s="747"/>
      <c r="B138" s="747"/>
    </row>
  </sheetData>
  <autoFilter ref="A5:WWJ52" xr:uid="{00000000-0009-0000-0000-000008000000}"/>
  <mergeCells count="17">
    <mergeCell ref="V2:V5"/>
    <mergeCell ref="W2:W5"/>
    <mergeCell ref="A51:B51"/>
    <mergeCell ref="C52:D52"/>
    <mergeCell ref="M2:Q2"/>
    <mergeCell ref="A1:W1"/>
    <mergeCell ref="A2:A5"/>
    <mergeCell ref="B2:B5"/>
    <mergeCell ref="C2:C5"/>
    <mergeCell ref="D2:D5"/>
    <mergeCell ref="E2:E5"/>
    <mergeCell ref="F2:H2"/>
    <mergeCell ref="I2:L2"/>
    <mergeCell ref="R2:R3"/>
    <mergeCell ref="S2:S5"/>
    <mergeCell ref="T2:T5"/>
    <mergeCell ref="U2:U5"/>
  </mergeCells>
  <phoneticPr fontId="13" type="noConversion"/>
  <conditionalFormatting sqref="U55">
    <cfRule type="cellIs" dxfId="19" priority="10" operator="greaterThan">
      <formula>0.095</formula>
    </cfRule>
  </conditionalFormatting>
  <conditionalFormatting sqref="U54">
    <cfRule type="cellIs" dxfId="18" priority="9" operator="greaterThan">
      <formula>0.095</formula>
    </cfRule>
  </conditionalFormatting>
  <conditionalFormatting sqref="R1:R1048576">
    <cfRule type="cellIs" dxfId="17" priority="8" operator="greaterThan">
      <formula>0.1</formula>
    </cfRule>
  </conditionalFormatting>
  <printOptions horizontalCentered="1" gridLines="1"/>
  <pageMargins left="0.43307086614173229" right="0.31496062992125984" top="0.98425196850393704" bottom="0.78740157480314965" header="0.51181102362204722" footer="0.51181102362204722"/>
  <pageSetup paperSize="9" scale="64" orientation="landscape" r:id="rId1"/>
  <headerFooter alignWithMargins="0">
    <oddHeader>&amp;C&amp;"돋움,굵게"&amp;14오수원형2호맨홀 수량산출근거-차도측(&amp;P/&amp;N)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FFC000"/>
  </sheetPr>
  <dimension ref="A1:AL160"/>
  <sheetViews>
    <sheetView view="pageBreakPreview" zoomScale="70" zoomScaleNormal="70" zoomScaleSheetLayoutView="70" workbookViewId="0">
      <selection activeCell="L74" sqref="L74"/>
    </sheetView>
  </sheetViews>
  <sheetFormatPr defaultRowHeight="20.100000000000001" customHeight="1"/>
  <cols>
    <col min="1" max="1" width="4.109375" style="1104" customWidth="1"/>
    <col min="2" max="2" width="9.77734375" style="1104" customWidth="1"/>
    <col min="3" max="3" width="8.77734375" style="1103" customWidth="1"/>
    <col min="4" max="4" width="8.77734375" style="1119" customWidth="1"/>
    <col min="5" max="5" width="8.88671875" style="1119"/>
    <col min="6" max="17" width="8.77734375" style="1103" customWidth="1"/>
    <col min="18" max="18" width="9" style="1103" bestFit="1" customWidth="1"/>
    <col min="19" max="23" width="6.77734375" style="1103" customWidth="1"/>
    <col min="24" max="24" width="8.88671875" style="1103"/>
    <col min="25" max="25" width="13.109375" style="1103" bestFit="1" customWidth="1"/>
    <col min="26" max="27" width="8.88671875" style="1103"/>
    <col min="28" max="28" width="11.77734375" style="1103" customWidth="1"/>
    <col min="29" max="263" width="8.88671875" style="1103"/>
    <col min="264" max="264" width="4.109375" style="1103" bestFit="1" customWidth="1"/>
    <col min="265" max="265" width="9.5546875" style="1103" bestFit="1" customWidth="1"/>
    <col min="266" max="266" width="6.6640625" style="1103" bestFit="1" customWidth="1"/>
    <col min="267" max="267" width="7" style="1103" bestFit="1" customWidth="1"/>
    <col min="268" max="268" width="8.88671875" style="1103"/>
    <col min="269" max="269" width="8.88671875" style="1103" customWidth="1"/>
    <col min="270" max="277" width="6.33203125" style="1103" customWidth="1"/>
    <col min="278" max="278" width="4.77734375" style="1103" customWidth="1"/>
    <col min="279" max="279" width="8.88671875" style="1103"/>
    <col min="280" max="280" width="13.109375" style="1103" bestFit="1" customWidth="1"/>
    <col min="281" max="283" width="8.88671875" style="1103"/>
    <col min="284" max="284" width="11.77734375" style="1103" customWidth="1"/>
    <col min="285" max="519" width="8.88671875" style="1103"/>
    <col min="520" max="520" width="4.109375" style="1103" bestFit="1" customWidth="1"/>
    <col min="521" max="521" width="9.5546875" style="1103" bestFit="1" customWidth="1"/>
    <col min="522" max="522" width="6.6640625" style="1103" bestFit="1" customWidth="1"/>
    <col min="523" max="523" width="7" style="1103" bestFit="1" customWidth="1"/>
    <col min="524" max="524" width="8.88671875" style="1103"/>
    <col min="525" max="525" width="8.88671875" style="1103" customWidth="1"/>
    <col min="526" max="533" width="6.33203125" style="1103" customWidth="1"/>
    <col min="534" max="534" width="4.77734375" style="1103" customWidth="1"/>
    <col min="535" max="535" width="8.88671875" style="1103"/>
    <col min="536" max="536" width="13.109375" style="1103" bestFit="1" customWidth="1"/>
    <col min="537" max="539" width="8.88671875" style="1103"/>
    <col min="540" max="540" width="11.77734375" style="1103" customWidth="1"/>
    <col min="541" max="775" width="8.88671875" style="1103"/>
    <col min="776" max="776" width="4.109375" style="1103" bestFit="1" customWidth="1"/>
    <col min="777" max="777" width="9.5546875" style="1103" bestFit="1" customWidth="1"/>
    <col min="778" max="778" width="6.6640625" style="1103" bestFit="1" customWidth="1"/>
    <col min="779" max="779" width="7" style="1103" bestFit="1" customWidth="1"/>
    <col min="780" max="780" width="8.88671875" style="1103"/>
    <col min="781" max="781" width="8.88671875" style="1103" customWidth="1"/>
    <col min="782" max="789" width="6.33203125" style="1103" customWidth="1"/>
    <col min="790" max="790" width="4.77734375" style="1103" customWidth="1"/>
    <col min="791" max="791" width="8.88671875" style="1103"/>
    <col min="792" max="792" width="13.109375" style="1103" bestFit="1" customWidth="1"/>
    <col min="793" max="795" width="8.88671875" style="1103"/>
    <col min="796" max="796" width="11.77734375" style="1103" customWidth="1"/>
    <col min="797" max="1031" width="8.88671875" style="1103"/>
    <col min="1032" max="1032" width="4.109375" style="1103" bestFit="1" customWidth="1"/>
    <col min="1033" max="1033" width="9.5546875" style="1103" bestFit="1" customWidth="1"/>
    <col min="1034" max="1034" width="6.6640625" style="1103" bestFit="1" customWidth="1"/>
    <col min="1035" max="1035" width="7" style="1103" bestFit="1" customWidth="1"/>
    <col min="1036" max="1036" width="8.88671875" style="1103"/>
    <col min="1037" max="1037" width="8.88671875" style="1103" customWidth="1"/>
    <col min="1038" max="1045" width="6.33203125" style="1103" customWidth="1"/>
    <col min="1046" max="1046" width="4.77734375" style="1103" customWidth="1"/>
    <col min="1047" max="1047" width="8.88671875" style="1103"/>
    <col min="1048" max="1048" width="13.109375" style="1103" bestFit="1" customWidth="1"/>
    <col min="1049" max="1051" width="8.88671875" style="1103"/>
    <col min="1052" max="1052" width="11.77734375" style="1103" customWidth="1"/>
    <col min="1053" max="1287" width="8.88671875" style="1103"/>
    <col min="1288" max="1288" width="4.109375" style="1103" bestFit="1" customWidth="1"/>
    <col min="1289" max="1289" width="9.5546875" style="1103" bestFit="1" customWidth="1"/>
    <col min="1290" max="1290" width="6.6640625" style="1103" bestFit="1" customWidth="1"/>
    <col min="1291" max="1291" width="7" style="1103" bestFit="1" customWidth="1"/>
    <col min="1292" max="1292" width="8.88671875" style="1103"/>
    <col min="1293" max="1293" width="8.88671875" style="1103" customWidth="1"/>
    <col min="1294" max="1301" width="6.33203125" style="1103" customWidth="1"/>
    <col min="1302" max="1302" width="4.77734375" style="1103" customWidth="1"/>
    <col min="1303" max="1303" width="8.88671875" style="1103"/>
    <col min="1304" max="1304" width="13.109375" style="1103" bestFit="1" customWidth="1"/>
    <col min="1305" max="1307" width="8.88671875" style="1103"/>
    <col min="1308" max="1308" width="11.77734375" style="1103" customWidth="1"/>
    <col min="1309" max="1543" width="8.88671875" style="1103"/>
    <col min="1544" max="1544" width="4.109375" style="1103" bestFit="1" customWidth="1"/>
    <col min="1545" max="1545" width="9.5546875" style="1103" bestFit="1" customWidth="1"/>
    <col min="1546" max="1546" width="6.6640625" style="1103" bestFit="1" customWidth="1"/>
    <col min="1547" max="1547" width="7" style="1103" bestFit="1" customWidth="1"/>
    <col min="1548" max="1548" width="8.88671875" style="1103"/>
    <col min="1549" max="1549" width="8.88671875" style="1103" customWidth="1"/>
    <col min="1550" max="1557" width="6.33203125" style="1103" customWidth="1"/>
    <col min="1558" max="1558" width="4.77734375" style="1103" customWidth="1"/>
    <col min="1559" max="1559" width="8.88671875" style="1103"/>
    <col min="1560" max="1560" width="13.109375" style="1103" bestFit="1" customWidth="1"/>
    <col min="1561" max="1563" width="8.88671875" style="1103"/>
    <col min="1564" max="1564" width="11.77734375" style="1103" customWidth="1"/>
    <col min="1565" max="1799" width="8.88671875" style="1103"/>
    <col min="1800" max="1800" width="4.109375" style="1103" bestFit="1" customWidth="1"/>
    <col min="1801" max="1801" width="9.5546875" style="1103" bestFit="1" customWidth="1"/>
    <col min="1802" max="1802" width="6.6640625" style="1103" bestFit="1" customWidth="1"/>
    <col min="1803" max="1803" width="7" style="1103" bestFit="1" customWidth="1"/>
    <col min="1804" max="1804" width="8.88671875" style="1103"/>
    <col min="1805" max="1805" width="8.88671875" style="1103" customWidth="1"/>
    <col min="1806" max="1813" width="6.33203125" style="1103" customWidth="1"/>
    <col min="1814" max="1814" width="4.77734375" style="1103" customWidth="1"/>
    <col min="1815" max="1815" width="8.88671875" style="1103"/>
    <col min="1816" max="1816" width="13.109375" style="1103" bestFit="1" customWidth="1"/>
    <col min="1817" max="1819" width="8.88671875" style="1103"/>
    <col min="1820" max="1820" width="11.77734375" style="1103" customWidth="1"/>
    <col min="1821" max="2055" width="8.88671875" style="1103"/>
    <col min="2056" max="2056" width="4.109375" style="1103" bestFit="1" customWidth="1"/>
    <col min="2057" max="2057" width="9.5546875" style="1103" bestFit="1" customWidth="1"/>
    <col min="2058" max="2058" width="6.6640625" style="1103" bestFit="1" customWidth="1"/>
    <col min="2059" max="2059" width="7" style="1103" bestFit="1" customWidth="1"/>
    <col min="2060" max="2060" width="8.88671875" style="1103"/>
    <col min="2061" max="2061" width="8.88671875" style="1103" customWidth="1"/>
    <col min="2062" max="2069" width="6.33203125" style="1103" customWidth="1"/>
    <col min="2070" max="2070" width="4.77734375" style="1103" customWidth="1"/>
    <col min="2071" max="2071" width="8.88671875" style="1103"/>
    <col min="2072" max="2072" width="13.109375" style="1103" bestFit="1" customWidth="1"/>
    <col min="2073" max="2075" width="8.88671875" style="1103"/>
    <col min="2076" max="2076" width="11.77734375" style="1103" customWidth="1"/>
    <col min="2077" max="2311" width="8.88671875" style="1103"/>
    <col min="2312" max="2312" width="4.109375" style="1103" bestFit="1" customWidth="1"/>
    <col min="2313" max="2313" width="9.5546875" style="1103" bestFit="1" customWidth="1"/>
    <col min="2314" max="2314" width="6.6640625" style="1103" bestFit="1" customWidth="1"/>
    <col min="2315" max="2315" width="7" style="1103" bestFit="1" customWidth="1"/>
    <col min="2316" max="2316" width="8.88671875" style="1103"/>
    <col min="2317" max="2317" width="8.88671875" style="1103" customWidth="1"/>
    <col min="2318" max="2325" width="6.33203125" style="1103" customWidth="1"/>
    <col min="2326" max="2326" width="4.77734375" style="1103" customWidth="1"/>
    <col min="2327" max="2327" width="8.88671875" style="1103"/>
    <col min="2328" max="2328" width="13.109375" style="1103" bestFit="1" customWidth="1"/>
    <col min="2329" max="2331" width="8.88671875" style="1103"/>
    <col min="2332" max="2332" width="11.77734375" style="1103" customWidth="1"/>
    <col min="2333" max="2567" width="8.88671875" style="1103"/>
    <col min="2568" max="2568" width="4.109375" style="1103" bestFit="1" customWidth="1"/>
    <col min="2569" max="2569" width="9.5546875" style="1103" bestFit="1" customWidth="1"/>
    <col min="2570" max="2570" width="6.6640625" style="1103" bestFit="1" customWidth="1"/>
    <col min="2571" max="2571" width="7" style="1103" bestFit="1" customWidth="1"/>
    <col min="2572" max="2572" width="8.88671875" style="1103"/>
    <col min="2573" max="2573" width="8.88671875" style="1103" customWidth="1"/>
    <col min="2574" max="2581" width="6.33203125" style="1103" customWidth="1"/>
    <col min="2582" max="2582" width="4.77734375" style="1103" customWidth="1"/>
    <col min="2583" max="2583" width="8.88671875" style="1103"/>
    <col min="2584" max="2584" width="13.109375" style="1103" bestFit="1" customWidth="1"/>
    <col min="2585" max="2587" width="8.88671875" style="1103"/>
    <col min="2588" max="2588" width="11.77734375" style="1103" customWidth="1"/>
    <col min="2589" max="2823" width="8.88671875" style="1103"/>
    <col min="2824" max="2824" width="4.109375" style="1103" bestFit="1" customWidth="1"/>
    <col min="2825" max="2825" width="9.5546875" style="1103" bestFit="1" customWidth="1"/>
    <col min="2826" max="2826" width="6.6640625" style="1103" bestFit="1" customWidth="1"/>
    <col min="2827" max="2827" width="7" style="1103" bestFit="1" customWidth="1"/>
    <col min="2828" max="2828" width="8.88671875" style="1103"/>
    <col min="2829" max="2829" width="8.88671875" style="1103" customWidth="1"/>
    <col min="2830" max="2837" width="6.33203125" style="1103" customWidth="1"/>
    <col min="2838" max="2838" width="4.77734375" style="1103" customWidth="1"/>
    <col min="2839" max="2839" width="8.88671875" style="1103"/>
    <col min="2840" max="2840" width="13.109375" style="1103" bestFit="1" customWidth="1"/>
    <col min="2841" max="2843" width="8.88671875" style="1103"/>
    <col min="2844" max="2844" width="11.77734375" style="1103" customWidth="1"/>
    <col min="2845" max="3079" width="8.88671875" style="1103"/>
    <col min="3080" max="3080" width="4.109375" style="1103" bestFit="1" customWidth="1"/>
    <col min="3081" max="3081" width="9.5546875" style="1103" bestFit="1" customWidth="1"/>
    <col min="3082" max="3082" width="6.6640625" style="1103" bestFit="1" customWidth="1"/>
    <col min="3083" max="3083" width="7" style="1103" bestFit="1" customWidth="1"/>
    <col min="3084" max="3084" width="8.88671875" style="1103"/>
    <col min="3085" max="3085" width="8.88671875" style="1103" customWidth="1"/>
    <col min="3086" max="3093" width="6.33203125" style="1103" customWidth="1"/>
    <col min="3094" max="3094" width="4.77734375" style="1103" customWidth="1"/>
    <col min="3095" max="3095" width="8.88671875" style="1103"/>
    <col min="3096" max="3096" width="13.109375" style="1103" bestFit="1" customWidth="1"/>
    <col min="3097" max="3099" width="8.88671875" style="1103"/>
    <col min="3100" max="3100" width="11.77734375" style="1103" customWidth="1"/>
    <col min="3101" max="3335" width="8.88671875" style="1103"/>
    <col min="3336" max="3336" width="4.109375" style="1103" bestFit="1" customWidth="1"/>
    <col min="3337" max="3337" width="9.5546875" style="1103" bestFit="1" customWidth="1"/>
    <col min="3338" max="3338" width="6.6640625" style="1103" bestFit="1" customWidth="1"/>
    <col min="3339" max="3339" width="7" style="1103" bestFit="1" customWidth="1"/>
    <col min="3340" max="3340" width="8.88671875" style="1103"/>
    <col min="3341" max="3341" width="8.88671875" style="1103" customWidth="1"/>
    <col min="3342" max="3349" width="6.33203125" style="1103" customWidth="1"/>
    <col min="3350" max="3350" width="4.77734375" style="1103" customWidth="1"/>
    <col min="3351" max="3351" width="8.88671875" style="1103"/>
    <col min="3352" max="3352" width="13.109375" style="1103" bestFit="1" customWidth="1"/>
    <col min="3353" max="3355" width="8.88671875" style="1103"/>
    <col min="3356" max="3356" width="11.77734375" style="1103" customWidth="1"/>
    <col min="3357" max="3591" width="8.88671875" style="1103"/>
    <col min="3592" max="3592" width="4.109375" style="1103" bestFit="1" customWidth="1"/>
    <col min="3593" max="3593" width="9.5546875" style="1103" bestFit="1" customWidth="1"/>
    <col min="3594" max="3594" width="6.6640625" style="1103" bestFit="1" customWidth="1"/>
    <col min="3595" max="3595" width="7" style="1103" bestFit="1" customWidth="1"/>
    <col min="3596" max="3596" width="8.88671875" style="1103"/>
    <col min="3597" max="3597" width="8.88671875" style="1103" customWidth="1"/>
    <col min="3598" max="3605" width="6.33203125" style="1103" customWidth="1"/>
    <col min="3606" max="3606" width="4.77734375" style="1103" customWidth="1"/>
    <col min="3607" max="3607" width="8.88671875" style="1103"/>
    <col min="3608" max="3608" width="13.109375" style="1103" bestFit="1" customWidth="1"/>
    <col min="3609" max="3611" width="8.88671875" style="1103"/>
    <col min="3612" max="3612" width="11.77734375" style="1103" customWidth="1"/>
    <col min="3613" max="3847" width="8.88671875" style="1103"/>
    <col min="3848" max="3848" width="4.109375" style="1103" bestFit="1" customWidth="1"/>
    <col min="3849" max="3849" width="9.5546875" style="1103" bestFit="1" customWidth="1"/>
    <col min="3850" max="3850" width="6.6640625" style="1103" bestFit="1" customWidth="1"/>
    <col min="3851" max="3851" width="7" style="1103" bestFit="1" customWidth="1"/>
    <col min="3852" max="3852" width="8.88671875" style="1103"/>
    <col min="3853" max="3853" width="8.88671875" style="1103" customWidth="1"/>
    <col min="3854" max="3861" width="6.33203125" style="1103" customWidth="1"/>
    <col min="3862" max="3862" width="4.77734375" style="1103" customWidth="1"/>
    <col min="3863" max="3863" width="8.88671875" style="1103"/>
    <col min="3864" max="3864" width="13.109375" style="1103" bestFit="1" customWidth="1"/>
    <col min="3865" max="3867" width="8.88671875" style="1103"/>
    <col min="3868" max="3868" width="11.77734375" style="1103" customWidth="1"/>
    <col min="3869" max="4103" width="8.88671875" style="1103"/>
    <col min="4104" max="4104" width="4.109375" style="1103" bestFit="1" customWidth="1"/>
    <col min="4105" max="4105" width="9.5546875" style="1103" bestFit="1" customWidth="1"/>
    <col min="4106" max="4106" width="6.6640625" style="1103" bestFit="1" customWidth="1"/>
    <col min="4107" max="4107" width="7" style="1103" bestFit="1" customWidth="1"/>
    <col min="4108" max="4108" width="8.88671875" style="1103"/>
    <col min="4109" max="4109" width="8.88671875" style="1103" customWidth="1"/>
    <col min="4110" max="4117" width="6.33203125" style="1103" customWidth="1"/>
    <col min="4118" max="4118" width="4.77734375" style="1103" customWidth="1"/>
    <col min="4119" max="4119" width="8.88671875" style="1103"/>
    <col min="4120" max="4120" width="13.109375" style="1103" bestFit="1" customWidth="1"/>
    <col min="4121" max="4123" width="8.88671875" style="1103"/>
    <col min="4124" max="4124" width="11.77734375" style="1103" customWidth="1"/>
    <col min="4125" max="4359" width="8.88671875" style="1103"/>
    <col min="4360" max="4360" width="4.109375" style="1103" bestFit="1" customWidth="1"/>
    <col min="4361" max="4361" width="9.5546875" style="1103" bestFit="1" customWidth="1"/>
    <col min="4362" max="4362" width="6.6640625" style="1103" bestFit="1" customWidth="1"/>
    <col min="4363" max="4363" width="7" style="1103" bestFit="1" customWidth="1"/>
    <col min="4364" max="4364" width="8.88671875" style="1103"/>
    <col min="4365" max="4365" width="8.88671875" style="1103" customWidth="1"/>
    <col min="4366" max="4373" width="6.33203125" style="1103" customWidth="1"/>
    <col min="4374" max="4374" width="4.77734375" style="1103" customWidth="1"/>
    <col min="4375" max="4375" width="8.88671875" style="1103"/>
    <col min="4376" max="4376" width="13.109375" style="1103" bestFit="1" customWidth="1"/>
    <col min="4377" max="4379" width="8.88671875" style="1103"/>
    <col min="4380" max="4380" width="11.77734375" style="1103" customWidth="1"/>
    <col min="4381" max="4615" width="8.88671875" style="1103"/>
    <col min="4616" max="4616" width="4.109375" style="1103" bestFit="1" customWidth="1"/>
    <col min="4617" max="4617" width="9.5546875" style="1103" bestFit="1" customWidth="1"/>
    <col min="4618" max="4618" width="6.6640625" style="1103" bestFit="1" customWidth="1"/>
    <col min="4619" max="4619" width="7" style="1103" bestFit="1" customWidth="1"/>
    <col min="4620" max="4620" width="8.88671875" style="1103"/>
    <col min="4621" max="4621" width="8.88671875" style="1103" customWidth="1"/>
    <col min="4622" max="4629" width="6.33203125" style="1103" customWidth="1"/>
    <col min="4630" max="4630" width="4.77734375" style="1103" customWidth="1"/>
    <col min="4631" max="4631" width="8.88671875" style="1103"/>
    <col min="4632" max="4632" width="13.109375" style="1103" bestFit="1" customWidth="1"/>
    <col min="4633" max="4635" width="8.88671875" style="1103"/>
    <col min="4636" max="4636" width="11.77734375" style="1103" customWidth="1"/>
    <col min="4637" max="4871" width="8.88671875" style="1103"/>
    <col min="4872" max="4872" width="4.109375" style="1103" bestFit="1" customWidth="1"/>
    <col min="4873" max="4873" width="9.5546875" style="1103" bestFit="1" customWidth="1"/>
    <col min="4874" max="4874" width="6.6640625" style="1103" bestFit="1" customWidth="1"/>
    <col min="4875" max="4875" width="7" style="1103" bestFit="1" customWidth="1"/>
    <col min="4876" max="4876" width="8.88671875" style="1103"/>
    <col min="4877" max="4877" width="8.88671875" style="1103" customWidth="1"/>
    <col min="4878" max="4885" width="6.33203125" style="1103" customWidth="1"/>
    <col min="4886" max="4886" width="4.77734375" style="1103" customWidth="1"/>
    <col min="4887" max="4887" width="8.88671875" style="1103"/>
    <col min="4888" max="4888" width="13.109375" style="1103" bestFit="1" customWidth="1"/>
    <col min="4889" max="4891" width="8.88671875" style="1103"/>
    <col min="4892" max="4892" width="11.77734375" style="1103" customWidth="1"/>
    <col min="4893" max="5127" width="8.88671875" style="1103"/>
    <col min="5128" max="5128" width="4.109375" style="1103" bestFit="1" customWidth="1"/>
    <col min="5129" max="5129" width="9.5546875" style="1103" bestFit="1" customWidth="1"/>
    <col min="5130" max="5130" width="6.6640625" style="1103" bestFit="1" customWidth="1"/>
    <col min="5131" max="5131" width="7" style="1103" bestFit="1" customWidth="1"/>
    <col min="5132" max="5132" width="8.88671875" style="1103"/>
    <col min="5133" max="5133" width="8.88671875" style="1103" customWidth="1"/>
    <col min="5134" max="5141" width="6.33203125" style="1103" customWidth="1"/>
    <col min="5142" max="5142" width="4.77734375" style="1103" customWidth="1"/>
    <col min="5143" max="5143" width="8.88671875" style="1103"/>
    <col min="5144" max="5144" width="13.109375" style="1103" bestFit="1" customWidth="1"/>
    <col min="5145" max="5147" width="8.88671875" style="1103"/>
    <col min="5148" max="5148" width="11.77734375" style="1103" customWidth="1"/>
    <col min="5149" max="5383" width="8.88671875" style="1103"/>
    <col min="5384" max="5384" width="4.109375" style="1103" bestFit="1" customWidth="1"/>
    <col min="5385" max="5385" width="9.5546875" style="1103" bestFit="1" customWidth="1"/>
    <col min="5386" max="5386" width="6.6640625" style="1103" bestFit="1" customWidth="1"/>
    <col min="5387" max="5387" width="7" style="1103" bestFit="1" customWidth="1"/>
    <col min="5388" max="5388" width="8.88671875" style="1103"/>
    <col min="5389" max="5389" width="8.88671875" style="1103" customWidth="1"/>
    <col min="5390" max="5397" width="6.33203125" style="1103" customWidth="1"/>
    <col min="5398" max="5398" width="4.77734375" style="1103" customWidth="1"/>
    <col min="5399" max="5399" width="8.88671875" style="1103"/>
    <col min="5400" max="5400" width="13.109375" style="1103" bestFit="1" customWidth="1"/>
    <col min="5401" max="5403" width="8.88671875" style="1103"/>
    <col min="5404" max="5404" width="11.77734375" style="1103" customWidth="1"/>
    <col min="5405" max="5639" width="8.88671875" style="1103"/>
    <col min="5640" max="5640" width="4.109375" style="1103" bestFit="1" customWidth="1"/>
    <col min="5641" max="5641" width="9.5546875" style="1103" bestFit="1" customWidth="1"/>
    <col min="5642" max="5642" width="6.6640625" style="1103" bestFit="1" customWidth="1"/>
    <col min="5643" max="5643" width="7" style="1103" bestFit="1" customWidth="1"/>
    <col min="5644" max="5644" width="8.88671875" style="1103"/>
    <col min="5645" max="5645" width="8.88671875" style="1103" customWidth="1"/>
    <col min="5646" max="5653" width="6.33203125" style="1103" customWidth="1"/>
    <col min="5654" max="5654" width="4.77734375" style="1103" customWidth="1"/>
    <col min="5655" max="5655" width="8.88671875" style="1103"/>
    <col min="5656" max="5656" width="13.109375" style="1103" bestFit="1" customWidth="1"/>
    <col min="5657" max="5659" width="8.88671875" style="1103"/>
    <col min="5660" max="5660" width="11.77734375" style="1103" customWidth="1"/>
    <col min="5661" max="5895" width="8.88671875" style="1103"/>
    <col min="5896" max="5896" width="4.109375" style="1103" bestFit="1" customWidth="1"/>
    <col min="5897" max="5897" width="9.5546875" style="1103" bestFit="1" customWidth="1"/>
    <col min="5898" max="5898" width="6.6640625" style="1103" bestFit="1" customWidth="1"/>
    <col min="5899" max="5899" width="7" style="1103" bestFit="1" customWidth="1"/>
    <col min="5900" max="5900" width="8.88671875" style="1103"/>
    <col min="5901" max="5901" width="8.88671875" style="1103" customWidth="1"/>
    <col min="5902" max="5909" width="6.33203125" style="1103" customWidth="1"/>
    <col min="5910" max="5910" width="4.77734375" style="1103" customWidth="1"/>
    <col min="5911" max="5911" width="8.88671875" style="1103"/>
    <col min="5912" max="5912" width="13.109375" style="1103" bestFit="1" customWidth="1"/>
    <col min="5913" max="5915" width="8.88671875" style="1103"/>
    <col min="5916" max="5916" width="11.77734375" style="1103" customWidth="1"/>
    <col min="5917" max="6151" width="8.88671875" style="1103"/>
    <col min="6152" max="6152" width="4.109375" style="1103" bestFit="1" customWidth="1"/>
    <col min="6153" max="6153" width="9.5546875" style="1103" bestFit="1" customWidth="1"/>
    <col min="6154" max="6154" width="6.6640625" style="1103" bestFit="1" customWidth="1"/>
    <col min="6155" max="6155" width="7" style="1103" bestFit="1" customWidth="1"/>
    <col min="6156" max="6156" width="8.88671875" style="1103"/>
    <col min="6157" max="6157" width="8.88671875" style="1103" customWidth="1"/>
    <col min="6158" max="6165" width="6.33203125" style="1103" customWidth="1"/>
    <col min="6166" max="6166" width="4.77734375" style="1103" customWidth="1"/>
    <col min="6167" max="6167" width="8.88671875" style="1103"/>
    <col min="6168" max="6168" width="13.109375" style="1103" bestFit="1" customWidth="1"/>
    <col min="6169" max="6171" width="8.88671875" style="1103"/>
    <col min="6172" max="6172" width="11.77734375" style="1103" customWidth="1"/>
    <col min="6173" max="6407" width="8.88671875" style="1103"/>
    <col min="6408" max="6408" width="4.109375" style="1103" bestFit="1" customWidth="1"/>
    <col min="6409" max="6409" width="9.5546875" style="1103" bestFit="1" customWidth="1"/>
    <col min="6410" max="6410" width="6.6640625" style="1103" bestFit="1" customWidth="1"/>
    <col min="6411" max="6411" width="7" style="1103" bestFit="1" customWidth="1"/>
    <col min="6412" max="6412" width="8.88671875" style="1103"/>
    <col min="6413" max="6413" width="8.88671875" style="1103" customWidth="1"/>
    <col min="6414" max="6421" width="6.33203125" style="1103" customWidth="1"/>
    <col min="6422" max="6422" width="4.77734375" style="1103" customWidth="1"/>
    <col min="6423" max="6423" width="8.88671875" style="1103"/>
    <col min="6424" max="6424" width="13.109375" style="1103" bestFit="1" customWidth="1"/>
    <col min="6425" max="6427" width="8.88671875" style="1103"/>
    <col min="6428" max="6428" width="11.77734375" style="1103" customWidth="1"/>
    <col min="6429" max="6663" width="8.88671875" style="1103"/>
    <col min="6664" max="6664" width="4.109375" style="1103" bestFit="1" customWidth="1"/>
    <col min="6665" max="6665" width="9.5546875" style="1103" bestFit="1" customWidth="1"/>
    <col min="6666" max="6666" width="6.6640625" style="1103" bestFit="1" customWidth="1"/>
    <col min="6667" max="6667" width="7" style="1103" bestFit="1" customWidth="1"/>
    <col min="6668" max="6668" width="8.88671875" style="1103"/>
    <col min="6669" max="6669" width="8.88671875" style="1103" customWidth="1"/>
    <col min="6670" max="6677" width="6.33203125" style="1103" customWidth="1"/>
    <col min="6678" max="6678" width="4.77734375" style="1103" customWidth="1"/>
    <col min="6679" max="6679" width="8.88671875" style="1103"/>
    <col min="6680" max="6680" width="13.109375" style="1103" bestFit="1" customWidth="1"/>
    <col min="6681" max="6683" width="8.88671875" style="1103"/>
    <col min="6684" max="6684" width="11.77734375" style="1103" customWidth="1"/>
    <col min="6685" max="6919" width="8.88671875" style="1103"/>
    <col min="6920" max="6920" width="4.109375" style="1103" bestFit="1" customWidth="1"/>
    <col min="6921" max="6921" width="9.5546875" style="1103" bestFit="1" customWidth="1"/>
    <col min="6922" max="6922" width="6.6640625" style="1103" bestFit="1" customWidth="1"/>
    <col min="6923" max="6923" width="7" style="1103" bestFit="1" customWidth="1"/>
    <col min="6924" max="6924" width="8.88671875" style="1103"/>
    <col min="6925" max="6925" width="8.88671875" style="1103" customWidth="1"/>
    <col min="6926" max="6933" width="6.33203125" style="1103" customWidth="1"/>
    <col min="6934" max="6934" width="4.77734375" style="1103" customWidth="1"/>
    <col min="6935" max="6935" width="8.88671875" style="1103"/>
    <col min="6936" max="6936" width="13.109375" style="1103" bestFit="1" customWidth="1"/>
    <col min="6937" max="6939" width="8.88671875" style="1103"/>
    <col min="6940" max="6940" width="11.77734375" style="1103" customWidth="1"/>
    <col min="6941" max="7175" width="8.88671875" style="1103"/>
    <col min="7176" max="7176" width="4.109375" style="1103" bestFit="1" customWidth="1"/>
    <col min="7177" max="7177" width="9.5546875" style="1103" bestFit="1" customWidth="1"/>
    <col min="7178" max="7178" width="6.6640625" style="1103" bestFit="1" customWidth="1"/>
    <col min="7179" max="7179" width="7" style="1103" bestFit="1" customWidth="1"/>
    <col min="7180" max="7180" width="8.88671875" style="1103"/>
    <col min="7181" max="7181" width="8.88671875" style="1103" customWidth="1"/>
    <col min="7182" max="7189" width="6.33203125" style="1103" customWidth="1"/>
    <col min="7190" max="7190" width="4.77734375" style="1103" customWidth="1"/>
    <col min="7191" max="7191" width="8.88671875" style="1103"/>
    <col min="7192" max="7192" width="13.109375" style="1103" bestFit="1" customWidth="1"/>
    <col min="7193" max="7195" width="8.88671875" style="1103"/>
    <col min="7196" max="7196" width="11.77734375" style="1103" customWidth="1"/>
    <col min="7197" max="7431" width="8.88671875" style="1103"/>
    <col min="7432" max="7432" width="4.109375" style="1103" bestFit="1" customWidth="1"/>
    <col min="7433" max="7433" width="9.5546875" style="1103" bestFit="1" customWidth="1"/>
    <col min="7434" max="7434" width="6.6640625" style="1103" bestFit="1" customWidth="1"/>
    <col min="7435" max="7435" width="7" style="1103" bestFit="1" customWidth="1"/>
    <col min="7436" max="7436" width="8.88671875" style="1103"/>
    <col min="7437" max="7437" width="8.88671875" style="1103" customWidth="1"/>
    <col min="7438" max="7445" width="6.33203125" style="1103" customWidth="1"/>
    <col min="7446" max="7446" width="4.77734375" style="1103" customWidth="1"/>
    <col min="7447" max="7447" width="8.88671875" style="1103"/>
    <col min="7448" max="7448" width="13.109375" style="1103" bestFit="1" customWidth="1"/>
    <col min="7449" max="7451" width="8.88671875" style="1103"/>
    <col min="7452" max="7452" width="11.77734375" style="1103" customWidth="1"/>
    <col min="7453" max="7687" width="8.88671875" style="1103"/>
    <col min="7688" max="7688" width="4.109375" style="1103" bestFit="1" customWidth="1"/>
    <col min="7689" max="7689" width="9.5546875" style="1103" bestFit="1" customWidth="1"/>
    <col min="7690" max="7690" width="6.6640625" style="1103" bestFit="1" customWidth="1"/>
    <col min="7691" max="7691" width="7" style="1103" bestFit="1" customWidth="1"/>
    <col min="7692" max="7692" width="8.88671875" style="1103"/>
    <col min="7693" max="7693" width="8.88671875" style="1103" customWidth="1"/>
    <col min="7694" max="7701" width="6.33203125" style="1103" customWidth="1"/>
    <col min="7702" max="7702" width="4.77734375" style="1103" customWidth="1"/>
    <col min="7703" max="7703" width="8.88671875" style="1103"/>
    <col min="7704" max="7704" width="13.109375" style="1103" bestFit="1" customWidth="1"/>
    <col min="7705" max="7707" width="8.88671875" style="1103"/>
    <col min="7708" max="7708" width="11.77734375" style="1103" customWidth="1"/>
    <col min="7709" max="7943" width="8.88671875" style="1103"/>
    <col min="7944" max="7944" width="4.109375" style="1103" bestFit="1" customWidth="1"/>
    <col min="7945" max="7945" width="9.5546875" style="1103" bestFit="1" customWidth="1"/>
    <col min="7946" max="7946" width="6.6640625" style="1103" bestFit="1" customWidth="1"/>
    <col min="7947" max="7947" width="7" style="1103" bestFit="1" customWidth="1"/>
    <col min="7948" max="7948" width="8.88671875" style="1103"/>
    <col min="7949" max="7949" width="8.88671875" style="1103" customWidth="1"/>
    <col min="7950" max="7957" width="6.33203125" style="1103" customWidth="1"/>
    <col min="7958" max="7958" width="4.77734375" style="1103" customWidth="1"/>
    <col min="7959" max="7959" width="8.88671875" style="1103"/>
    <col min="7960" max="7960" width="13.109375" style="1103" bestFit="1" customWidth="1"/>
    <col min="7961" max="7963" width="8.88671875" style="1103"/>
    <col min="7964" max="7964" width="11.77734375" style="1103" customWidth="1"/>
    <col min="7965" max="8199" width="8.88671875" style="1103"/>
    <col min="8200" max="8200" width="4.109375" style="1103" bestFit="1" customWidth="1"/>
    <col min="8201" max="8201" width="9.5546875" style="1103" bestFit="1" customWidth="1"/>
    <col min="8202" max="8202" width="6.6640625" style="1103" bestFit="1" customWidth="1"/>
    <col min="8203" max="8203" width="7" style="1103" bestFit="1" customWidth="1"/>
    <col min="8204" max="8204" width="8.88671875" style="1103"/>
    <col min="8205" max="8205" width="8.88671875" style="1103" customWidth="1"/>
    <col min="8206" max="8213" width="6.33203125" style="1103" customWidth="1"/>
    <col min="8214" max="8214" width="4.77734375" style="1103" customWidth="1"/>
    <col min="8215" max="8215" width="8.88671875" style="1103"/>
    <col min="8216" max="8216" width="13.109375" style="1103" bestFit="1" customWidth="1"/>
    <col min="8217" max="8219" width="8.88671875" style="1103"/>
    <col min="8220" max="8220" width="11.77734375" style="1103" customWidth="1"/>
    <col min="8221" max="8455" width="8.88671875" style="1103"/>
    <col min="8456" max="8456" width="4.109375" style="1103" bestFit="1" customWidth="1"/>
    <col min="8457" max="8457" width="9.5546875" style="1103" bestFit="1" customWidth="1"/>
    <col min="8458" max="8458" width="6.6640625" style="1103" bestFit="1" customWidth="1"/>
    <col min="8459" max="8459" width="7" style="1103" bestFit="1" customWidth="1"/>
    <col min="8460" max="8460" width="8.88671875" style="1103"/>
    <col min="8461" max="8461" width="8.88671875" style="1103" customWidth="1"/>
    <col min="8462" max="8469" width="6.33203125" style="1103" customWidth="1"/>
    <col min="8470" max="8470" width="4.77734375" style="1103" customWidth="1"/>
    <col min="8471" max="8471" width="8.88671875" style="1103"/>
    <col min="8472" max="8472" width="13.109375" style="1103" bestFit="1" customWidth="1"/>
    <col min="8473" max="8475" width="8.88671875" style="1103"/>
    <col min="8476" max="8476" width="11.77734375" style="1103" customWidth="1"/>
    <col min="8477" max="8711" width="8.88671875" style="1103"/>
    <col min="8712" max="8712" width="4.109375" style="1103" bestFit="1" customWidth="1"/>
    <col min="8713" max="8713" width="9.5546875" style="1103" bestFit="1" customWidth="1"/>
    <col min="8714" max="8714" width="6.6640625" style="1103" bestFit="1" customWidth="1"/>
    <col min="8715" max="8715" width="7" style="1103" bestFit="1" customWidth="1"/>
    <col min="8716" max="8716" width="8.88671875" style="1103"/>
    <col min="8717" max="8717" width="8.88671875" style="1103" customWidth="1"/>
    <col min="8718" max="8725" width="6.33203125" style="1103" customWidth="1"/>
    <col min="8726" max="8726" width="4.77734375" style="1103" customWidth="1"/>
    <col min="8727" max="8727" width="8.88671875" style="1103"/>
    <col min="8728" max="8728" width="13.109375" style="1103" bestFit="1" customWidth="1"/>
    <col min="8729" max="8731" width="8.88671875" style="1103"/>
    <col min="8732" max="8732" width="11.77734375" style="1103" customWidth="1"/>
    <col min="8733" max="8967" width="8.88671875" style="1103"/>
    <col min="8968" max="8968" width="4.109375" style="1103" bestFit="1" customWidth="1"/>
    <col min="8969" max="8969" width="9.5546875" style="1103" bestFit="1" customWidth="1"/>
    <col min="8970" max="8970" width="6.6640625" style="1103" bestFit="1" customWidth="1"/>
    <col min="8971" max="8971" width="7" style="1103" bestFit="1" customWidth="1"/>
    <col min="8972" max="8972" width="8.88671875" style="1103"/>
    <col min="8973" max="8973" width="8.88671875" style="1103" customWidth="1"/>
    <col min="8974" max="8981" width="6.33203125" style="1103" customWidth="1"/>
    <col min="8982" max="8982" width="4.77734375" style="1103" customWidth="1"/>
    <col min="8983" max="8983" width="8.88671875" style="1103"/>
    <col min="8984" max="8984" width="13.109375" style="1103" bestFit="1" customWidth="1"/>
    <col min="8985" max="8987" width="8.88671875" style="1103"/>
    <col min="8988" max="8988" width="11.77734375" style="1103" customWidth="1"/>
    <col min="8989" max="9223" width="8.88671875" style="1103"/>
    <col min="9224" max="9224" width="4.109375" style="1103" bestFit="1" customWidth="1"/>
    <col min="9225" max="9225" width="9.5546875" style="1103" bestFit="1" customWidth="1"/>
    <col min="9226" max="9226" width="6.6640625" style="1103" bestFit="1" customWidth="1"/>
    <col min="9227" max="9227" width="7" style="1103" bestFit="1" customWidth="1"/>
    <col min="9228" max="9228" width="8.88671875" style="1103"/>
    <col min="9229" max="9229" width="8.88671875" style="1103" customWidth="1"/>
    <col min="9230" max="9237" width="6.33203125" style="1103" customWidth="1"/>
    <col min="9238" max="9238" width="4.77734375" style="1103" customWidth="1"/>
    <col min="9239" max="9239" width="8.88671875" style="1103"/>
    <col min="9240" max="9240" width="13.109375" style="1103" bestFit="1" customWidth="1"/>
    <col min="9241" max="9243" width="8.88671875" style="1103"/>
    <col min="9244" max="9244" width="11.77734375" style="1103" customWidth="1"/>
    <col min="9245" max="9479" width="8.88671875" style="1103"/>
    <col min="9480" max="9480" width="4.109375" style="1103" bestFit="1" customWidth="1"/>
    <col min="9481" max="9481" width="9.5546875" style="1103" bestFit="1" customWidth="1"/>
    <col min="9482" max="9482" width="6.6640625" style="1103" bestFit="1" customWidth="1"/>
    <col min="9483" max="9483" width="7" style="1103" bestFit="1" customWidth="1"/>
    <col min="9484" max="9484" width="8.88671875" style="1103"/>
    <col min="9485" max="9485" width="8.88671875" style="1103" customWidth="1"/>
    <col min="9486" max="9493" width="6.33203125" style="1103" customWidth="1"/>
    <col min="9494" max="9494" width="4.77734375" style="1103" customWidth="1"/>
    <col min="9495" max="9495" width="8.88671875" style="1103"/>
    <col min="9496" max="9496" width="13.109375" style="1103" bestFit="1" customWidth="1"/>
    <col min="9497" max="9499" width="8.88671875" style="1103"/>
    <col min="9500" max="9500" width="11.77734375" style="1103" customWidth="1"/>
    <col min="9501" max="9735" width="8.88671875" style="1103"/>
    <col min="9736" max="9736" width="4.109375" style="1103" bestFit="1" customWidth="1"/>
    <col min="9737" max="9737" width="9.5546875" style="1103" bestFit="1" customWidth="1"/>
    <col min="9738" max="9738" width="6.6640625" style="1103" bestFit="1" customWidth="1"/>
    <col min="9739" max="9739" width="7" style="1103" bestFit="1" customWidth="1"/>
    <col min="9740" max="9740" width="8.88671875" style="1103"/>
    <col min="9741" max="9741" width="8.88671875" style="1103" customWidth="1"/>
    <col min="9742" max="9749" width="6.33203125" style="1103" customWidth="1"/>
    <col min="9750" max="9750" width="4.77734375" style="1103" customWidth="1"/>
    <col min="9751" max="9751" width="8.88671875" style="1103"/>
    <col min="9752" max="9752" width="13.109375" style="1103" bestFit="1" customWidth="1"/>
    <col min="9753" max="9755" width="8.88671875" style="1103"/>
    <col min="9756" max="9756" width="11.77734375" style="1103" customWidth="1"/>
    <col min="9757" max="9991" width="8.88671875" style="1103"/>
    <col min="9992" max="9992" width="4.109375" style="1103" bestFit="1" customWidth="1"/>
    <col min="9993" max="9993" width="9.5546875" style="1103" bestFit="1" customWidth="1"/>
    <col min="9994" max="9994" width="6.6640625" style="1103" bestFit="1" customWidth="1"/>
    <col min="9995" max="9995" width="7" style="1103" bestFit="1" customWidth="1"/>
    <col min="9996" max="9996" width="8.88671875" style="1103"/>
    <col min="9997" max="9997" width="8.88671875" style="1103" customWidth="1"/>
    <col min="9998" max="10005" width="6.33203125" style="1103" customWidth="1"/>
    <col min="10006" max="10006" width="4.77734375" style="1103" customWidth="1"/>
    <col min="10007" max="10007" width="8.88671875" style="1103"/>
    <col min="10008" max="10008" width="13.109375" style="1103" bestFit="1" customWidth="1"/>
    <col min="10009" max="10011" width="8.88671875" style="1103"/>
    <col min="10012" max="10012" width="11.77734375" style="1103" customWidth="1"/>
    <col min="10013" max="10247" width="8.88671875" style="1103"/>
    <col min="10248" max="10248" width="4.109375" style="1103" bestFit="1" customWidth="1"/>
    <col min="10249" max="10249" width="9.5546875" style="1103" bestFit="1" customWidth="1"/>
    <col min="10250" max="10250" width="6.6640625" style="1103" bestFit="1" customWidth="1"/>
    <col min="10251" max="10251" width="7" style="1103" bestFit="1" customWidth="1"/>
    <col min="10252" max="10252" width="8.88671875" style="1103"/>
    <col min="10253" max="10253" width="8.88671875" style="1103" customWidth="1"/>
    <col min="10254" max="10261" width="6.33203125" style="1103" customWidth="1"/>
    <col min="10262" max="10262" width="4.77734375" style="1103" customWidth="1"/>
    <col min="10263" max="10263" width="8.88671875" style="1103"/>
    <col min="10264" max="10264" width="13.109375" style="1103" bestFit="1" customWidth="1"/>
    <col min="10265" max="10267" width="8.88671875" style="1103"/>
    <col min="10268" max="10268" width="11.77734375" style="1103" customWidth="1"/>
    <col min="10269" max="10503" width="8.88671875" style="1103"/>
    <col min="10504" max="10504" width="4.109375" style="1103" bestFit="1" customWidth="1"/>
    <col min="10505" max="10505" width="9.5546875" style="1103" bestFit="1" customWidth="1"/>
    <col min="10506" max="10506" width="6.6640625" style="1103" bestFit="1" customWidth="1"/>
    <col min="10507" max="10507" width="7" style="1103" bestFit="1" customWidth="1"/>
    <col min="10508" max="10508" width="8.88671875" style="1103"/>
    <col min="10509" max="10509" width="8.88671875" style="1103" customWidth="1"/>
    <col min="10510" max="10517" width="6.33203125" style="1103" customWidth="1"/>
    <col min="10518" max="10518" width="4.77734375" style="1103" customWidth="1"/>
    <col min="10519" max="10519" width="8.88671875" style="1103"/>
    <col min="10520" max="10520" width="13.109375" style="1103" bestFit="1" customWidth="1"/>
    <col min="10521" max="10523" width="8.88671875" style="1103"/>
    <col min="10524" max="10524" width="11.77734375" style="1103" customWidth="1"/>
    <col min="10525" max="10759" width="8.88671875" style="1103"/>
    <col min="10760" max="10760" width="4.109375" style="1103" bestFit="1" customWidth="1"/>
    <col min="10761" max="10761" width="9.5546875" style="1103" bestFit="1" customWidth="1"/>
    <col min="10762" max="10762" width="6.6640625" style="1103" bestFit="1" customWidth="1"/>
    <col min="10763" max="10763" width="7" style="1103" bestFit="1" customWidth="1"/>
    <col min="10764" max="10764" width="8.88671875" style="1103"/>
    <col min="10765" max="10765" width="8.88671875" style="1103" customWidth="1"/>
    <col min="10766" max="10773" width="6.33203125" style="1103" customWidth="1"/>
    <col min="10774" max="10774" width="4.77734375" style="1103" customWidth="1"/>
    <col min="10775" max="10775" width="8.88671875" style="1103"/>
    <col min="10776" max="10776" width="13.109375" style="1103" bestFit="1" customWidth="1"/>
    <col min="10777" max="10779" width="8.88671875" style="1103"/>
    <col min="10780" max="10780" width="11.77734375" style="1103" customWidth="1"/>
    <col min="10781" max="11015" width="8.88671875" style="1103"/>
    <col min="11016" max="11016" width="4.109375" style="1103" bestFit="1" customWidth="1"/>
    <col min="11017" max="11017" width="9.5546875" style="1103" bestFit="1" customWidth="1"/>
    <col min="11018" max="11018" width="6.6640625" style="1103" bestFit="1" customWidth="1"/>
    <col min="11019" max="11019" width="7" style="1103" bestFit="1" customWidth="1"/>
    <col min="11020" max="11020" width="8.88671875" style="1103"/>
    <col min="11021" max="11021" width="8.88671875" style="1103" customWidth="1"/>
    <col min="11022" max="11029" width="6.33203125" style="1103" customWidth="1"/>
    <col min="11030" max="11030" width="4.77734375" style="1103" customWidth="1"/>
    <col min="11031" max="11031" width="8.88671875" style="1103"/>
    <col min="11032" max="11032" width="13.109375" style="1103" bestFit="1" customWidth="1"/>
    <col min="11033" max="11035" width="8.88671875" style="1103"/>
    <col min="11036" max="11036" width="11.77734375" style="1103" customWidth="1"/>
    <col min="11037" max="11271" width="8.88671875" style="1103"/>
    <col min="11272" max="11272" width="4.109375" style="1103" bestFit="1" customWidth="1"/>
    <col min="11273" max="11273" width="9.5546875" style="1103" bestFit="1" customWidth="1"/>
    <col min="11274" max="11274" width="6.6640625" style="1103" bestFit="1" customWidth="1"/>
    <col min="11275" max="11275" width="7" style="1103" bestFit="1" customWidth="1"/>
    <col min="11276" max="11276" width="8.88671875" style="1103"/>
    <col min="11277" max="11277" width="8.88671875" style="1103" customWidth="1"/>
    <col min="11278" max="11285" width="6.33203125" style="1103" customWidth="1"/>
    <col min="11286" max="11286" width="4.77734375" style="1103" customWidth="1"/>
    <col min="11287" max="11287" width="8.88671875" style="1103"/>
    <col min="11288" max="11288" width="13.109375" style="1103" bestFit="1" customWidth="1"/>
    <col min="11289" max="11291" width="8.88671875" style="1103"/>
    <col min="11292" max="11292" width="11.77734375" style="1103" customWidth="1"/>
    <col min="11293" max="11527" width="8.88671875" style="1103"/>
    <col min="11528" max="11528" width="4.109375" style="1103" bestFit="1" customWidth="1"/>
    <col min="11529" max="11529" width="9.5546875" style="1103" bestFit="1" customWidth="1"/>
    <col min="11530" max="11530" width="6.6640625" style="1103" bestFit="1" customWidth="1"/>
    <col min="11531" max="11531" width="7" style="1103" bestFit="1" customWidth="1"/>
    <col min="11532" max="11532" width="8.88671875" style="1103"/>
    <col min="11533" max="11533" width="8.88671875" style="1103" customWidth="1"/>
    <col min="11534" max="11541" width="6.33203125" style="1103" customWidth="1"/>
    <col min="11542" max="11542" width="4.77734375" style="1103" customWidth="1"/>
    <col min="11543" max="11543" width="8.88671875" style="1103"/>
    <col min="11544" max="11544" width="13.109375" style="1103" bestFit="1" customWidth="1"/>
    <col min="11545" max="11547" width="8.88671875" style="1103"/>
    <col min="11548" max="11548" width="11.77734375" style="1103" customWidth="1"/>
    <col min="11549" max="11783" width="8.88671875" style="1103"/>
    <col min="11784" max="11784" width="4.109375" style="1103" bestFit="1" customWidth="1"/>
    <col min="11785" max="11785" width="9.5546875" style="1103" bestFit="1" customWidth="1"/>
    <col min="11786" max="11786" width="6.6640625" style="1103" bestFit="1" customWidth="1"/>
    <col min="11787" max="11787" width="7" style="1103" bestFit="1" customWidth="1"/>
    <col min="11788" max="11788" width="8.88671875" style="1103"/>
    <col min="11789" max="11789" width="8.88671875" style="1103" customWidth="1"/>
    <col min="11790" max="11797" width="6.33203125" style="1103" customWidth="1"/>
    <col min="11798" max="11798" width="4.77734375" style="1103" customWidth="1"/>
    <col min="11799" max="11799" width="8.88671875" style="1103"/>
    <col min="11800" max="11800" width="13.109375" style="1103" bestFit="1" customWidth="1"/>
    <col min="11801" max="11803" width="8.88671875" style="1103"/>
    <col min="11804" max="11804" width="11.77734375" style="1103" customWidth="1"/>
    <col min="11805" max="12039" width="8.88671875" style="1103"/>
    <col min="12040" max="12040" width="4.109375" style="1103" bestFit="1" customWidth="1"/>
    <col min="12041" max="12041" width="9.5546875" style="1103" bestFit="1" customWidth="1"/>
    <col min="12042" max="12042" width="6.6640625" style="1103" bestFit="1" customWidth="1"/>
    <col min="12043" max="12043" width="7" style="1103" bestFit="1" customWidth="1"/>
    <col min="12044" max="12044" width="8.88671875" style="1103"/>
    <col min="12045" max="12045" width="8.88671875" style="1103" customWidth="1"/>
    <col min="12046" max="12053" width="6.33203125" style="1103" customWidth="1"/>
    <col min="12054" max="12054" width="4.77734375" style="1103" customWidth="1"/>
    <col min="12055" max="12055" width="8.88671875" style="1103"/>
    <col min="12056" max="12056" width="13.109375" style="1103" bestFit="1" customWidth="1"/>
    <col min="12057" max="12059" width="8.88671875" style="1103"/>
    <col min="12060" max="12060" width="11.77734375" style="1103" customWidth="1"/>
    <col min="12061" max="12295" width="8.88671875" style="1103"/>
    <col min="12296" max="12296" width="4.109375" style="1103" bestFit="1" customWidth="1"/>
    <col min="12297" max="12297" width="9.5546875" style="1103" bestFit="1" customWidth="1"/>
    <col min="12298" max="12298" width="6.6640625" style="1103" bestFit="1" customWidth="1"/>
    <col min="12299" max="12299" width="7" style="1103" bestFit="1" customWidth="1"/>
    <col min="12300" max="12300" width="8.88671875" style="1103"/>
    <col min="12301" max="12301" width="8.88671875" style="1103" customWidth="1"/>
    <col min="12302" max="12309" width="6.33203125" style="1103" customWidth="1"/>
    <col min="12310" max="12310" width="4.77734375" style="1103" customWidth="1"/>
    <col min="12311" max="12311" width="8.88671875" style="1103"/>
    <col min="12312" max="12312" width="13.109375" style="1103" bestFit="1" customWidth="1"/>
    <col min="12313" max="12315" width="8.88671875" style="1103"/>
    <col min="12316" max="12316" width="11.77734375" style="1103" customWidth="1"/>
    <col min="12317" max="12551" width="8.88671875" style="1103"/>
    <col min="12552" max="12552" width="4.109375" style="1103" bestFit="1" customWidth="1"/>
    <col min="12553" max="12553" width="9.5546875" style="1103" bestFit="1" customWidth="1"/>
    <col min="12554" max="12554" width="6.6640625" style="1103" bestFit="1" customWidth="1"/>
    <col min="12555" max="12555" width="7" style="1103" bestFit="1" customWidth="1"/>
    <col min="12556" max="12556" width="8.88671875" style="1103"/>
    <col min="12557" max="12557" width="8.88671875" style="1103" customWidth="1"/>
    <col min="12558" max="12565" width="6.33203125" style="1103" customWidth="1"/>
    <col min="12566" max="12566" width="4.77734375" style="1103" customWidth="1"/>
    <col min="12567" max="12567" width="8.88671875" style="1103"/>
    <col min="12568" max="12568" width="13.109375" style="1103" bestFit="1" customWidth="1"/>
    <col min="12569" max="12571" width="8.88671875" style="1103"/>
    <col min="12572" max="12572" width="11.77734375" style="1103" customWidth="1"/>
    <col min="12573" max="12807" width="8.88671875" style="1103"/>
    <col min="12808" max="12808" width="4.109375" style="1103" bestFit="1" customWidth="1"/>
    <col min="12809" max="12809" width="9.5546875" style="1103" bestFit="1" customWidth="1"/>
    <col min="12810" max="12810" width="6.6640625" style="1103" bestFit="1" customWidth="1"/>
    <col min="12811" max="12811" width="7" style="1103" bestFit="1" customWidth="1"/>
    <col min="12812" max="12812" width="8.88671875" style="1103"/>
    <col min="12813" max="12813" width="8.88671875" style="1103" customWidth="1"/>
    <col min="12814" max="12821" width="6.33203125" style="1103" customWidth="1"/>
    <col min="12822" max="12822" width="4.77734375" style="1103" customWidth="1"/>
    <col min="12823" max="12823" width="8.88671875" style="1103"/>
    <col min="12824" max="12824" width="13.109375" style="1103" bestFit="1" customWidth="1"/>
    <col min="12825" max="12827" width="8.88671875" style="1103"/>
    <col min="12828" max="12828" width="11.77734375" style="1103" customWidth="1"/>
    <col min="12829" max="13063" width="8.88671875" style="1103"/>
    <col min="13064" max="13064" width="4.109375" style="1103" bestFit="1" customWidth="1"/>
    <col min="13065" max="13065" width="9.5546875" style="1103" bestFit="1" customWidth="1"/>
    <col min="13066" max="13066" width="6.6640625" style="1103" bestFit="1" customWidth="1"/>
    <col min="13067" max="13067" width="7" style="1103" bestFit="1" customWidth="1"/>
    <col min="13068" max="13068" width="8.88671875" style="1103"/>
    <col min="13069" max="13069" width="8.88671875" style="1103" customWidth="1"/>
    <col min="13070" max="13077" width="6.33203125" style="1103" customWidth="1"/>
    <col min="13078" max="13078" width="4.77734375" style="1103" customWidth="1"/>
    <col min="13079" max="13079" width="8.88671875" style="1103"/>
    <col min="13080" max="13080" width="13.109375" style="1103" bestFit="1" customWidth="1"/>
    <col min="13081" max="13083" width="8.88671875" style="1103"/>
    <col min="13084" max="13084" width="11.77734375" style="1103" customWidth="1"/>
    <col min="13085" max="13319" width="8.88671875" style="1103"/>
    <col min="13320" max="13320" width="4.109375" style="1103" bestFit="1" customWidth="1"/>
    <col min="13321" max="13321" width="9.5546875" style="1103" bestFit="1" customWidth="1"/>
    <col min="13322" max="13322" width="6.6640625" style="1103" bestFit="1" customWidth="1"/>
    <col min="13323" max="13323" width="7" style="1103" bestFit="1" customWidth="1"/>
    <col min="13324" max="13324" width="8.88671875" style="1103"/>
    <col min="13325" max="13325" width="8.88671875" style="1103" customWidth="1"/>
    <col min="13326" max="13333" width="6.33203125" style="1103" customWidth="1"/>
    <col min="13334" max="13334" width="4.77734375" style="1103" customWidth="1"/>
    <col min="13335" max="13335" width="8.88671875" style="1103"/>
    <col min="13336" max="13336" width="13.109375" style="1103" bestFit="1" customWidth="1"/>
    <col min="13337" max="13339" width="8.88671875" style="1103"/>
    <col min="13340" max="13340" width="11.77734375" style="1103" customWidth="1"/>
    <col min="13341" max="13575" width="8.88671875" style="1103"/>
    <col min="13576" max="13576" width="4.109375" style="1103" bestFit="1" customWidth="1"/>
    <col min="13577" max="13577" width="9.5546875" style="1103" bestFit="1" customWidth="1"/>
    <col min="13578" max="13578" width="6.6640625" style="1103" bestFit="1" customWidth="1"/>
    <col min="13579" max="13579" width="7" style="1103" bestFit="1" customWidth="1"/>
    <col min="13580" max="13580" width="8.88671875" style="1103"/>
    <col min="13581" max="13581" width="8.88671875" style="1103" customWidth="1"/>
    <col min="13582" max="13589" width="6.33203125" style="1103" customWidth="1"/>
    <col min="13590" max="13590" width="4.77734375" style="1103" customWidth="1"/>
    <col min="13591" max="13591" width="8.88671875" style="1103"/>
    <col min="13592" max="13592" width="13.109375" style="1103" bestFit="1" customWidth="1"/>
    <col min="13593" max="13595" width="8.88671875" style="1103"/>
    <col min="13596" max="13596" width="11.77734375" style="1103" customWidth="1"/>
    <col min="13597" max="13831" width="8.88671875" style="1103"/>
    <col min="13832" max="13832" width="4.109375" style="1103" bestFit="1" customWidth="1"/>
    <col min="13833" max="13833" width="9.5546875" style="1103" bestFit="1" customWidth="1"/>
    <col min="13834" max="13834" width="6.6640625" style="1103" bestFit="1" customWidth="1"/>
    <col min="13835" max="13835" width="7" style="1103" bestFit="1" customWidth="1"/>
    <col min="13836" max="13836" width="8.88671875" style="1103"/>
    <col min="13837" max="13837" width="8.88671875" style="1103" customWidth="1"/>
    <col min="13838" max="13845" width="6.33203125" style="1103" customWidth="1"/>
    <col min="13846" max="13846" width="4.77734375" style="1103" customWidth="1"/>
    <col min="13847" max="13847" width="8.88671875" style="1103"/>
    <col min="13848" max="13848" width="13.109375" style="1103" bestFit="1" customWidth="1"/>
    <col min="13849" max="13851" width="8.88671875" style="1103"/>
    <col min="13852" max="13852" width="11.77734375" style="1103" customWidth="1"/>
    <col min="13853" max="14087" width="8.88671875" style="1103"/>
    <col min="14088" max="14088" width="4.109375" style="1103" bestFit="1" customWidth="1"/>
    <col min="14089" max="14089" width="9.5546875" style="1103" bestFit="1" customWidth="1"/>
    <col min="14090" max="14090" width="6.6640625" style="1103" bestFit="1" customWidth="1"/>
    <col min="14091" max="14091" width="7" style="1103" bestFit="1" customWidth="1"/>
    <col min="14092" max="14092" width="8.88671875" style="1103"/>
    <col min="14093" max="14093" width="8.88671875" style="1103" customWidth="1"/>
    <col min="14094" max="14101" width="6.33203125" style="1103" customWidth="1"/>
    <col min="14102" max="14102" width="4.77734375" style="1103" customWidth="1"/>
    <col min="14103" max="14103" width="8.88671875" style="1103"/>
    <col min="14104" max="14104" width="13.109375" style="1103" bestFit="1" customWidth="1"/>
    <col min="14105" max="14107" width="8.88671875" style="1103"/>
    <col min="14108" max="14108" width="11.77734375" style="1103" customWidth="1"/>
    <col min="14109" max="14343" width="8.88671875" style="1103"/>
    <col min="14344" max="14344" width="4.109375" style="1103" bestFit="1" customWidth="1"/>
    <col min="14345" max="14345" width="9.5546875" style="1103" bestFit="1" customWidth="1"/>
    <col min="14346" max="14346" width="6.6640625" style="1103" bestFit="1" customWidth="1"/>
    <col min="14347" max="14347" width="7" style="1103" bestFit="1" customWidth="1"/>
    <col min="14348" max="14348" width="8.88671875" style="1103"/>
    <col min="14349" max="14349" width="8.88671875" style="1103" customWidth="1"/>
    <col min="14350" max="14357" width="6.33203125" style="1103" customWidth="1"/>
    <col min="14358" max="14358" width="4.77734375" style="1103" customWidth="1"/>
    <col min="14359" max="14359" width="8.88671875" style="1103"/>
    <col min="14360" max="14360" width="13.109375" style="1103" bestFit="1" customWidth="1"/>
    <col min="14361" max="14363" width="8.88671875" style="1103"/>
    <col min="14364" max="14364" width="11.77734375" style="1103" customWidth="1"/>
    <col min="14365" max="14599" width="8.88671875" style="1103"/>
    <col min="14600" max="14600" width="4.109375" style="1103" bestFit="1" customWidth="1"/>
    <col min="14601" max="14601" width="9.5546875" style="1103" bestFit="1" customWidth="1"/>
    <col min="14602" max="14602" width="6.6640625" style="1103" bestFit="1" customWidth="1"/>
    <col min="14603" max="14603" width="7" style="1103" bestFit="1" customWidth="1"/>
    <col min="14604" max="14604" width="8.88671875" style="1103"/>
    <col min="14605" max="14605" width="8.88671875" style="1103" customWidth="1"/>
    <col min="14606" max="14613" width="6.33203125" style="1103" customWidth="1"/>
    <col min="14614" max="14614" width="4.77734375" style="1103" customWidth="1"/>
    <col min="14615" max="14615" width="8.88671875" style="1103"/>
    <col min="14616" max="14616" width="13.109375" style="1103" bestFit="1" customWidth="1"/>
    <col min="14617" max="14619" width="8.88671875" style="1103"/>
    <col min="14620" max="14620" width="11.77734375" style="1103" customWidth="1"/>
    <col min="14621" max="14855" width="8.88671875" style="1103"/>
    <col min="14856" max="14856" width="4.109375" style="1103" bestFit="1" customWidth="1"/>
    <col min="14857" max="14857" width="9.5546875" style="1103" bestFit="1" customWidth="1"/>
    <col min="14858" max="14858" width="6.6640625" style="1103" bestFit="1" customWidth="1"/>
    <col min="14859" max="14859" width="7" style="1103" bestFit="1" customWidth="1"/>
    <col min="14860" max="14860" width="8.88671875" style="1103"/>
    <col min="14861" max="14861" width="8.88671875" style="1103" customWidth="1"/>
    <col min="14862" max="14869" width="6.33203125" style="1103" customWidth="1"/>
    <col min="14870" max="14870" width="4.77734375" style="1103" customWidth="1"/>
    <col min="14871" max="14871" width="8.88671875" style="1103"/>
    <col min="14872" max="14872" width="13.109375" style="1103" bestFit="1" customWidth="1"/>
    <col min="14873" max="14875" width="8.88671875" style="1103"/>
    <col min="14876" max="14876" width="11.77734375" style="1103" customWidth="1"/>
    <col min="14877" max="15111" width="8.88671875" style="1103"/>
    <col min="15112" max="15112" width="4.109375" style="1103" bestFit="1" customWidth="1"/>
    <col min="15113" max="15113" width="9.5546875" style="1103" bestFit="1" customWidth="1"/>
    <col min="15114" max="15114" width="6.6640625" style="1103" bestFit="1" customWidth="1"/>
    <col min="15115" max="15115" width="7" style="1103" bestFit="1" customWidth="1"/>
    <col min="15116" max="15116" width="8.88671875" style="1103"/>
    <col min="15117" max="15117" width="8.88671875" style="1103" customWidth="1"/>
    <col min="15118" max="15125" width="6.33203125" style="1103" customWidth="1"/>
    <col min="15126" max="15126" width="4.77734375" style="1103" customWidth="1"/>
    <col min="15127" max="15127" width="8.88671875" style="1103"/>
    <col min="15128" max="15128" width="13.109375" style="1103" bestFit="1" customWidth="1"/>
    <col min="15129" max="15131" width="8.88671875" style="1103"/>
    <col min="15132" max="15132" width="11.77734375" style="1103" customWidth="1"/>
    <col min="15133" max="15367" width="8.88671875" style="1103"/>
    <col min="15368" max="15368" width="4.109375" style="1103" bestFit="1" customWidth="1"/>
    <col min="15369" max="15369" width="9.5546875" style="1103" bestFit="1" customWidth="1"/>
    <col min="15370" max="15370" width="6.6640625" style="1103" bestFit="1" customWidth="1"/>
    <col min="15371" max="15371" width="7" style="1103" bestFit="1" customWidth="1"/>
    <col min="15372" max="15372" width="8.88671875" style="1103"/>
    <col min="15373" max="15373" width="8.88671875" style="1103" customWidth="1"/>
    <col min="15374" max="15381" width="6.33203125" style="1103" customWidth="1"/>
    <col min="15382" max="15382" width="4.77734375" style="1103" customWidth="1"/>
    <col min="15383" max="15383" width="8.88671875" style="1103"/>
    <col min="15384" max="15384" width="13.109375" style="1103" bestFit="1" customWidth="1"/>
    <col min="15385" max="15387" width="8.88671875" style="1103"/>
    <col min="15388" max="15388" width="11.77734375" style="1103" customWidth="1"/>
    <col min="15389" max="15623" width="8.88671875" style="1103"/>
    <col min="15624" max="15624" width="4.109375" style="1103" bestFit="1" customWidth="1"/>
    <col min="15625" max="15625" width="9.5546875" style="1103" bestFit="1" customWidth="1"/>
    <col min="15626" max="15626" width="6.6640625" style="1103" bestFit="1" customWidth="1"/>
    <col min="15627" max="15627" width="7" style="1103" bestFit="1" customWidth="1"/>
    <col min="15628" max="15628" width="8.88671875" style="1103"/>
    <col min="15629" max="15629" width="8.88671875" style="1103" customWidth="1"/>
    <col min="15630" max="15637" width="6.33203125" style="1103" customWidth="1"/>
    <col min="15638" max="15638" width="4.77734375" style="1103" customWidth="1"/>
    <col min="15639" max="15639" width="8.88671875" style="1103"/>
    <col min="15640" max="15640" width="13.109375" style="1103" bestFit="1" customWidth="1"/>
    <col min="15641" max="15643" width="8.88671875" style="1103"/>
    <col min="15644" max="15644" width="11.77734375" style="1103" customWidth="1"/>
    <col min="15645" max="15879" width="8.88671875" style="1103"/>
    <col min="15880" max="15880" width="4.109375" style="1103" bestFit="1" customWidth="1"/>
    <col min="15881" max="15881" width="9.5546875" style="1103" bestFit="1" customWidth="1"/>
    <col min="15882" max="15882" width="6.6640625" style="1103" bestFit="1" customWidth="1"/>
    <col min="15883" max="15883" width="7" style="1103" bestFit="1" customWidth="1"/>
    <col min="15884" max="15884" width="8.88671875" style="1103"/>
    <col min="15885" max="15885" width="8.88671875" style="1103" customWidth="1"/>
    <col min="15886" max="15893" width="6.33203125" style="1103" customWidth="1"/>
    <col min="15894" max="15894" width="4.77734375" style="1103" customWidth="1"/>
    <col min="15895" max="15895" width="8.88671875" style="1103"/>
    <col min="15896" max="15896" width="13.109375" style="1103" bestFit="1" customWidth="1"/>
    <col min="15897" max="15899" width="8.88671875" style="1103"/>
    <col min="15900" max="15900" width="11.77734375" style="1103" customWidth="1"/>
    <col min="15901" max="16135" width="8.88671875" style="1103"/>
    <col min="16136" max="16136" width="4.109375" style="1103" bestFit="1" customWidth="1"/>
    <col min="16137" max="16137" width="9.5546875" style="1103" bestFit="1" customWidth="1"/>
    <col min="16138" max="16138" width="6.6640625" style="1103" bestFit="1" customWidth="1"/>
    <col min="16139" max="16139" width="7" style="1103" bestFit="1" customWidth="1"/>
    <col min="16140" max="16140" width="8.88671875" style="1103"/>
    <col min="16141" max="16141" width="8.88671875" style="1103" customWidth="1"/>
    <col min="16142" max="16149" width="6.33203125" style="1103" customWidth="1"/>
    <col min="16150" max="16150" width="4.77734375" style="1103" customWidth="1"/>
    <col min="16151" max="16151" width="8.88671875" style="1103"/>
    <col min="16152" max="16152" width="13.109375" style="1103" bestFit="1" customWidth="1"/>
    <col min="16153" max="16155" width="8.88671875" style="1103"/>
    <col min="16156" max="16156" width="11.77734375" style="1103" customWidth="1"/>
    <col min="16157" max="16384" width="8.88671875" style="1103"/>
  </cols>
  <sheetData>
    <row r="1" spans="1:31" ht="20.100000000000001" customHeight="1">
      <c r="A1" s="1371" t="s">
        <v>418</v>
      </c>
      <c r="B1" s="1371"/>
      <c r="C1" s="1371"/>
      <c r="D1" s="1371"/>
      <c r="E1" s="1371"/>
      <c r="F1" s="1371"/>
      <c r="G1" s="1371"/>
      <c r="H1" s="1371"/>
      <c r="I1" s="1371"/>
      <c r="J1" s="1371"/>
      <c r="K1" s="1371"/>
      <c r="L1" s="1371"/>
      <c r="M1" s="1371"/>
      <c r="N1" s="1371"/>
      <c r="O1" s="1371"/>
      <c r="P1" s="1371"/>
      <c r="Q1" s="1371"/>
      <c r="R1" s="1371"/>
      <c r="S1" s="1371"/>
      <c r="T1" s="1371"/>
      <c r="U1" s="1371"/>
      <c r="V1" s="1371"/>
      <c r="W1" s="1371"/>
    </row>
    <row r="2" spans="1:31" s="1104" customFormat="1" ht="18.95" customHeight="1">
      <c r="A2" s="1372" t="s">
        <v>342</v>
      </c>
      <c r="B2" s="1375" t="s">
        <v>31</v>
      </c>
      <c r="C2" s="1375" t="s">
        <v>343</v>
      </c>
      <c r="D2" s="1376" t="s">
        <v>344</v>
      </c>
      <c r="E2" s="1376" t="s">
        <v>345</v>
      </c>
      <c r="F2" s="1362" t="s">
        <v>354</v>
      </c>
      <c r="G2" s="1362"/>
      <c r="H2" s="1362"/>
      <c r="I2" s="1379" t="s">
        <v>359</v>
      </c>
      <c r="J2" s="1380"/>
      <c r="K2" s="1380"/>
      <c r="L2" s="1381"/>
      <c r="M2" s="1379" t="s">
        <v>360</v>
      </c>
      <c r="N2" s="1380"/>
      <c r="O2" s="1380"/>
      <c r="P2" s="1380"/>
      <c r="Q2" s="1381"/>
      <c r="R2" s="1382" t="s">
        <v>436</v>
      </c>
      <c r="S2" s="1362" t="s">
        <v>1003</v>
      </c>
      <c r="T2" s="1362" t="s">
        <v>1002</v>
      </c>
      <c r="U2" s="1362" t="s">
        <v>822</v>
      </c>
      <c r="V2" s="1362" t="s">
        <v>1021</v>
      </c>
      <c r="W2" s="1366" t="s">
        <v>361</v>
      </c>
      <c r="Y2" s="1105" t="s">
        <v>435</v>
      </c>
    </row>
    <row r="3" spans="1:31" s="1104" customFormat="1" ht="18.95" customHeight="1">
      <c r="A3" s="1373"/>
      <c r="B3" s="1364"/>
      <c r="C3" s="1364"/>
      <c r="D3" s="1377"/>
      <c r="E3" s="1377"/>
      <c r="F3" s="1106" t="s">
        <v>817</v>
      </c>
      <c r="G3" s="1106" t="s">
        <v>1344</v>
      </c>
      <c r="H3" s="1106" t="s">
        <v>1345</v>
      </c>
      <c r="I3" s="1106" t="s">
        <v>1347</v>
      </c>
      <c r="J3" s="1106" t="s">
        <v>1348</v>
      </c>
      <c r="K3" s="1106" t="s">
        <v>1350</v>
      </c>
      <c r="L3" s="1106" t="s">
        <v>1352</v>
      </c>
      <c r="M3" s="1106" t="s">
        <v>1353</v>
      </c>
      <c r="N3" s="1106" t="s">
        <v>1354</v>
      </c>
      <c r="O3" s="1106" t="s">
        <v>1355</v>
      </c>
      <c r="P3" s="1106" t="s">
        <v>1356</v>
      </c>
      <c r="Q3" s="1106" t="s">
        <v>1357</v>
      </c>
      <c r="R3" s="1383"/>
      <c r="S3" s="1363"/>
      <c r="T3" s="1363"/>
      <c r="U3" s="1363"/>
      <c r="V3" s="1363"/>
      <c r="W3" s="1367"/>
      <c r="Y3" s="1105"/>
    </row>
    <row r="4" spans="1:31" s="1104" customFormat="1" ht="18.95" customHeight="1">
      <c r="A4" s="1373"/>
      <c r="B4" s="1364"/>
      <c r="C4" s="1364"/>
      <c r="D4" s="1377"/>
      <c r="E4" s="1377"/>
      <c r="F4" s="1107">
        <v>0.8</v>
      </c>
      <c r="G4" s="1107">
        <v>1</v>
      </c>
      <c r="H4" s="1107">
        <v>1.2</v>
      </c>
      <c r="I4" s="1108">
        <v>0.25</v>
      </c>
      <c r="J4" s="1108">
        <v>0.5</v>
      </c>
      <c r="K4" s="1108">
        <v>0.75</v>
      </c>
      <c r="L4" s="1108">
        <v>1</v>
      </c>
      <c r="M4" s="1108">
        <v>0.3</v>
      </c>
      <c r="N4" s="1108">
        <v>0.4</v>
      </c>
      <c r="O4" s="1108">
        <v>0.5</v>
      </c>
      <c r="P4" s="1108">
        <v>0.6</v>
      </c>
      <c r="Q4" s="1108">
        <v>0.7</v>
      </c>
      <c r="R4" s="1109" t="s">
        <v>349</v>
      </c>
      <c r="S4" s="1364"/>
      <c r="T4" s="1364"/>
      <c r="U4" s="1364"/>
      <c r="V4" s="1364"/>
      <c r="W4" s="1367"/>
      <c r="Y4" s="1105">
        <f>0.06</f>
        <v>0.06</v>
      </c>
      <c r="AB4" s="1104" t="s">
        <v>954</v>
      </c>
    </row>
    <row r="5" spans="1:31" s="1111" customFormat="1" ht="18.95" customHeight="1">
      <c r="A5" s="1374"/>
      <c r="B5" s="1365"/>
      <c r="C5" s="1365"/>
      <c r="D5" s="1378"/>
      <c r="E5" s="1378"/>
      <c r="F5" s="1110" t="s">
        <v>363</v>
      </c>
      <c r="G5" s="1110" t="s">
        <v>5</v>
      </c>
      <c r="H5" s="1110" t="s">
        <v>363</v>
      </c>
      <c r="I5" s="1110" t="s">
        <v>363</v>
      </c>
      <c r="J5" s="1110" t="s">
        <v>363</v>
      </c>
      <c r="K5" s="1110" t="s">
        <v>363</v>
      </c>
      <c r="L5" s="1110" t="s">
        <v>363</v>
      </c>
      <c r="M5" s="1110" t="s">
        <v>363</v>
      </c>
      <c r="N5" s="1110" t="s">
        <v>5</v>
      </c>
      <c r="O5" s="1110" t="s">
        <v>5</v>
      </c>
      <c r="P5" s="1110" t="s">
        <v>5</v>
      </c>
      <c r="Q5" s="1110" t="s">
        <v>5</v>
      </c>
      <c r="R5" s="1110" t="s">
        <v>364</v>
      </c>
      <c r="S5" s="1365"/>
      <c r="T5" s="1365"/>
      <c r="U5" s="1365"/>
      <c r="V5" s="1365"/>
      <c r="W5" s="1368"/>
      <c r="AB5" s="1111" t="s">
        <v>952</v>
      </c>
      <c r="AC5" s="1111" t="s">
        <v>953</v>
      </c>
    </row>
    <row r="6" spans="1:31" ht="19.5" customHeight="1">
      <c r="A6" s="1112">
        <v>1</v>
      </c>
      <c r="B6" s="1113" t="str">
        <f>AB6</f>
        <v>소(국)2-어천4</v>
      </c>
      <c r="C6" s="1113" t="str">
        <f>AC6</f>
        <v>M2-004</v>
      </c>
      <c r="D6" s="1113">
        <f>VLOOKUP(C6,'맨홀 평균 높이'!$J$4:$L$588,3,0)</f>
        <v>5.83</v>
      </c>
      <c r="E6" s="1114">
        <f>D6-$Y$4</f>
        <v>5.7700000000000005</v>
      </c>
      <c r="F6" s="1115"/>
      <c r="G6" s="1115"/>
      <c r="H6" s="1115">
        <v>1</v>
      </c>
      <c r="I6" s="1115"/>
      <c r="J6" s="1115"/>
      <c r="K6" s="1115"/>
      <c r="L6" s="1115">
        <v>4</v>
      </c>
      <c r="M6" s="1115"/>
      <c r="N6" s="1115"/>
      <c r="O6" s="1115">
        <v>1</v>
      </c>
      <c r="P6" s="1115"/>
      <c r="Q6" s="1115"/>
      <c r="R6" s="1116">
        <f>E6-X6</f>
        <v>7.0000000000000284E-2</v>
      </c>
      <c r="S6" s="1117">
        <f>SUM(F6:L6)*4</f>
        <v>20</v>
      </c>
      <c r="T6" s="1117">
        <f>SUM(F6:L6)*2</f>
        <v>10</v>
      </c>
      <c r="U6" s="1117">
        <f>ROUND(((E6-R6)-0.6)/0.3,0)</f>
        <v>17</v>
      </c>
      <c r="V6" s="1117">
        <f>IF(X6&gt;=4,ROUND(((E6-R6)-0.6)/4,0),"0")</f>
        <v>1</v>
      </c>
      <c r="W6" s="1117"/>
      <c r="X6" s="1118">
        <f t="shared" ref="X6" si="0">($F$4*F6)+($G$4*G6)+($H$4*H6)+($I$4*I6)+($J$4*J6)+($K$4*K6)+($L$4*L6)+($M$4*M6)+($N$4*N6)+($O$4*O6)+($P$4*P6)+($Q$4*Q6)</f>
        <v>5.7</v>
      </c>
      <c r="Y6" s="1119" t="str">
        <f>IF(ISERROR(VLOOKUP(C6,'부관맨홀 산출근거'!$K$2:$L$32,2,FALSE)),"","부관")</f>
        <v>부관</v>
      </c>
      <c r="Z6" s="917"/>
      <c r="AA6" s="917"/>
      <c r="AB6" s="907" t="s">
        <v>1230</v>
      </c>
      <c r="AC6" s="907" t="s">
        <v>1331</v>
      </c>
      <c r="AD6" s="917"/>
      <c r="AE6" s="917"/>
    </row>
    <row r="7" spans="1:31" ht="19.5" customHeight="1">
      <c r="A7" s="1120">
        <f>A6+1</f>
        <v>2</v>
      </c>
      <c r="B7" s="1113" t="str">
        <f t="shared" ref="B7:B43" si="1">AB7</f>
        <v>A004~A008(2)</v>
      </c>
      <c r="C7" s="1113" t="str">
        <f t="shared" ref="C7:C43" si="2">AC7</f>
        <v>M2-007</v>
      </c>
      <c r="D7" s="1113">
        <f>VLOOKUP(C7,'맨홀 평균 높이'!$J$4:$L$588,3,0)</f>
        <v>6.64</v>
      </c>
      <c r="E7" s="1114">
        <f t="shared" ref="E7:E43" si="3">D7-$Y$4</f>
        <v>6.58</v>
      </c>
      <c r="F7" s="1115"/>
      <c r="G7" s="1115"/>
      <c r="H7" s="1115">
        <v>1</v>
      </c>
      <c r="I7" s="1115"/>
      <c r="J7" s="1115"/>
      <c r="K7" s="1115">
        <v>1</v>
      </c>
      <c r="L7" s="1115">
        <v>4</v>
      </c>
      <c r="M7" s="1115"/>
      <c r="N7" s="1115"/>
      <c r="O7" s="1115"/>
      <c r="P7" s="1115">
        <v>1</v>
      </c>
      <c r="Q7" s="1115"/>
      <c r="R7" s="1116">
        <f t="shared" ref="R7:R43" si="4">E7-X7</f>
        <v>3.0000000000000249E-2</v>
      </c>
      <c r="S7" s="1117">
        <f t="shared" ref="S7:S43" si="5">SUM(F7:L7)*4</f>
        <v>24</v>
      </c>
      <c r="T7" s="1117">
        <f t="shared" ref="T7:T43" si="6">SUM(F7:L7)*2</f>
        <v>12</v>
      </c>
      <c r="U7" s="1117">
        <f t="shared" ref="U7:U43" si="7">ROUND(((E7-R7)-0.6)/0.3,0)</f>
        <v>20</v>
      </c>
      <c r="V7" s="1117">
        <f t="shared" ref="V7:V43" si="8">IF(X7&gt;=4,ROUND(((E7-R7)-0.6)/4,0),"0")</f>
        <v>1</v>
      </c>
      <c r="W7" s="1117"/>
      <c r="X7" s="1118">
        <f t="shared" ref="X7:X43" si="9">($F$4*F7)+($G$4*G7)+($H$4*H7)+($I$4*I7)+($J$4*J7)+($K$4*K7)+($L$4*L7)+($M$4*M7)+($N$4*N7)+($O$4*O7)+($P$4*P7)+($Q$4*Q7)</f>
        <v>6.55</v>
      </c>
      <c r="Y7" s="1119" t="str">
        <f>IF(ISERROR(VLOOKUP(C7,'부관맨홀 산출근거'!$K$2:$L$32,2,FALSE)),"","부관")</f>
        <v/>
      </c>
      <c r="Z7" s="917"/>
      <c r="AA7" s="917"/>
      <c r="AB7" s="907" t="s">
        <v>1334</v>
      </c>
      <c r="AC7" s="907" t="s">
        <v>1381</v>
      </c>
      <c r="AD7" s="917"/>
      <c r="AE7" s="917"/>
    </row>
    <row r="8" spans="1:31" ht="19.5" customHeight="1">
      <c r="A8" s="1256">
        <f t="shared" ref="A8:A43" si="10">A7+1</f>
        <v>3</v>
      </c>
      <c r="B8" s="1113" t="str">
        <f t="shared" si="1"/>
        <v>A004~A008(2)</v>
      </c>
      <c r="C8" s="1113" t="str">
        <f t="shared" si="2"/>
        <v>M2-008(1)</v>
      </c>
      <c r="D8" s="1113">
        <f>VLOOKUP(C8,'맨홀 평균 높이'!$J$4:$L$588,3,0)</f>
        <v>6.34</v>
      </c>
      <c r="E8" s="1114">
        <f t="shared" si="3"/>
        <v>6.28</v>
      </c>
      <c r="F8" s="1115"/>
      <c r="G8" s="1115"/>
      <c r="H8" s="1115">
        <v>1</v>
      </c>
      <c r="I8" s="1115"/>
      <c r="J8" s="1115">
        <v>1</v>
      </c>
      <c r="K8" s="1115"/>
      <c r="L8" s="1115">
        <v>4</v>
      </c>
      <c r="M8" s="1115"/>
      <c r="N8" s="1115"/>
      <c r="O8" s="1115">
        <v>1</v>
      </c>
      <c r="P8" s="1115"/>
      <c r="Q8" s="1115"/>
      <c r="R8" s="1116">
        <f t="shared" si="4"/>
        <v>8.0000000000000071E-2</v>
      </c>
      <c r="S8" s="1117">
        <f t="shared" si="5"/>
        <v>24</v>
      </c>
      <c r="T8" s="1117">
        <f t="shared" si="6"/>
        <v>12</v>
      </c>
      <c r="U8" s="1117">
        <f t="shared" si="7"/>
        <v>19</v>
      </c>
      <c r="V8" s="1117">
        <f t="shared" si="8"/>
        <v>1</v>
      </c>
      <c r="W8" s="1117"/>
      <c r="X8" s="1118">
        <f t="shared" si="9"/>
        <v>6.2</v>
      </c>
      <c r="Y8" s="1119" t="str">
        <f>IF(ISERROR(VLOOKUP(C8,'부관맨홀 산출근거'!$K$2:$L$32,2,FALSE)),"","부관")</f>
        <v/>
      </c>
      <c r="Z8" s="917"/>
      <c r="AA8" s="917"/>
      <c r="AB8" s="907" t="s">
        <v>1334</v>
      </c>
      <c r="AC8" s="907" t="s">
        <v>1382</v>
      </c>
      <c r="AD8" s="917"/>
      <c r="AE8" s="917"/>
    </row>
    <row r="9" spans="1:31" ht="19.5" customHeight="1">
      <c r="A9" s="1256">
        <f t="shared" si="10"/>
        <v>4</v>
      </c>
      <c r="B9" s="1113" t="str">
        <f t="shared" si="1"/>
        <v>중(집)2-어천1</v>
      </c>
      <c r="C9" s="1113" t="str">
        <f t="shared" si="2"/>
        <v>M2-025</v>
      </c>
      <c r="D9" s="1113">
        <f>VLOOKUP(C9,'맨홀 평균 높이'!$J$4:$L$588,3,0)</f>
        <v>6.88</v>
      </c>
      <c r="E9" s="1114">
        <f t="shared" si="3"/>
        <v>6.82</v>
      </c>
      <c r="F9" s="1115"/>
      <c r="G9" s="1115"/>
      <c r="H9" s="1115">
        <v>1</v>
      </c>
      <c r="I9" s="1115"/>
      <c r="J9" s="1115"/>
      <c r="K9" s="1115"/>
      <c r="L9" s="1115">
        <v>5</v>
      </c>
      <c r="M9" s="1115"/>
      <c r="N9" s="1115"/>
      <c r="O9" s="1115"/>
      <c r="P9" s="1115">
        <v>1</v>
      </c>
      <c r="Q9" s="1115"/>
      <c r="R9" s="1116">
        <f t="shared" si="4"/>
        <v>2.0000000000000462E-2</v>
      </c>
      <c r="S9" s="1117">
        <f t="shared" si="5"/>
        <v>24</v>
      </c>
      <c r="T9" s="1117">
        <f t="shared" si="6"/>
        <v>12</v>
      </c>
      <c r="U9" s="1117">
        <f t="shared" si="7"/>
        <v>21</v>
      </c>
      <c r="V9" s="1117">
        <f t="shared" si="8"/>
        <v>2</v>
      </c>
      <c r="W9" s="1117"/>
      <c r="X9" s="1118">
        <f t="shared" si="9"/>
        <v>6.8</v>
      </c>
      <c r="Y9" s="1119" t="str">
        <f>IF(ISERROR(VLOOKUP(C9,'부관맨홀 산출근거'!$K$2:$L$32,2,FALSE)),"","부관")</f>
        <v>부관</v>
      </c>
      <c r="Z9" s="917"/>
      <c r="AA9" s="917"/>
      <c r="AB9" s="907" t="s">
        <v>1234</v>
      </c>
      <c r="AC9" s="907" t="s">
        <v>1226</v>
      </c>
      <c r="AD9" s="917"/>
      <c r="AE9" s="917"/>
    </row>
    <row r="10" spans="1:31" ht="19.5" customHeight="1">
      <c r="A10" s="1256">
        <f t="shared" si="10"/>
        <v>5</v>
      </c>
      <c r="B10" s="1113" t="str">
        <f t="shared" ref="B10" si="11">AB10</f>
        <v>중(집)2-어천1</v>
      </c>
      <c r="C10" s="1113" t="str">
        <f t="shared" ref="C10" si="12">AC10</f>
        <v>M2-026</v>
      </c>
      <c r="D10" s="1113">
        <f>VLOOKUP(C10,'맨홀 평균 높이'!$J$4:$L$588,3,0)</f>
        <v>8.23</v>
      </c>
      <c r="E10" s="1114">
        <f t="shared" si="3"/>
        <v>8.17</v>
      </c>
      <c r="F10" s="1115">
        <v>1</v>
      </c>
      <c r="G10" s="1115"/>
      <c r="H10" s="1115"/>
      <c r="I10" s="1115"/>
      <c r="J10" s="1115"/>
      <c r="K10" s="1115"/>
      <c r="L10" s="1115">
        <v>7</v>
      </c>
      <c r="M10" s="1115">
        <v>1</v>
      </c>
      <c r="N10" s="1115"/>
      <c r="O10" s="1115"/>
      <c r="P10" s="1115"/>
      <c r="Q10" s="1115"/>
      <c r="R10" s="1116">
        <f t="shared" ref="R10" si="13">E10-X10</f>
        <v>7.0000000000000284E-2</v>
      </c>
      <c r="S10" s="1117">
        <f t="shared" ref="S10" si="14">SUM(F10:L10)*4</f>
        <v>32</v>
      </c>
      <c r="T10" s="1117">
        <f t="shared" ref="T10" si="15">SUM(F10:L10)*2</f>
        <v>16</v>
      </c>
      <c r="U10" s="1117">
        <f t="shared" ref="U10" si="16">ROUND(((E10-R10)-0.6)/0.3,0)</f>
        <v>25</v>
      </c>
      <c r="V10" s="1117">
        <f t="shared" ref="V10" si="17">IF(X10&gt;=4,ROUND(((E10-R10)-0.6)/4,0),"0")</f>
        <v>2</v>
      </c>
      <c r="W10" s="1117"/>
      <c r="X10" s="1118">
        <f t="shared" ref="X10" si="18">($F$4*F10)+($G$4*G10)+($H$4*H10)+($I$4*I10)+($J$4*J10)+($K$4*K10)+($L$4*L10)+($M$4*M10)+($N$4*N10)+($O$4*O10)+($P$4*P10)+($Q$4*Q10)</f>
        <v>8.1</v>
      </c>
      <c r="Y10" s="1119" t="str">
        <f>IF(ISERROR(VLOOKUP(C10,'부관맨홀 산출근거'!$K$2:$L$32,2,FALSE)),"","부관")</f>
        <v/>
      </c>
      <c r="Z10" s="917"/>
      <c r="AA10" s="917"/>
      <c r="AB10" s="1264" t="s">
        <v>1234</v>
      </c>
      <c r="AC10" s="1264" t="s">
        <v>1543</v>
      </c>
      <c r="AD10" s="917"/>
      <c r="AE10" s="917"/>
    </row>
    <row r="11" spans="1:31" ht="19.5" customHeight="1">
      <c r="A11" s="1256">
        <f t="shared" si="10"/>
        <v>6</v>
      </c>
      <c r="B11" s="1113" t="str">
        <f t="shared" si="1"/>
        <v>도시농업</v>
      </c>
      <c r="C11" s="1113" t="str">
        <f t="shared" si="2"/>
        <v>M2-042</v>
      </c>
      <c r="D11" s="1113">
        <f>VLOOKUP(C11,'맨홀 평균 높이'!$J$4:$L$588,3,0)</f>
        <v>3.73</v>
      </c>
      <c r="E11" s="1114">
        <f t="shared" si="3"/>
        <v>3.67</v>
      </c>
      <c r="F11" s="1115"/>
      <c r="G11" s="1115"/>
      <c r="H11" s="1115">
        <v>1</v>
      </c>
      <c r="I11" s="1115"/>
      <c r="J11" s="1115"/>
      <c r="K11" s="1115">
        <v>1</v>
      </c>
      <c r="L11" s="1115">
        <v>1</v>
      </c>
      <c r="M11" s="1115"/>
      <c r="N11" s="1115"/>
      <c r="O11" s="1115"/>
      <c r="P11" s="1115"/>
      <c r="Q11" s="1115">
        <v>1</v>
      </c>
      <c r="R11" s="1116">
        <f t="shared" si="4"/>
        <v>1.9999999999999574E-2</v>
      </c>
      <c r="S11" s="1117">
        <f t="shared" si="5"/>
        <v>12</v>
      </c>
      <c r="T11" s="1117">
        <f t="shared" si="6"/>
        <v>6</v>
      </c>
      <c r="U11" s="1117">
        <f t="shared" si="7"/>
        <v>10</v>
      </c>
      <c r="V11" s="1117" t="str">
        <f t="shared" si="8"/>
        <v>0</v>
      </c>
      <c r="W11" s="1117"/>
      <c r="X11" s="1118">
        <f t="shared" si="9"/>
        <v>3.6500000000000004</v>
      </c>
      <c r="Y11" s="1119" t="str">
        <f>IF(ISERROR(VLOOKUP(C11,'부관맨홀 산출근거'!$K$2:$L$32,2,FALSE)),"","부관")</f>
        <v/>
      </c>
      <c r="Z11" s="917"/>
      <c r="AA11" s="917"/>
      <c r="AB11" s="907" t="s">
        <v>1290</v>
      </c>
      <c r="AC11" s="907" t="s">
        <v>1385</v>
      </c>
      <c r="AD11" s="917"/>
      <c r="AE11" s="917"/>
    </row>
    <row r="12" spans="1:31" ht="19.5" customHeight="1">
      <c r="A12" s="1256">
        <f t="shared" si="10"/>
        <v>7</v>
      </c>
      <c r="B12" s="1113" t="str">
        <f t="shared" si="1"/>
        <v>소(국)1-어천1</v>
      </c>
      <c r="C12" s="1113" t="str">
        <f t="shared" si="2"/>
        <v>M2-045</v>
      </c>
      <c r="D12" s="1113">
        <f>VLOOKUP(C12,'맨홀 평균 높이'!$J$4:$L$588,3,0)</f>
        <v>1.74</v>
      </c>
      <c r="E12" s="1114">
        <f t="shared" si="3"/>
        <v>1.68</v>
      </c>
      <c r="F12" s="1115"/>
      <c r="G12" s="1115"/>
      <c r="H12" s="1115">
        <v>1</v>
      </c>
      <c r="I12" s="1115"/>
      <c r="J12" s="1115"/>
      <c r="K12" s="1115"/>
      <c r="L12" s="1115"/>
      <c r="M12" s="1115"/>
      <c r="N12" s="1115">
        <v>1</v>
      </c>
      <c r="O12" s="1115"/>
      <c r="P12" s="1115"/>
      <c r="Q12" s="1115"/>
      <c r="R12" s="1116">
        <f t="shared" si="4"/>
        <v>7.9999999999999849E-2</v>
      </c>
      <c r="S12" s="1117">
        <f t="shared" si="5"/>
        <v>4</v>
      </c>
      <c r="T12" s="1117">
        <f t="shared" si="6"/>
        <v>2</v>
      </c>
      <c r="U12" s="1117">
        <f t="shared" si="7"/>
        <v>3</v>
      </c>
      <c r="V12" s="1117" t="str">
        <f t="shared" si="8"/>
        <v>0</v>
      </c>
      <c r="W12" s="1117"/>
      <c r="X12" s="1118">
        <f t="shared" si="9"/>
        <v>1.6</v>
      </c>
      <c r="Y12" s="1119" t="str">
        <f>IF(ISERROR(VLOOKUP(C12,'부관맨홀 산출근거'!$K$2:$L$32,2,FALSE)),"","부관")</f>
        <v/>
      </c>
      <c r="Z12" s="917"/>
      <c r="AA12" s="917"/>
      <c r="AB12" s="1215" t="s">
        <v>1263</v>
      </c>
      <c r="AC12" s="1215" t="s">
        <v>1501</v>
      </c>
      <c r="AD12" s="917"/>
      <c r="AE12" s="917"/>
    </row>
    <row r="13" spans="1:31" ht="19.5" customHeight="1">
      <c r="A13" s="1256">
        <f t="shared" si="10"/>
        <v>8</v>
      </c>
      <c r="B13" s="1113" t="str">
        <f t="shared" si="1"/>
        <v>소(국)2-어천1</v>
      </c>
      <c r="C13" s="1113" t="str">
        <f t="shared" si="2"/>
        <v>M2-046(1)</v>
      </c>
      <c r="D13" s="1113">
        <f>VLOOKUP(C13,'맨홀 평균 높이'!$J$4:$L$588,3,0)</f>
        <v>2.34</v>
      </c>
      <c r="E13" s="1114">
        <f t="shared" si="3"/>
        <v>2.2799999999999998</v>
      </c>
      <c r="F13" s="1115"/>
      <c r="G13" s="1115"/>
      <c r="H13" s="1115">
        <v>1</v>
      </c>
      <c r="I13" s="1115"/>
      <c r="J13" s="1115">
        <v>1</v>
      </c>
      <c r="K13" s="1115"/>
      <c r="L13" s="1115"/>
      <c r="M13" s="1115"/>
      <c r="N13" s="1115"/>
      <c r="O13" s="1115">
        <v>1</v>
      </c>
      <c r="P13" s="1115"/>
      <c r="Q13" s="1115"/>
      <c r="R13" s="1116">
        <f t="shared" si="4"/>
        <v>7.9999999999999627E-2</v>
      </c>
      <c r="S13" s="1117">
        <f t="shared" si="5"/>
        <v>8</v>
      </c>
      <c r="T13" s="1117">
        <f t="shared" si="6"/>
        <v>4</v>
      </c>
      <c r="U13" s="1117">
        <f t="shared" si="7"/>
        <v>5</v>
      </c>
      <c r="V13" s="1117" t="str">
        <f t="shared" si="8"/>
        <v>0</v>
      </c>
      <c r="W13" s="1117"/>
      <c r="X13" s="1118">
        <f t="shared" si="9"/>
        <v>2.2000000000000002</v>
      </c>
      <c r="Y13" s="1119" t="str">
        <f>IF(ISERROR(VLOOKUP(C13,'부관맨홀 산출근거'!$K$2:$L$32,2,FALSE)),"","부관")</f>
        <v/>
      </c>
      <c r="Z13" s="917"/>
      <c r="AA13" s="917"/>
      <c r="AB13" s="907" t="s">
        <v>1261</v>
      </c>
      <c r="AC13" s="907" t="s">
        <v>1440</v>
      </c>
      <c r="AD13" s="917"/>
      <c r="AE13" s="917"/>
    </row>
    <row r="14" spans="1:31" ht="19.5" customHeight="1">
      <c r="A14" s="1256">
        <f t="shared" si="10"/>
        <v>9</v>
      </c>
      <c r="B14" s="1113" t="str">
        <f t="shared" si="1"/>
        <v>소(국)1-어천4</v>
      </c>
      <c r="C14" s="1113" t="str">
        <f t="shared" si="2"/>
        <v>M2-046(3)</v>
      </c>
      <c r="D14" s="1113">
        <f>VLOOKUP(C14,'맨홀 평균 높이'!$J$4:$L$588,3,0)</f>
        <v>1.72</v>
      </c>
      <c r="E14" s="1114">
        <f t="shared" si="3"/>
        <v>1.66</v>
      </c>
      <c r="F14" s="1115"/>
      <c r="G14" s="1115"/>
      <c r="H14" s="1115">
        <v>1</v>
      </c>
      <c r="I14" s="1115"/>
      <c r="J14" s="1115"/>
      <c r="K14" s="1115"/>
      <c r="L14" s="1115"/>
      <c r="M14" s="1115"/>
      <c r="N14" s="1115">
        <v>1</v>
      </c>
      <c r="O14" s="1115"/>
      <c r="P14" s="1115"/>
      <c r="Q14" s="1115"/>
      <c r="R14" s="1116">
        <f t="shared" si="4"/>
        <v>5.9999999999999831E-2</v>
      </c>
      <c r="S14" s="1117">
        <f t="shared" si="5"/>
        <v>4</v>
      </c>
      <c r="T14" s="1117">
        <f t="shared" si="6"/>
        <v>2</v>
      </c>
      <c r="U14" s="1117">
        <f t="shared" si="7"/>
        <v>3</v>
      </c>
      <c r="V14" s="1117" t="str">
        <f t="shared" si="8"/>
        <v>0</v>
      </c>
      <c r="W14" s="1117"/>
      <c r="X14" s="1118">
        <f t="shared" si="9"/>
        <v>1.6</v>
      </c>
      <c r="Y14" s="1119" t="str">
        <f>IF(ISERROR(VLOOKUP(C14,'부관맨홀 산출근거'!$K$2:$L$32,2,FALSE)),"","부관")</f>
        <v/>
      </c>
      <c r="Z14" s="917"/>
      <c r="AA14" s="917"/>
      <c r="AB14" s="907" t="s">
        <v>1262</v>
      </c>
      <c r="AC14" s="907" t="s">
        <v>1441</v>
      </c>
      <c r="AD14" s="917"/>
      <c r="AE14" s="917"/>
    </row>
    <row r="15" spans="1:31" ht="19.5" customHeight="1">
      <c r="A15" s="1256">
        <f t="shared" si="10"/>
        <v>10</v>
      </c>
      <c r="B15" s="1113" t="str">
        <f t="shared" si="1"/>
        <v>소(국)1-어천4</v>
      </c>
      <c r="C15" s="1113" t="str">
        <f t="shared" si="2"/>
        <v>M2-047</v>
      </c>
      <c r="D15" s="1113">
        <f>VLOOKUP(C15,'맨홀 평균 높이'!$J$4:$L$588,3,0)</f>
        <v>2.44</v>
      </c>
      <c r="E15" s="1114">
        <f t="shared" si="3"/>
        <v>2.38</v>
      </c>
      <c r="F15" s="1115"/>
      <c r="G15" s="1115"/>
      <c r="H15" s="1115">
        <v>1</v>
      </c>
      <c r="I15" s="1115"/>
      <c r="J15" s="1115">
        <v>1</v>
      </c>
      <c r="K15" s="1115"/>
      <c r="L15" s="1115"/>
      <c r="M15" s="1115"/>
      <c r="N15" s="1115"/>
      <c r="O15" s="1115"/>
      <c r="P15" s="1115">
        <v>1</v>
      </c>
      <c r="Q15" s="1115"/>
      <c r="R15" s="1116">
        <f t="shared" si="4"/>
        <v>8.0000000000000071E-2</v>
      </c>
      <c r="S15" s="1117">
        <f t="shared" si="5"/>
        <v>8</v>
      </c>
      <c r="T15" s="1117">
        <f t="shared" si="6"/>
        <v>4</v>
      </c>
      <c r="U15" s="1117">
        <f t="shared" si="7"/>
        <v>6</v>
      </c>
      <c r="V15" s="1117" t="str">
        <f t="shared" si="8"/>
        <v>0</v>
      </c>
      <c r="W15" s="1117"/>
      <c r="X15" s="1118">
        <f t="shared" si="9"/>
        <v>2.2999999999999998</v>
      </c>
      <c r="Y15" s="1119" t="str">
        <f>IF(ISERROR(VLOOKUP(C15,'부관맨홀 산출근거'!$K$2:$L$32,2,FALSE)),"","부관")</f>
        <v>부관</v>
      </c>
      <c r="Z15" s="917"/>
      <c r="AA15" s="917"/>
      <c r="AB15" s="907" t="s">
        <v>1262</v>
      </c>
      <c r="AC15" s="907" t="s">
        <v>1401</v>
      </c>
      <c r="AD15" s="917"/>
      <c r="AE15" s="917"/>
    </row>
    <row r="16" spans="1:31" ht="19.5" customHeight="1">
      <c r="A16" s="1256">
        <f t="shared" si="10"/>
        <v>11</v>
      </c>
      <c r="B16" s="1113" t="str">
        <f t="shared" si="1"/>
        <v>소(국)1-어천1</v>
      </c>
      <c r="C16" s="1113" t="str">
        <f t="shared" si="2"/>
        <v>M2-050(2)</v>
      </c>
      <c r="D16" s="1113">
        <f>VLOOKUP(C16,'맨홀 평균 높이'!$J$4:$L$588,3,0)</f>
        <v>2.2200000000000002</v>
      </c>
      <c r="E16" s="1114">
        <f t="shared" si="3"/>
        <v>2.16</v>
      </c>
      <c r="F16" s="1115"/>
      <c r="G16" s="1115"/>
      <c r="H16" s="1115">
        <v>1</v>
      </c>
      <c r="I16" s="1115">
        <v>1</v>
      </c>
      <c r="J16" s="1115"/>
      <c r="K16" s="1115"/>
      <c r="L16" s="1115"/>
      <c r="M16" s="1115"/>
      <c r="N16" s="1115"/>
      <c r="O16" s="1115"/>
      <c r="P16" s="1115"/>
      <c r="Q16" s="1115">
        <v>1</v>
      </c>
      <c r="R16" s="1116">
        <f t="shared" si="4"/>
        <v>1.0000000000000231E-2</v>
      </c>
      <c r="S16" s="1117">
        <f t="shared" si="5"/>
        <v>8</v>
      </c>
      <c r="T16" s="1117">
        <f t="shared" si="6"/>
        <v>4</v>
      </c>
      <c r="U16" s="1117">
        <f t="shared" si="7"/>
        <v>5</v>
      </c>
      <c r="V16" s="1117" t="str">
        <f t="shared" si="8"/>
        <v>0</v>
      </c>
      <c r="W16" s="1117"/>
      <c r="X16" s="1118">
        <f t="shared" si="9"/>
        <v>2.15</v>
      </c>
      <c r="Y16" s="1119" t="str">
        <f>IF(ISERROR(VLOOKUP(C16,'부관맨홀 산출근거'!$K$2:$L$32,2,FALSE)),"","부관")</f>
        <v/>
      </c>
      <c r="Z16" s="917"/>
      <c r="AA16" s="917"/>
      <c r="AB16" s="907" t="s">
        <v>1263</v>
      </c>
      <c r="AC16" s="907" t="s">
        <v>1443</v>
      </c>
      <c r="AD16" s="917"/>
      <c r="AE16" s="917"/>
    </row>
    <row r="17" spans="1:31" ht="19.5" customHeight="1">
      <c r="A17" s="1256">
        <f t="shared" si="10"/>
        <v>12</v>
      </c>
      <c r="B17" s="1113" t="str">
        <f t="shared" si="1"/>
        <v>소(국)1-어천1</v>
      </c>
      <c r="C17" s="1113" t="str">
        <f t="shared" si="2"/>
        <v>M2-050(3)</v>
      </c>
      <c r="D17" s="1113">
        <f>VLOOKUP(C17,'맨홀 평균 높이'!$J$4:$L$588,3,0)</f>
        <v>2.15</v>
      </c>
      <c r="E17" s="1114">
        <f t="shared" si="3"/>
        <v>2.09</v>
      </c>
      <c r="F17" s="1115"/>
      <c r="G17" s="1115"/>
      <c r="H17" s="1115">
        <v>1</v>
      </c>
      <c r="I17" s="1115">
        <v>1</v>
      </c>
      <c r="J17" s="1115"/>
      <c r="K17" s="1115"/>
      <c r="L17" s="1115"/>
      <c r="M17" s="1115"/>
      <c r="N17" s="1115"/>
      <c r="O17" s="1115"/>
      <c r="P17" s="1115">
        <v>1</v>
      </c>
      <c r="Q17" s="1115"/>
      <c r="R17" s="1116">
        <f t="shared" si="4"/>
        <v>4.0000000000000036E-2</v>
      </c>
      <c r="S17" s="1117">
        <f t="shared" si="5"/>
        <v>8</v>
      </c>
      <c r="T17" s="1117">
        <f t="shared" si="6"/>
        <v>4</v>
      </c>
      <c r="U17" s="1117">
        <f t="shared" si="7"/>
        <v>5</v>
      </c>
      <c r="V17" s="1117" t="str">
        <f t="shared" si="8"/>
        <v>0</v>
      </c>
      <c r="W17" s="1117"/>
      <c r="X17" s="1118">
        <f t="shared" si="9"/>
        <v>2.0499999999999998</v>
      </c>
      <c r="Y17" s="1119" t="str">
        <f>IF(ISERROR(VLOOKUP(C17,'부관맨홀 산출근거'!$K$2:$L$32,2,FALSE)),"","부관")</f>
        <v/>
      </c>
      <c r="Z17" s="917"/>
      <c r="AA17" s="917"/>
      <c r="AB17" s="907" t="s">
        <v>1263</v>
      </c>
      <c r="AC17" s="907" t="s">
        <v>1444</v>
      </c>
      <c r="AD17" s="917"/>
      <c r="AE17" s="917"/>
    </row>
    <row r="18" spans="1:31" ht="19.5" customHeight="1">
      <c r="A18" s="1256">
        <f t="shared" si="10"/>
        <v>13</v>
      </c>
      <c r="B18" s="1113" t="str">
        <f t="shared" si="1"/>
        <v>소(국)1-어천1</v>
      </c>
      <c r="C18" s="1113" t="str">
        <f t="shared" si="2"/>
        <v>M2-051(1)</v>
      </c>
      <c r="D18" s="1113">
        <f>VLOOKUP(C18,'맨홀 평균 높이'!$J$4:$L$588,3,0)</f>
        <v>2.4900000000000002</v>
      </c>
      <c r="E18" s="1114">
        <f t="shared" si="3"/>
        <v>2.4300000000000002</v>
      </c>
      <c r="F18" s="1115"/>
      <c r="G18" s="1115"/>
      <c r="H18" s="1115">
        <v>1</v>
      </c>
      <c r="I18" s="1115"/>
      <c r="J18" s="1115">
        <v>1</v>
      </c>
      <c r="K18" s="1115"/>
      <c r="L18" s="1115"/>
      <c r="M18" s="1115"/>
      <c r="N18" s="1115"/>
      <c r="O18" s="1115"/>
      <c r="P18" s="1115"/>
      <c r="Q18" s="1115">
        <v>1</v>
      </c>
      <c r="R18" s="1116">
        <f t="shared" si="4"/>
        <v>3.0000000000000249E-2</v>
      </c>
      <c r="S18" s="1117">
        <f t="shared" si="5"/>
        <v>8</v>
      </c>
      <c r="T18" s="1117">
        <f t="shared" si="6"/>
        <v>4</v>
      </c>
      <c r="U18" s="1117">
        <f t="shared" si="7"/>
        <v>6</v>
      </c>
      <c r="V18" s="1117" t="str">
        <f t="shared" si="8"/>
        <v>0</v>
      </c>
      <c r="W18" s="1117"/>
      <c r="X18" s="1118">
        <f t="shared" si="9"/>
        <v>2.4</v>
      </c>
      <c r="Y18" s="1119" t="str">
        <f>IF(ISERROR(VLOOKUP(C18,'부관맨홀 산출근거'!$K$2:$L$32,2,FALSE)),"","부관")</f>
        <v/>
      </c>
      <c r="Z18" s="917"/>
      <c r="AA18" s="917"/>
      <c r="AB18" s="907" t="s">
        <v>1263</v>
      </c>
      <c r="AC18" s="907" t="s">
        <v>1445</v>
      </c>
      <c r="AD18" s="917"/>
      <c r="AE18" s="917"/>
    </row>
    <row r="19" spans="1:31" ht="19.5" customHeight="1">
      <c r="A19" s="1256">
        <f t="shared" si="10"/>
        <v>14</v>
      </c>
      <c r="B19" s="1113" t="str">
        <f t="shared" si="1"/>
        <v>중(국)3-어천1</v>
      </c>
      <c r="C19" s="1113" t="str">
        <f t="shared" si="2"/>
        <v>M2-054</v>
      </c>
      <c r="D19" s="1113">
        <f>VLOOKUP(C19,'맨홀 평균 높이'!$J$4:$L$588,3,0)</f>
        <v>3.7</v>
      </c>
      <c r="E19" s="1114">
        <f t="shared" si="3"/>
        <v>3.64</v>
      </c>
      <c r="F19" s="1115"/>
      <c r="G19" s="1115"/>
      <c r="H19" s="1115">
        <v>1</v>
      </c>
      <c r="I19" s="1115"/>
      <c r="J19" s="1115"/>
      <c r="K19" s="1115">
        <v>1</v>
      </c>
      <c r="L19" s="1115">
        <v>1</v>
      </c>
      <c r="M19" s="1115"/>
      <c r="N19" s="1115"/>
      <c r="O19" s="1115"/>
      <c r="P19" s="1115">
        <v>1</v>
      </c>
      <c r="Q19" s="1115"/>
      <c r="R19" s="1116">
        <f t="shared" si="4"/>
        <v>8.9999999999999858E-2</v>
      </c>
      <c r="S19" s="1117">
        <f t="shared" si="5"/>
        <v>12</v>
      </c>
      <c r="T19" s="1117">
        <f t="shared" si="6"/>
        <v>6</v>
      </c>
      <c r="U19" s="1117">
        <f t="shared" si="7"/>
        <v>10</v>
      </c>
      <c r="V19" s="1117" t="str">
        <f t="shared" si="8"/>
        <v>0</v>
      </c>
      <c r="W19" s="1117"/>
      <c r="X19" s="1118">
        <f t="shared" si="9"/>
        <v>3.5500000000000003</v>
      </c>
      <c r="Y19" s="1119" t="str">
        <f>IF(ISERROR(VLOOKUP(C19,'부관맨홀 산출근거'!$K$2:$L$32,2,FALSE)),"","부관")</f>
        <v>부관</v>
      </c>
      <c r="Z19" s="917"/>
      <c r="AA19" s="917"/>
      <c r="AB19" s="907" t="s">
        <v>1264</v>
      </c>
      <c r="AC19" s="907" t="s">
        <v>1403</v>
      </c>
      <c r="AD19" s="917"/>
      <c r="AE19" s="917"/>
    </row>
    <row r="20" spans="1:31" ht="19.5" customHeight="1">
      <c r="A20" s="1256">
        <f t="shared" si="10"/>
        <v>15</v>
      </c>
      <c r="B20" s="1113" t="str">
        <f t="shared" si="1"/>
        <v>중(국)3-어천1</v>
      </c>
      <c r="C20" s="1113" t="str">
        <f t="shared" si="2"/>
        <v>M2-055</v>
      </c>
      <c r="D20" s="1113">
        <f>VLOOKUP(C20,'맨홀 평균 높이'!$J$4:$L$588,3,0)</f>
        <v>3.65</v>
      </c>
      <c r="E20" s="1114">
        <f t="shared" si="3"/>
        <v>3.59</v>
      </c>
      <c r="F20" s="1115"/>
      <c r="G20" s="1115"/>
      <c r="H20" s="1115">
        <v>1</v>
      </c>
      <c r="I20" s="1115"/>
      <c r="J20" s="1115"/>
      <c r="K20" s="1115">
        <v>1</v>
      </c>
      <c r="L20" s="1115">
        <v>1</v>
      </c>
      <c r="M20" s="1115"/>
      <c r="N20" s="1115"/>
      <c r="O20" s="1115"/>
      <c r="P20" s="1115">
        <v>1</v>
      </c>
      <c r="Q20" s="1115"/>
      <c r="R20" s="1116">
        <f t="shared" si="4"/>
        <v>3.9999999999999591E-2</v>
      </c>
      <c r="S20" s="1117">
        <f t="shared" si="5"/>
        <v>12</v>
      </c>
      <c r="T20" s="1117">
        <f t="shared" si="6"/>
        <v>6</v>
      </c>
      <c r="U20" s="1117">
        <f t="shared" si="7"/>
        <v>10</v>
      </c>
      <c r="V20" s="1117" t="str">
        <f t="shared" si="8"/>
        <v>0</v>
      </c>
      <c r="W20" s="1117"/>
      <c r="X20" s="1118">
        <f t="shared" si="9"/>
        <v>3.5500000000000003</v>
      </c>
      <c r="Y20" s="1119" t="str">
        <f>IF(ISERROR(VLOOKUP(C20,'부관맨홀 산출근거'!$K$2:$L$32,2,FALSE)),"","부관")</f>
        <v>부관</v>
      </c>
      <c r="Z20" s="917"/>
      <c r="AA20" s="917"/>
      <c r="AB20" s="907" t="s">
        <v>1264</v>
      </c>
      <c r="AC20" s="907" t="s">
        <v>1399</v>
      </c>
      <c r="AD20" s="917"/>
      <c r="AE20" s="917"/>
    </row>
    <row r="21" spans="1:31" ht="19.5" customHeight="1">
      <c r="A21" s="1256">
        <f t="shared" si="10"/>
        <v>16</v>
      </c>
      <c r="B21" s="1113" t="str">
        <f t="shared" si="1"/>
        <v>중(국)3-어천1</v>
      </c>
      <c r="C21" s="1113" t="str">
        <f t="shared" si="2"/>
        <v>M2-056</v>
      </c>
      <c r="D21" s="1113">
        <f>VLOOKUP(C21,'맨홀 평균 높이'!$J$4:$L$588,3,0)</f>
        <v>3.31</v>
      </c>
      <c r="E21" s="1114">
        <f t="shared" si="3"/>
        <v>3.25</v>
      </c>
      <c r="F21" s="1115"/>
      <c r="G21" s="1115"/>
      <c r="H21" s="1115">
        <v>1</v>
      </c>
      <c r="I21" s="1115"/>
      <c r="J21" s="1115">
        <v>1</v>
      </c>
      <c r="K21" s="1115"/>
      <c r="L21" s="1115">
        <v>1</v>
      </c>
      <c r="M21" s="1115"/>
      <c r="N21" s="1115"/>
      <c r="O21" s="1115">
        <v>1</v>
      </c>
      <c r="P21" s="1115"/>
      <c r="Q21" s="1115"/>
      <c r="R21" s="1116">
        <f t="shared" si="4"/>
        <v>4.9999999999999822E-2</v>
      </c>
      <c r="S21" s="1117">
        <f t="shared" si="5"/>
        <v>12</v>
      </c>
      <c r="T21" s="1117">
        <f t="shared" si="6"/>
        <v>6</v>
      </c>
      <c r="U21" s="1117">
        <f t="shared" si="7"/>
        <v>9</v>
      </c>
      <c r="V21" s="1117" t="str">
        <f t="shared" si="8"/>
        <v>0</v>
      </c>
      <c r="W21" s="1117"/>
      <c r="X21" s="1118">
        <f t="shared" si="9"/>
        <v>3.2</v>
      </c>
      <c r="Y21" s="1119" t="str">
        <f>IF(ISERROR(VLOOKUP(C21,'부관맨홀 산출근거'!$K$2:$L$32,2,FALSE)),"","부관")</f>
        <v>부관</v>
      </c>
      <c r="Z21" s="917"/>
      <c r="AA21" s="917"/>
      <c r="AB21" s="907" t="s">
        <v>1264</v>
      </c>
      <c r="AC21" s="907" t="s">
        <v>1404</v>
      </c>
      <c r="AD21" s="917"/>
      <c r="AE21" s="917"/>
    </row>
    <row r="22" spans="1:31" ht="19.5" customHeight="1">
      <c r="A22" s="1256">
        <f t="shared" si="10"/>
        <v>17</v>
      </c>
      <c r="B22" s="1113" t="str">
        <f t="shared" si="1"/>
        <v>A065(1)~A066</v>
      </c>
      <c r="C22" s="1113" t="str">
        <f t="shared" si="2"/>
        <v>M2-057(1)</v>
      </c>
      <c r="D22" s="1113">
        <f>VLOOKUP(C22,'맨홀 평균 높이'!$J$4:$L$588,3,0)</f>
        <v>5.94</v>
      </c>
      <c r="E22" s="1114">
        <f t="shared" si="3"/>
        <v>5.8800000000000008</v>
      </c>
      <c r="F22" s="1115"/>
      <c r="G22" s="1115"/>
      <c r="H22" s="1115">
        <v>1</v>
      </c>
      <c r="I22" s="1115"/>
      <c r="J22" s="1115"/>
      <c r="K22" s="1115"/>
      <c r="L22" s="1115">
        <v>4</v>
      </c>
      <c r="M22" s="1115"/>
      <c r="N22" s="1115"/>
      <c r="O22" s="1115"/>
      <c r="P22" s="1115">
        <v>1</v>
      </c>
      <c r="Q22" s="1115"/>
      <c r="R22" s="1116">
        <f t="shared" si="4"/>
        <v>8.0000000000000959E-2</v>
      </c>
      <c r="S22" s="1117">
        <f t="shared" si="5"/>
        <v>20</v>
      </c>
      <c r="T22" s="1117">
        <f t="shared" si="6"/>
        <v>10</v>
      </c>
      <c r="U22" s="1117">
        <f t="shared" si="7"/>
        <v>17</v>
      </c>
      <c r="V22" s="1117">
        <f t="shared" si="8"/>
        <v>1</v>
      </c>
      <c r="W22" s="1117"/>
      <c r="X22" s="1118">
        <f t="shared" si="9"/>
        <v>5.8</v>
      </c>
      <c r="Y22" s="1119" t="str">
        <f>IF(ISERROR(VLOOKUP(C22,'부관맨홀 산출근거'!$K$2:$L$32,2,FALSE)),"","부관")</f>
        <v>부관</v>
      </c>
      <c r="Z22" s="917"/>
      <c r="AA22" s="917"/>
      <c r="AB22" s="907" t="s">
        <v>1336</v>
      </c>
      <c r="AC22" s="907" t="s">
        <v>1405</v>
      </c>
      <c r="AD22" s="917"/>
      <c r="AE22" s="917"/>
    </row>
    <row r="23" spans="1:31" ht="19.5" customHeight="1">
      <c r="A23" s="1256">
        <f t="shared" si="10"/>
        <v>18</v>
      </c>
      <c r="B23" s="1113" t="str">
        <f t="shared" si="1"/>
        <v>A065(1)~A066</v>
      </c>
      <c r="C23" s="1113" t="str">
        <f t="shared" si="2"/>
        <v>M2-057(2)</v>
      </c>
      <c r="D23" s="1113">
        <f>VLOOKUP(C23,'맨홀 평균 높이'!$J$4:$L$588,3,0)</f>
        <v>7.2</v>
      </c>
      <c r="E23" s="1114">
        <f t="shared" si="3"/>
        <v>7.1400000000000006</v>
      </c>
      <c r="F23" s="1115"/>
      <c r="G23" s="1115"/>
      <c r="H23" s="1115">
        <v>1</v>
      </c>
      <c r="I23" s="1115">
        <v>1</v>
      </c>
      <c r="J23" s="1115"/>
      <c r="K23" s="1115"/>
      <c r="L23" s="1115">
        <v>5</v>
      </c>
      <c r="M23" s="1115"/>
      <c r="N23" s="1115"/>
      <c r="O23" s="1115"/>
      <c r="P23" s="1115">
        <v>1</v>
      </c>
      <c r="Q23" s="1115"/>
      <c r="R23" s="1116">
        <f t="shared" si="4"/>
        <v>9.0000000000000746E-2</v>
      </c>
      <c r="S23" s="1117">
        <f t="shared" si="5"/>
        <v>28</v>
      </c>
      <c r="T23" s="1117">
        <f t="shared" si="6"/>
        <v>14</v>
      </c>
      <c r="U23" s="1117">
        <f t="shared" si="7"/>
        <v>22</v>
      </c>
      <c r="V23" s="1117">
        <f t="shared" si="8"/>
        <v>2</v>
      </c>
      <c r="W23" s="1117"/>
      <c r="X23" s="1118">
        <f t="shared" si="9"/>
        <v>7.05</v>
      </c>
      <c r="Y23" s="1119" t="str">
        <f>IF(ISERROR(VLOOKUP(C23,'부관맨홀 산출근거'!$K$2:$L$32,2,FALSE)),"","부관")</f>
        <v>부관</v>
      </c>
      <c r="Z23" s="917"/>
      <c r="AA23" s="917"/>
      <c r="AB23" s="907" t="s">
        <v>1336</v>
      </c>
      <c r="AC23" s="907" t="s">
        <v>1332</v>
      </c>
      <c r="AD23" s="917"/>
      <c r="AE23" s="917"/>
    </row>
    <row r="24" spans="1:31" ht="19.5" customHeight="1">
      <c r="A24" s="1256">
        <f t="shared" si="10"/>
        <v>19</v>
      </c>
      <c r="B24" s="1113" t="str">
        <f t="shared" si="1"/>
        <v>소(국)2-어천2</v>
      </c>
      <c r="C24" s="1113" t="str">
        <f t="shared" si="2"/>
        <v>M2-059(2)</v>
      </c>
      <c r="D24" s="1113">
        <f>VLOOKUP(C24,'맨홀 평균 높이'!$J$4:$L$588,3,0)</f>
        <v>1.7</v>
      </c>
      <c r="E24" s="1114">
        <f t="shared" si="3"/>
        <v>1.64</v>
      </c>
      <c r="F24" s="1115"/>
      <c r="G24" s="1115"/>
      <c r="H24" s="1115">
        <v>1</v>
      </c>
      <c r="I24" s="1115"/>
      <c r="J24" s="1115"/>
      <c r="K24" s="1115"/>
      <c r="L24" s="1115"/>
      <c r="M24" s="1115"/>
      <c r="N24" s="1115">
        <v>1</v>
      </c>
      <c r="O24" s="1115"/>
      <c r="P24" s="1115"/>
      <c r="Q24" s="1115"/>
      <c r="R24" s="1116">
        <f t="shared" si="4"/>
        <v>3.9999999999999813E-2</v>
      </c>
      <c r="S24" s="1117">
        <f t="shared" si="5"/>
        <v>4</v>
      </c>
      <c r="T24" s="1117">
        <f t="shared" si="6"/>
        <v>2</v>
      </c>
      <c r="U24" s="1117">
        <f t="shared" si="7"/>
        <v>3</v>
      </c>
      <c r="V24" s="1117" t="str">
        <f t="shared" si="8"/>
        <v>0</v>
      </c>
      <c r="W24" s="1117"/>
      <c r="X24" s="1118">
        <f t="shared" si="9"/>
        <v>1.6</v>
      </c>
      <c r="Y24" s="1119" t="str">
        <f>IF(ISERROR(VLOOKUP(C24,'부관맨홀 산출근거'!$K$2:$L$32,2,FALSE)),"","부관")</f>
        <v/>
      </c>
      <c r="Z24" s="917"/>
      <c r="AA24" s="917"/>
      <c r="AB24" s="907" t="s">
        <v>1265</v>
      </c>
      <c r="AC24" s="907" t="s">
        <v>1447</v>
      </c>
      <c r="AD24" s="917"/>
      <c r="AE24" s="917"/>
    </row>
    <row r="25" spans="1:31" ht="19.5" customHeight="1">
      <c r="A25" s="1256">
        <f t="shared" si="10"/>
        <v>20</v>
      </c>
      <c r="B25" s="1113" t="str">
        <f t="shared" si="1"/>
        <v>소(국)2-어천2</v>
      </c>
      <c r="C25" s="1113" t="str">
        <f t="shared" si="2"/>
        <v>M2-059(3)</v>
      </c>
      <c r="D25" s="1113">
        <f>VLOOKUP(C25,'맨홀 평균 높이'!$J$4:$L$588,3,0)</f>
        <v>1.44</v>
      </c>
      <c r="E25" s="1114">
        <f t="shared" si="3"/>
        <v>1.38</v>
      </c>
      <c r="F25" s="1115"/>
      <c r="G25" s="1115">
        <v>1</v>
      </c>
      <c r="H25" s="1115"/>
      <c r="I25" s="1115"/>
      <c r="J25" s="1115"/>
      <c r="K25" s="1115"/>
      <c r="L25" s="1115"/>
      <c r="M25" s="1115">
        <v>1</v>
      </c>
      <c r="N25" s="1115"/>
      <c r="O25" s="1115"/>
      <c r="P25" s="1115"/>
      <c r="Q25" s="1115"/>
      <c r="R25" s="1116">
        <f t="shared" si="4"/>
        <v>7.9999999999999849E-2</v>
      </c>
      <c r="S25" s="1117">
        <f t="shared" si="5"/>
        <v>4</v>
      </c>
      <c r="T25" s="1117">
        <f t="shared" si="6"/>
        <v>2</v>
      </c>
      <c r="U25" s="1117">
        <f t="shared" si="7"/>
        <v>2</v>
      </c>
      <c r="V25" s="1117" t="str">
        <f t="shared" si="8"/>
        <v>0</v>
      </c>
      <c r="W25" s="1117"/>
      <c r="X25" s="1118">
        <f t="shared" si="9"/>
        <v>1.3</v>
      </c>
      <c r="Y25" s="1119" t="str">
        <f>IF(ISERROR(VLOOKUP(C25,'부관맨홀 산출근거'!$K$2:$L$32,2,FALSE)),"","부관")</f>
        <v/>
      </c>
      <c r="Z25" s="917"/>
      <c r="AA25" s="917"/>
      <c r="AB25" s="907" t="s">
        <v>1265</v>
      </c>
      <c r="AC25" s="907" t="s">
        <v>1448</v>
      </c>
      <c r="AD25" s="917"/>
      <c r="AE25" s="917"/>
    </row>
    <row r="26" spans="1:31" ht="19.5" customHeight="1">
      <c r="A26" s="1256">
        <f t="shared" si="10"/>
        <v>21</v>
      </c>
      <c r="B26" s="1113" t="str">
        <f t="shared" si="1"/>
        <v>A074~A076(2)</v>
      </c>
      <c r="C26" s="1113" t="str">
        <f t="shared" si="2"/>
        <v>M2-066(2)</v>
      </c>
      <c r="D26" s="1113">
        <f>VLOOKUP(C26,'맨홀 평균 높이'!$J$4:$L$588,3,0)</f>
        <v>5.54</v>
      </c>
      <c r="E26" s="1114">
        <f t="shared" si="3"/>
        <v>5.48</v>
      </c>
      <c r="F26" s="1115"/>
      <c r="G26" s="1115"/>
      <c r="H26" s="1115">
        <v>1</v>
      </c>
      <c r="I26" s="1115"/>
      <c r="J26" s="1115">
        <v>1</v>
      </c>
      <c r="K26" s="1115"/>
      <c r="L26" s="1115">
        <v>3</v>
      </c>
      <c r="M26" s="1115"/>
      <c r="N26" s="1115"/>
      <c r="O26" s="1115"/>
      <c r="P26" s="1115"/>
      <c r="Q26" s="1115">
        <v>1</v>
      </c>
      <c r="R26" s="1116">
        <f t="shared" si="4"/>
        <v>8.0000000000000071E-2</v>
      </c>
      <c r="S26" s="1117">
        <f t="shared" si="5"/>
        <v>20</v>
      </c>
      <c r="T26" s="1117">
        <f t="shared" si="6"/>
        <v>10</v>
      </c>
      <c r="U26" s="1117">
        <f t="shared" si="7"/>
        <v>16</v>
      </c>
      <c r="V26" s="1117">
        <f t="shared" si="8"/>
        <v>1</v>
      </c>
      <c r="W26" s="1117"/>
      <c r="X26" s="1118">
        <f t="shared" si="9"/>
        <v>5.4</v>
      </c>
      <c r="Y26" s="1119" t="str">
        <f>IF(ISERROR(VLOOKUP(C26,'부관맨홀 산출근거'!$K$2:$L$32,2,FALSE)),"","부관")</f>
        <v>부관</v>
      </c>
      <c r="Z26" s="917"/>
      <c r="AA26" s="917"/>
      <c r="AB26" s="907" t="s">
        <v>1338</v>
      </c>
      <c r="AC26" s="907" t="s">
        <v>1407</v>
      </c>
      <c r="AD26" s="917"/>
      <c r="AE26" s="917"/>
    </row>
    <row r="27" spans="1:31" ht="19.5" customHeight="1">
      <c r="A27" s="1256">
        <f t="shared" si="10"/>
        <v>22</v>
      </c>
      <c r="B27" s="1113" t="str">
        <f t="shared" si="1"/>
        <v>A074~A076(2)</v>
      </c>
      <c r="C27" s="1113" t="str">
        <f t="shared" si="2"/>
        <v>M2-067(1)</v>
      </c>
      <c r="D27" s="1113">
        <f>VLOOKUP(C27,'맨홀 평균 높이'!$J$4:$L$588,3,0)</f>
        <v>3.18</v>
      </c>
      <c r="E27" s="1114">
        <f t="shared" si="3"/>
        <v>3.12</v>
      </c>
      <c r="F27" s="1115"/>
      <c r="G27" s="1115"/>
      <c r="H27" s="1115">
        <v>1</v>
      </c>
      <c r="I27" s="1115">
        <v>1</v>
      </c>
      <c r="J27" s="1115"/>
      <c r="K27" s="1115"/>
      <c r="L27" s="1115">
        <v>1</v>
      </c>
      <c r="M27" s="1115"/>
      <c r="N27" s="1115"/>
      <c r="O27" s="1115"/>
      <c r="P27" s="1115">
        <v>1</v>
      </c>
      <c r="Q27" s="1115"/>
      <c r="R27" s="1116">
        <f t="shared" si="4"/>
        <v>6.999999999999984E-2</v>
      </c>
      <c r="S27" s="1117">
        <f t="shared" si="5"/>
        <v>12</v>
      </c>
      <c r="T27" s="1117">
        <f t="shared" si="6"/>
        <v>6</v>
      </c>
      <c r="U27" s="1117">
        <f t="shared" si="7"/>
        <v>8</v>
      </c>
      <c r="V27" s="1117" t="str">
        <f t="shared" si="8"/>
        <v>0</v>
      </c>
      <c r="W27" s="1117"/>
      <c r="X27" s="1118">
        <f t="shared" si="9"/>
        <v>3.0500000000000003</v>
      </c>
      <c r="Y27" s="1119" t="str">
        <f>IF(ISERROR(VLOOKUP(C27,'부관맨홀 산출근거'!$K$2:$L$32,2,FALSE)),"","부관")</f>
        <v>부관</v>
      </c>
      <c r="Z27" s="917"/>
      <c r="AA27" s="917"/>
      <c r="AB27" s="907" t="s">
        <v>1338</v>
      </c>
      <c r="AC27" s="907" t="s">
        <v>1333</v>
      </c>
      <c r="AD27" s="917"/>
      <c r="AE27" s="917"/>
    </row>
    <row r="28" spans="1:31" ht="19.5" customHeight="1">
      <c r="A28" s="1256">
        <f t="shared" si="10"/>
        <v>23</v>
      </c>
      <c r="B28" s="1113" t="str">
        <f t="shared" si="1"/>
        <v>소(국)1-어천5</v>
      </c>
      <c r="C28" s="1113" t="str">
        <f t="shared" si="2"/>
        <v>M2-072(1)</v>
      </c>
      <c r="D28" s="1113">
        <f>VLOOKUP(C28,'맨홀 평균 높이'!$J$4:$L$588,3,0)</f>
        <v>2.9</v>
      </c>
      <c r="E28" s="1114">
        <f t="shared" si="3"/>
        <v>2.84</v>
      </c>
      <c r="F28" s="1115"/>
      <c r="G28" s="1115"/>
      <c r="H28" s="1115">
        <v>1</v>
      </c>
      <c r="I28" s="1115"/>
      <c r="J28" s="1115"/>
      <c r="K28" s="1115"/>
      <c r="L28" s="1115">
        <v>1</v>
      </c>
      <c r="M28" s="1115"/>
      <c r="N28" s="1115"/>
      <c r="O28" s="1115"/>
      <c r="P28" s="1115">
        <v>1</v>
      </c>
      <c r="Q28" s="1115"/>
      <c r="R28" s="1116">
        <f t="shared" si="4"/>
        <v>3.9999999999999591E-2</v>
      </c>
      <c r="S28" s="1117">
        <f t="shared" si="5"/>
        <v>8</v>
      </c>
      <c r="T28" s="1117">
        <f t="shared" si="6"/>
        <v>4</v>
      </c>
      <c r="U28" s="1117">
        <f t="shared" si="7"/>
        <v>7</v>
      </c>
      <c r="V28" s="1117" t="str">
        <f t="shared" si="8"/>
        <v>0</v>
      </c>
      <c r="W28" s="1117"/>
      <c r="X28" s="1118">
        <f t="shared" si="9"/>
        <v>2.8000000000000003</v>
      </c>
      <c r="Y28" s="1119" t="str">
        <f>IF(ISERROR(VLOOKUP(C28,'부관맨홀 산출근거'!$K$2:$L$32,2,FALSE)),"","부관")</f>
        <v/>
      </c>
      <c r="Z28" s="917"/>
      <c r="AA28" s="917"/>
      <c r="AB28" s="907" t="s">
        <v>1270</v>
      </c>
      <c r="AC28" s="907" t="s">
        <v>1456</v>
      </c>
      <c r="AD28" s="917"/>
      <c r="AE28" s="917"/>
    </row>
    <row r="29" spans="1:31" ht="19.5" customHeight="1">
      <c r="A29" s="1256">
        <f t="shared" si="10"/>
        <v>24</v>
      </c>
      <c r="B29" s="1113" t="str">
        <f t="shared" si="1"/>
        <v>가도_A095~A100</v>
      </c>
      <c r="C29" s="1113" t="str">
        <f t="shared" si="2"/>
        <v>M2-086</v>
      </c>
      <c r="D29" s="1113">
        <f>VLOOKUP(C29,'맨홀 평균 높이'!$J$4:$L$588,3,0)</f>
        <v>5.54</v>
      </c>
      <c r="E29" s="1114">
        <f t="shared" si="3"/>
        <v>5.48</v>
      </c>
      <c r="F29" s="1115"/>
      <c r="G29" s="1115"/>
      <c r="H29" s="1115">
        <v>1</v>
      </c>
      <c r="I29" s="1115"/>
      <c r="J29" s="1115">
        <v>1</v>
      </c>
      <c r="K29" s="1115"/>
      <c r="L29" s="1115">
        <v>3</v>
      </c>
      <c r="M29" s="1115"/>
      <c r="N29" s="1115"/>
      <c r="O29" s="1115"/>
      <c r="P29" s="1115"/>
      <c r="Q29" s="1115">
        <v>1</v>
      </c>
      <c r="R29" s="1116">
        <f t="shared" si="4"/>
        <v>8.0000000000000071E-2</v>
      </c>
      <c r="S29" s="1117">
        <f t="shared" si="5"/>
        <v>20</v>
      </c>
      <c r="T29" s="1117">
        <f t="shared" si="6"/>
        <v>10</v>
      </c>
      <c r="U29" s="1117">
        <f t="shared" si="7"/>
        <v>16</v>
      </c>
      <c r="V29" s="1117">
        <f t="shared" si="8"/>
        <v>1</v>
      </c>
      <c r="W29" s="1117"/>
      <c r="X29" s="1118">
        <f t="shared" si="9"/>
        <v>5.4</v>
      </c>
      <c r="Y29" s="1119" t="str">
        <f>IF(ISERROR(VLOOKUP(C29,'부관맨홀 산출근거'!$K$2:$L$32,2,FALSE)),"","부관")</f>
        <v>부관</v>
      </c>
      <c r="Z29" s="917"/>
      <c r="AA29" s="917"/>
      <c r="AB29" s="1215" t="s">
        <v>1280</v>
      </c>
      <c r="AC29" s="1215" t="s">
        <v>1227</v>
      </c>
      <c r="AD29" s="917"/>
      <c r="AE29" s="917"/>
    </row>
    <row r="30" spans="1:31" ht="19.5" customHeight="1">
      <c r="A30" s="1256">
        <f t="shared" si="10"/>
        <v>25</v>
      </c>
      <c r="B30" s="1113" t="str">
        <f t="shared" si="1"/>
        <v>가도_A095~A100</v>
      </c>
      <c r="C30" s="1113" t="str">
        <f t="shared" si="2"/>
        <v>M2-087</v>
      </c>
      <c r="D30" s="1113">
        <f>VLOOKUP(C30,'맨홀 평균 높이'!$J$4:$L$588,3,0)</f>
        <v>7.43</v>
      </c>
      <c r="E30" s="1114">
        <f t="shared" si="3"/>
        <v>7.37</v>
      </c>
      <c r="F30" s="1115"/>
      <c r="G30" s="1115"/>
      <c r="H30" s="1115">
        <v>1</v>
      </c>
      <c r="I30" s="1115"/>
      <c r="J30" s="1115">
        <v>1</v>
      </c>
      <c r="K30" s="1115"/>
      <c r="L30" s="1115">
        <v>5</v>
      </c>
      <c r="M30" s="1115"/>
      <c r="N30" s="1115"/>
      <c r="O30" s="1115"/>
      <c r="P30" s="1115">
        <v>1</v>
      </c>
      <c r="Q30" s="1115"/>
      <c r="R30" s="1116">
        <f t="shared" si="4"/>
        <v>7.0000000000000284E-2</v>
      </c>
      <c r="S30" s="1117">
        <f t="shared" si="5"/>
        <v>28</v>
      </c>
      <c r="T30" s="1117">
        <f t="shared" si="6"/>
        <v>14</v>
      </c>
      <c r="U30" s="1117">
        <f t="shared" si="7"/>
        <v>22</v>
      </c>
      <c r="V30" s="1117">
        <f t="shared" si="8"/>
        <v>2</v>
      </c>
      <c r="W30" s="1117"/>
      <c r="X30" s="1118">
        <f t="shared" si="9"/>
        <v>7.3</v>
      </c>
      <c r="Y30" s="1119" t="str">
        <f>IF(ISERROR(VLOOKUP(C30,'부관맨홀 산출근거'!$K$2:$L$32,2,FALSE)),"","부관")</f>
        <v>부관</v>
      </c>
      <c r="Z30" s="917"/>
      <c r="AA30" s="917"/>
      <c r="AB30" s="1215" t="s">
        <v>1280</v>
      </c>
      <c r="AC30" s="1215" t="s">
        <v>1228</v>
      </c>
      <c r="AD30" s="917"/>
      <c r="AE30" s="917"/>
    </row>
    <row r="31" spans="1:31" ht="19.5" customHeight="1">
      <c r="A31" s="1256">
        <f t="shared" si="10"/>
        <v>26</v>
      </c>
      <c r="B31" s="1113" t="str">
        <f t="shared" si="1"/>
        <v>가도_A095~A100</v>
      </c>
      <c r="C31" s="1113" t="str">
        <f t="shared" si="2"/>
        <v>M2-088</v>
      </c>
      <c r="D31" s="1113">
        <f>VLOOKUP(C31,'맨홀 평균 높이'!$J$4:$L$588,3,0)</f>
        <v>6.11</v>
      </c>
      <c r="E31" s="1114">
        <f t="shared" si="3"/>
        <v>6.0500000000000007</v>
      </c>
      <c r="F31" s="1115"/>
      <c r="G31" s="1115"/>
      <c r="H31" s="1115">
        <v>1</v>
      </c>
      <c r="I31" s="1115">
        <v>1</v>
      </c>
      <c r="J31" s="1115"/>
      <c r="K31" s="1115"/>
      <c r="L31" s="1115">
        <v>4</v>
      </c>
      <c r="M31" s="1115"/>
      <c r="N31" s="1115"/>
      <c r="O31" s="1115"/>
      <c r="P31" s="1115">
        <v>1</v>
      </c>
      <c r="Q31" s="1115"/>
      <c r="R31" s="1116">
        <f t="shared" si="4"/>
        <v>0</v>
      </c>
      <c r="S31" s="1117">
        <f t="shared" si="5"/>
        <v>24</v>
      </c>
      <c r="T31" s="1117">
        <f t="shared" si="6"/>
        <v>12</v>
      </c>
      <c r="U31" s="1117">
        <f t="shared" si="7"/>
        <v>18</v>
      </c>
      <c r="V31" s="1117">
        <f t="shared" si="8"/>
        <v>1</v>
      </c>
      <c r="W31" s="1117"/>
      <c r="X31" s="1118">
        <f t="shared" si="9"/>
        <v>6.05</v>
      </c>
      <c r="Y31" s="1119" t="str">
        <f>IF(ISERROR(VLOOKUP(C31,'부관맨홀 산출근거'!$K$2:$L$32,2,FALSE)),"","부관")</f>
        <v>부관</v>
      </c>
      <c r="Z31" s="917"/>
      <c r="AA31" s="917"/>
      <c r="AB31" s="1215" t="s">
        <v>1280</v>
      </c>
      <c r="AC31" s="1215" t="s">
        <v>1229</v>
      </c>
      <c r="AD31" s="917"/>
      <c r="AE31" s="917"/>
    </row>
    <row r="32" spans="1:31" ht="19.5" customHeight="1">
      <c r="A32" s="1256">
        <f t="shared" si="10"/>
        <v>27</v>
      </c>
      <c r="B32" s="1113" t="str">
        <f t="shared" si="1"/>
        <v>소(국)2-어천10</v>
      </c>
      <c r="C32" s="1113" t="str">
        <f t="shared" si="2"/>
        <v>M2-096(1)</v>
      </c>
      <c r="D32" s="1113">
        <f>VLOOKUP(C32,'맨홀 평균 높이'!$J$4:$L$588,3,0)</f>
        <v>2.2799999999999998</v>
      </c>
      <c r="E32" s="1114">
        <f t="shared" si="3"/>
        <v>2.2199999999999998</v>
      </c>
      <c r="F32" s="1115"/>
      <c r="G32" s="1115"/>
      <c r="H32" s="1115">
        <v>1</v>
      </c>
      <c r="I32" s="1115">
        <v>1</v>
      </c>
      <c r="J32" s="1115"/>
      <c r="K32" s="1115"/>
      <c r="L32" s="1115"/>
      <c r="M32" s="1115"/>
      <c r="N32" s="1115"/>
      <c r="O32" s="1115"/>
      <c r="P32" s="1115"/>
      <c r="Q32" s="1115">
        <v>1</v>
      </c>
      <c r="R32" s="1116">
        <f t="shared" si="4"/>
        <v>6.999999999999984E-2</v>
      </c>
      <c r="S32" s="1117">
        <f t="shared" si="5"/>
        <v>8</v>
      </c>
      <c r="T32" s="1117">
        <f t="shared" si="6"/>
        <v>4</v>
      </c>
      <c r="U32" s="1117">
        <f t="shared" si="7"/>
        <v>5</v>
      </c>
      <c r="V32" s="1117" t="str">
        <f t="shared" si="8"/>
        <v>0</v>
      </c>
      <c r="W32" s="1117"/>
      <c r="X32" s="1118">
        <f t="shared" si="9"/>
        <v>2.15</v>
      </c>
      <c r="Y32" s="1119" t="str">
        <f>IF(ISERROR(VLOOKUP(C32,'부관맨홀 산출근거'!$K$2:$L$32,2,FALSE)),"","부관")</f>
        <v/>
      </c>
      <c r="Z32" s="917"/>
      <c r="AA32" s="917"/>
      <c r="AB32" s="1215" t="s">
        <v>1287</v>
      </c>
      <c r="AC32" s="1215" t="s">
        <v>1463</v>
      </c>
      <c r="AD32" s="917"/>
      <c r="AE32" s="917"/>
    </row>
    <row r="33" spans="1:31" ht="19.5" customHeight="1">
      <c r="A33" s="1256">
        <f t="shared" si="10"/>
        <v>28</v>
      </c>
      <c r="B33" s="1113" t="str">
        <f t="shared" si="1"/>
        <v>소(국)2-어천10</v>
      </c>
      <c r="C33" s="1113" t="str">
        <f t="shared" si="2"/>
        <v>M2-098(1)</v>
      </c>
      <c r="D33" s="1113">
        <f>VLOOKUP(C33,'맨홀 평균 높이'!$J$4:$L$588,3,0)</f>
        <v>2.62</v>
      </c>
      <c r="E33" s="1114">
        <f t="shared" si="3"/>
        <v>2.56</v>
      </c>
      <c r="F33" s="1115"/>
      <c r="G33" s="1115"/>
      <c r="H33" s="1115">
        <v>1</v>
      </c>
      <c r="I33" s="1115"/>
      <c r="J33" s="1115"/>
      <c r="K33" s="1115">
        <v>1</v>
      </c>
      <c r="L33" s="1115"/>
      <c r="M33" s="1115"/>
      <c r="N33" s="1115"/>
      <c r="O33" s="1115"/>
      <c r="P33" s="1115">
        <v>1</v>
      </c>
      <c r="Q33" s="1115"/>
      <c r="R33" s="1116">
        <f t="shared" si="4"/>
        <v>1.0000000000000231E-2</v>
      </c>
      <c r="S33" s="1117">
        <f t="shared" si="5"/>
        <v>8</v>
      </c>
      <c r="T33" s="1117">
        <f t="shared" si="6"/>
        <v>4</v>
      </c>
      <c r="U33" s="1117">
        <f t="shared" si="7"/>
        <v>7</v>
      </c>
      <c r="V33" s="1117" t="str">
        <f t="shared" si="8"/>
        <v>0</v>
      </c>
      <c r="W33" s="1117"/>
      <c r="X33" s="1118">
        <f t="shared" si="9"/>
        <v>2.5499999999999998</v>
      </c>
      <c r="Y33" s="1119" t="str">
        <f>IF(ISERROR(VLOOKUP(C33,'부관맨홀 산출근거'!$K$2:$L$32,2,FALSE)),"","부관")</f>
        <v/>
      </c>
      <c r="Z33" s="917"/>
      <c r="AA33" s="917"/>
      <c r="AB33" s="1215" t="s">
        <v>1287</v>
      </c>
      <c r="AC33" s="1215" t="s">
        <v>1465</v>
      </c>
      <c r="AD33" s="917"/>
      <c r="AE33" s="917"/>
    </row>
    <row r="34" spans="1:31" ht="19.5" customHeight="1">
      <c r="A34" s="1256">
        <f t="shared" si="10"/>
        <v>29</v>
      </c>
      <c r="B34" s="1113" t="str">
        <f t="shared" si="1"/>
        <v>소(국)1-어천7</v>
      </c>
      <c r="C34" s="1113" t="str">
        <f t="shared" si="2"/>
        <v>M2-100</v>
      </c>
      <c r="D34" s="1113">
        <f>VLOOKUP(C34,'맨홀 평균 높이'!$J$4:$L$588,3,0)</f>
        <v>1.41</v>
      </c>
      <c r="E34" s="1114">
        <f t="shared" si="3"/>
        <v>1.3499999999999999</v>
      </c>
      <c r="F34" s="1115"/>
      <c r="G34" s="1115">
        <v>1</v>
      </c>
      <c r="H34" s="1115"/>
      <c r="I34" s="1115"/>
      <c r="J34" s="1115"/>
      <c r="K34" s="1115"/>
      <c r="L34" s="1115"/>
      <c r="M34" s="1115">
        <v>1</v>
      </c>
      <c r="N34" s="1115"/>
      <c r="O34" s="1115"/>
      <c r="P34" s="1115"/>
      <c r="Q34" s="1115"/>
      <c r="R34" s="1116">
        <f t="shared" si="4"/>
        <v>4.9999999999999822E-2</v>
      </c>
      <c r="S34" s="1117">
        <f t="shared" si="5"/>
        <v>4</v>
      </c>
      <c r="T34" s="1117">
        <f t="shared" si="6"/>
        <v>2</v>
      </c>
      <c r="U34" s="1117">
        <f t="shared" si="7"/>
        <v>2</v>
      </c>
      <c r="V34" s="1117" t="str">
        <f t="shared" si="8"/>
        <v>0</v>
      </c>
      <c r="W34" s="1117"/>
      <c r="X34" s="1118">
        <f t="shared" si="9"/>
        <v>1.3</v>
      </c>
      <c r="Y34" s="1119" t="str">
        <f>IF(ISERROR(VLOOKUP(C34,'부관맨홀 산출근거'!$K$2:$L$32,2,FALSE)),"","부관")</f>
        <v>부관</v>
      </c>
      <c r="Z34" s="917"/>
      <c r="AA34" s="917"/>
      <c r="AB34" s="1215" t="s">
        <v>1289</v>
      </c>
      <c r="AC34" s="1215" t="s">
        <v>1408</v>
      </c>
      <c r="AD34" s="917"/>
      <c r="AE34" s="917"/>
    </row>
    <row r="35" spans="1:31" ht="19.5" customHeight="1">
      <c r="A35" s="1256">
        <f t="shared" si="10"/>
        <v>30</v>
      </c>
      <c r="B35" s="1113" t="str">
        <f t="shared" si="1"/>
        <v>소(국)1-어천7</v>
      </c>
      <c r="C35" s="1113" t="str">
        <f t="shared" si="2"/>
        <v>M2-104</v>
      </c>
      <c r="D35" s="1113">
        <f>VLOOKUP(C35,'맨홀 평균 높이'!$J$4:$L$588,3,0)</f>
        <v>1.1599999999999999</v>
      </c>
      <c r="E35" s="1114">
        <f t="shared" si="3"/>
        <v>1.0999999999999999</v>
      </c>
      <c r="F35" s="1115">
        <v>1</v>
      </c>
      <c r="G35" s="1115"/>
      <c r="H35" s="1115"/>
      <c r="I35" s="1115"/>
      <c r="J35" s="1115"/>
      <c r="K35" s="1115"/>
      <c r="L35" s="1115"/>
      <c r="M35" s="1115">
        <v>1</v>
      </c>
      <c r="N35" s="1115"/>
      <c r="O35" s="1115"/>
      <c r="P35" s="1115"/>
      <c r="Q35" s="1115"/>
      <c r="R35" s="1116">
        <f t="shared" si="4"/>
        <v>0</v>
      </c>
      <c r="S35" s="1117">
        <f t="shared" si="5"/>
        <v>4</v>
      </c>
      <c r="T35" s="1117">
        <f t="shared" si="6"/>
        <v>2</v>
      </c>
      <c r="U35" s="1117">
        <f t="shared" si="7"/>
        <v>2</v>
      </c>
      <c r="V35" s="1117" t="str">
        <f t="shared" si="8"/>
        <v>0</v>
      </c>
      <c r="W35" s="1117"/>
      <c r="X35" s="1118">
        <f t="shared" si="9"/>
        <v>1.1000000000000001</v>
      </c>
      <c r="Y35" s="1119" t="str">
        <f>IF(ISERROR(VLOOKUP(C35,'부관맨홀 산출근거'!$K$2:$L$32,2,FALSE)),"","부관")</f>
        <v/>
      </c>
      <c r="Z35" s="917"/>
      <c r="AA35" s="917"/>
      <c r="AB35" s="1215" t="s">
        <v>1289</v>
      </c>
      <c r="AC35" s="1215" t="s">
        <v>1466</v>
      </c>
      <c r="AD35" s="917"/>
      <c r="AE35" s="917"/>
    </row>
    <row r="36" spans="1:31" ht="19.5" customHeight="1">
      <c r="A36" s="1256">
        <f t="shared" si="10"/>
        <v>31</v>
      </c>
      <c r="B36" s="1113" t="str">
        <f t="shared" si="1"/>
        <v>중(국)2-어천5</v>
      </c>
      <c r="C36" s="1113" t="str">
        <f t="shared" si="2"/>
        <v>M2-125(1)</v>
      </c>
      <c r="D36" s="1113">
        <f>VLOOKUP(C36,'맨홀 평균 높이'!$J$4:$L$588,3,0)</f>
        <v>1.46</v>
      </c>
      <c r="E36" s="1114">
        <f t="shared" si="3"/>
        <v>1.4</v>
      </c>
      <c r="F36" s="1115"/>
      <c r="G36" s="1115">
        <v>1</v>
      </c>
      <c r="H36" s="1115"/>
      <c r="I36" s="1115"/>
      <c r="J36" s="1115"/>
      <c r="K36" s="1115"/>
      <c r="L36" s="1115"/>
      <c r="M36" s="1115"/>
      <c r="N36" s="1115">
        <v>1</v>
      </c>
      <c r="O36" s="1115"/>
      <c r="P36" s="1115"/>
      <c r="Q36" s="1115"/>
      <c r="R36" s="1116">
        <f t="shared" si="4"/>
        <v>0</v>
      </c>
      <c r="S36" s="1117">
        <f t="shared" si="5"/>
        <v>4</v>
      </c>
      <c r="T36" s="1117">
        <f t="shared" si="6"/>
        <v>2</v>
      </c>
      <c r="U36" s="1117">
        <f t="shared" si="7"/>
        <v>3</v>
      </c>
      <c r="V36" s="1117" t="str">
        <f t="shared" si="8"/>
        <v>0</v>
      </c>
      <c r="W36" s="1117"/>
      <c r="X36" s="1118">
        <f t="shared" si="9"/>
        <v>1.4</v>
      </c>
      <c r="Y36" s="1119" t="str">
        <f>IF(ISERROR(VLOOKUP(C36,'부관맨홀 산출근거'!$K$2:$L$32,2,FALSE)),"","부관")</f>
        <v/>
      </c>
      <c r="Z36" s="917"/>
      <c r="AA36" s="917"/>
      <c r="AB36" s="1215" t="s">
        <v>1296</v>
      </c>
      <c r="AC36" s="1215" t="s">
        <v>1469</v>
      </c>
      <c r="AD36" s="917"/>
      <c r="AE36" s="917"/>
    </row>
    <row r="37" spans="1:31" ht="19.5" customHeight="1">
      <c r="A37" s="1256">
        <f t="shared" si="10"/>
        <v>32</v>
      </c>
      <c r="B37" s="1113" t="str">
        <f t="shared" si="1"/>
        <v>중(국)2-어천5</v>
      </c>
      <c r="C37" s="1113" t="str">
        <f t="shared" si="2"/>
        <v>M2-126</v>
      </c>
      <c r="D37" s="1113">
        <f>VLOOKUP(C37,'맨홀 평균 높이'!$J$4:$L$588,3,0)</f>
        <v>2.33</v>
      </c>
      <c r="E37" s="1114">
        <f t="shared" si="3"/>
        <v>2.27</v>
      </c>
      <c r="F37" s="1115"/>
      <c r="G37" s="1115"/>
      <c r="H37" s="1115">
        <v>1</v>
      </c>
      <c r="I37" s="1115"/>
      <c r="J37" s="1115">
        <v>1</v>
      </c>
      <c r="K37" s="1115"/>
      <c r="L37" s="1115"/>
      <c r="M37" s="1115"/>
      <c r="N37" s="1115"/>
      <c r="O37" s="1115">
        <v>1</v>
      </c>
      <c r="P37" s="1115"/>
      <c r="Q37" s="1115"/>
      <c r="R37" s="1116">
        <f t="shared" si="4"/>
        <v>6.999999999999984E-2</v>
      </c>
      <c r="S37" s="1117">
        <f t="shared" si="5"/>
        <v>8</v>
      </c>
      <c r="T37" s="1117">
        <f t="shared" si="6"/>
        <v>4</v>
      </c>
      <c r="U37" s="1117">
        <f t="shared" si="7"/>
        <v>5</v>
      </c>
      <c r="V37" s="1117" t="str">
        <f t="shared" si="8"/>
        <v>0</v>
      </c>
      <c r="W37" s="1117"/>
      <c r="X37" s="1118">
        <f t="shared" si="9"/>
        <v>2.2000000000000002</v>
      </c>
      <c r="Y37" s="1119" t="str">
        <f>IF(ISERROR(VLOOKUP(C37,'부관맨홀 산출근거'!$K$2:$L$32,2,FALSE)),"","부관")</f>
        <v/>
      </c>
      <c r="Z37" s="917"/>
      <c r="AA37" s="917"/>
      <c r="AB37" s="1215" t="s">
        <v>1296</v>
      </c>
      <c r="AC37" s="1215" t="s">
        <v>1395</v>
      </c>
      <c r="AD37" s="917"/>
      <c r="AE37" s="917"/>
    </row>
    <row r="38" spans="1:31" ht="19.5" customHeight="1">
      <c r="A38" s="1256">
        <f t="shared" si="10"/>
        <v>33</v>
      </c>
      <c r="B38" s="1113" t="str">
        <f t="shared" ref="B38:B39" si="19">AB38</f>
        <v>중(국)2-어천5</v>
      </c>
      <c r="C38" s="1113" t="str">
        <f t="shared" ref="C38:C39" si="20">AC38</f>
        <v>M2-127</v>
      </c>
      <c r="D38" s="1113">
        <f>VLOOKUP(C38,'맨홀 평균 높이'!$J$4:$L$588,3,0)</f>
        <v>3.93</v>
      </c>
      <c r="E38" s="1114">
        <f t="shared" si="3"/>
        <v>3.87</v>
      </c>
      <c r="F38" s="1115"/>
      <c r="G38" s="1115"/>
      <c r="H38" s="1115">
        <v>1</v>
      </c>
      <c r="I38" s="1115"/>
      <c r="J38" s="1115"/>
      <c r="K38" s="1115"/>
      <c r="L38" s="1115">
        <v>2</v>
      </c>
      <c r="M38" s="1115"/>
      <c r="N38" s="1115"/>
      <c r="O38" s="1115"/>
      <c r="P38" s="1115">
        <v>1</v>
      </c>
      <c r="Q38" s="1115"/>
      <c r="R38" s="1116">
        <f t="shared" ref="R38:R39" si="21">E38-X38</f>
        <v>6.999999999999984E-2</v>
      </c>
      <c r="S38" s="1117">
        <f t="shared" ref="S38:S39" si="22">SUM(F38:L38)*4</f>
        <v>12</v>
      </c>
      <c r="T38" s="1117">
        <f t="shared" ref="T38:T39" si="23">SUM(F38:L38)*2</f>
        <v>6</v>
      </c>
      <c r="U38" s="1117">
        <f t="shared" ref="U38:U39" si="24">ROUND(((E38-R38)-0.6)/0.3,0)</f>
        <v>11</v>
      </c>
      <c r="V38" s="1117" t="str">
        <f t="shared" ref="V38:V39" si="25">IF(X38&gt;=4,ROUND(((E38-R38)-0.6)/4,0),"0")</f>
        <v>0</v>
      </c>
      <c r="W38" s="1117"/>
      <c r="X38" s="1118">
        <f t="shared" ref="X38:X39" si="26">($F$4*F38)+($G$4*G38)+($H$4*H38)+($I$4*I38)+($J$4*J38)+($K$4*K38)+($L$4*L38)+($M$4*M38)+($N$4*N38)+($O$4*O38)+($P$4*P38)+($Q$4*Q38)</f>
        <v>3.8000000000000003</v>
      </c>
      <c r="Y38" s="1119" t="str">
        <f>IF(ISERROR(VLOOKUP(C38,'부관맨홀 산출근거'!$K$2:$L$32,2,FALSE)),"","부관")</f>
        <v>부관</v>
      </c>
      <c r="Z38" s="917"/>
      <c r="AA38" s="917"/>
      <c r="AB38" s="1264" t="s">
        <v>1296</v>
      </c>
      <c r="AC38" s="1264" t="s">
        <v>1541</v>
      </c>
      <c r="AD38" s="917"/>
      <c r="AE38" s="917"/>
    </row>
    <row r="39" spans="1:31" ht="19.5" customHeight="1">
      <c r="A39" s="1256">
        <f t="shared" si="10"/>
        <v>34</v>
      </c>
      <c r="B39" s="1113" t="str">
        <f t="shared" si="19"/>
        <v>중(국)2-어천3</v>
      </c>
      <c r="C39" s="1113" t="str">
        <f t="shared" si="20"/>
        <v>M2-132</v>
      </c>
      <c r="D39" s="1113">
        <f>VLOOKUP(C39,'맨홀 평균 높이'!$J$4:$L$588,3,0)</f>
        <v>3.67</v>
      </c>
      <c r="E39" s="1114">
        <f t="shared" si="3"/>
        <v>3.61</v>
      </c>
      <c r="F39" s="1115"/>
      <c r="G39" s="1115"/>
      <c r="H39" s="1115">
        <v>1</v>
      </c>
      <c r="I39" s="1115"/>
      <c r="J39" s="1115"/>
      <c r="K39" s="1115"/>
      <c r="L39" s="1115">
        <v>2</v>
      </c>
      <c r="M39" s="1115"/>
      <c r="N39" s="1115">
        <v>1</v>
      </c>
      <c r="O39" s="1115"/>
      <c r="P39" s="1115"/>
      <c r="Q39" s="1115"/>
      <c r="R39" s="1116">
        <f t="shared" si="21"/>
        <v>9.9999999999997868E-3</v>
      </c>
      <c r="S39" s="1117">
        <f t="shared" si="22"/>
        <v>12</v>
      </c>
      <c r="T39" s="1117">
        <f t="shared" si="23"/>
        <v>6</v>
      </c>
      <c r="U39" s="1117">
        <f t="shared" si="24"/>
        <v>10</v>
      </c>
      <c r="V39" s="1117" t="str">
        <f t="shared" si="25"/>
        <v>0</v>
      </c>
      <c r="W39" s="1117"/>
      <c r="X39" s="1118">
        <f t="shared" si="26"/>
        <v>3.6</v>
      </c>
      <c r="Y39" s="1119" t="str">
        <f>IF(ISERROR(VLOOKUP(C39,'부관맨홀 산출근거'!$K$2:$L$32,2,FALSE)),"","부관")</f>
        <v/>
      </c>
      <c r="Z39" s="917"/>
      <c r="AA39" s="917"/>
      <c r="AB39" s="1264" t="s">
        <v>1297</v>
      </c>
      <c r="AC39" s="1264" t="s">
        <v>1549</v>
      </c>
      <c r="AD39" s="917"/>
      <c r="AE39" s="917"/>
    </row>
    <row r="40" spans="1:31" ht="19.5" customHeight="1">
      <c r="A40" s="1256">
        <f t="shared" si="10"/>
        <v>35</v>
      </c>
      <c r="B40" s="1113" t="str">
        <f t="shared" si="1"/>
        <v>중(국)3-어천5</v>
      </c>
      <c r="C40" s="1113" t="str">
        <f t="shared" si="2"/>
        <v>M2-135</v>
      </c>
      <c r="D40" s="1113">
        <f>VLOOKUP(C40,'맨홀 평균 높이'!$J$4:$L$588,3,0)</f>
        <v>2.33</v>
      </c>
      <c r="E40" s="1114">
        <f t="shared" si="3"/>
        <v>2.27</v>
      </c>
      <c r="F40" s="1115"/>
      <c r="G40" s="1115"/>
      <c r="H40" s="1115">
        <v>1</v>
      </c>
      <c r="I40" s="1115"/>
      <c r="J40" s="1115">
        <v>1</v>
      </c>
      <c r="K40" s="1115"/>
      <c r="L40" s="1115"/>
      <c r="M40" s="1115"/>
      <c r="N40" s="1115"/>
      <c r="O40" s="1115">
        <v>1</v>
      </c>
      <c r="P40" s="1115"/>
      <c r="Q40" s="1115"/>
      <c r="R40" s="1116">
        <f t="shared" si="4"/>
        <v>6.999999999999984E-2</v>
      </c>
      <c r="S40" s="1117">
        <f t="shared" si="5"/>
        <v>8</v>
      </c>
      <c r="T40" s="1117">
        <f t="shared" si="6"/>
        <v>4</v>
      </c>
      <c r="U40" s="1117">
        <f t="shared" si="7"/>
        <v>5</v>
      </c>
      <c r="V40" s="1117" t="str">
        <f t="shared" si="8"/>
        <v>0</v>
      </c>
      <c r="W40" s="1117"/>
      <c r="X40" s="1118">
        <f t="shared" si="9"/>
        <v>2.2000000000000002</v>
      </c>
      <c r="Y40" s="1119" t="str">
        <f>IF(ISERROR(VLOOKUP(C40,'부관맨홀 산출근거'!$K$2:$L$32,2,FALSE)),"","부관")</f>
        <v/>
      </c>
      <c r="Z40" s="917"/>
      <c r="AA40" s="917"/>
      <c r="AB40" s="1264" t="s">
        <v>1298</v>
      </c>
      <c r="AC40" s="1281" t="s">
        <v>1507</v>
      </c>
      <c r="AD40" s="917"/>
      <c r="AE40" s="917"/>
    </row>
    <row r="41" spans="1:31" ht="19.5" customHeight="1">
      <c r="A41" s="1256">
        <f t="shared" si="10"/>
        <v>36</v>
      </c>
      <c r="B41" s="1113" t="str">
        <f t="shared" si="1"/>
        <v>중(국)3-어천6</v>
      </c>
      <c r="C41" s="1113" t="str">
        <f t="shared" si="2"/>
        <v>M2-137</v>
      </c>
      <c r="D41" s="1113">
        <f>VLOOKUP(C41,'맨홀 평균 높이'!$J$4:$L$588,3,0)</f>
        <v>3.28</v>
      </c>
      <c r="E41" s="1114">
        <f t="shared" si="3"/>
        <v>3.2199999999999998</v>
      </c>
      <c r="F41" s="1115"/>
      <c r="G41" s="1115"/>
      <c r="H41" s="1115">
        <v>1</v>
      </c>
      <c r="I41" s="1115">
        <v>1</v>
      </c>
      <c r="J41" s="1115"/>
      <c r="K41" s="1115"/>
      <c r="L41" s="1115">
        <v>1</v>
      </c>
      <c r="M41" s="1115"/>
      <c r="N41" s="1115"/>
      <c r="O41" s="1115"/>
      <c r="P41" s="1115"/>
      <c r="Q41" s="1115">
        <v>1</v>
      </c>
      <c r="R41" s="1116">
        <f t="shared" si="4"/>
        <v>6.9999999999999396E-2</v>
      </c>
      <c r="S41" s="1117">
        <f t="shared" si="5"/>
        <v>12</v>
      </c>
      <c r="T41" s="1117">
        <f t="shared" si="6"/>
        <v>6</v>
      </c>
      <c r="U41" s="1117">
        <f t="shared" si="7"/>
        <v>9</v>
      </c>
      <c r="V41" s="1117" t="str">
        <f t="shared" si="8"/>
        <v>0</v>
      </c>
      <c r="W41" s="1117"/>
      <c r="X41" s="1118">
        <f t="shared" si="9"/>
        <v>3.1500000000000004</v>
      </c>
      <c r="Y41" s="1119" t="str">
        <f>IF(ISERROR(VLOOKUP(C41,'부관맨홀 산출근거'!$K$2:$L$32,2,FALSE)),"","부관")</f>
        <v/>
      </c>
      <c r="Z41" s="917"/>
      <c r="AA41" s="917"/>
      <c r="AB41" s="1215" t="s">
        <v>1299</v>
      </c>
      <c r="AC41" s="1215" t="s">
        <v>1396</v>
      </c>
      <c r="AD41" s="917"/>
      <c r="AE41" s="917"/>
    </row>
    <row r="42" spans="1:31" ht="19.5" customHeight="1">
      <c r="A42" s="1256">
        <f t="shared" si="10"/>
        <v>37</v>
      </c>
      <c r="B42" s="1113" t="str">
        <f t="shared" si="1"/>
        <v>중(국)2-어천5</v>
      </c>
      <c r="C42" s="1113" t="str">
        <f t="shared" si="2"/>
        <v>M2-150</v>
      </c>
      <c r="D42" s="1113">
        <f>VLOOKUP(C42,'맨홀 평균 높이'!$J$4:$L$588,3,0)</f>
        <v>6.47</v>
      </c>
      <c r="E42" s="1114">
        <f t="shared" si="3"/>
        <v>6.41</v>
      </c>
      <c r="F42" s="1115"/>
      <c r="G42" s="1115"/>
      <c r="H42" s="1115">
        <v>1</v>
      </c>
      <c r="I42" s="1115"/>
      <c r="J42" s="1115">
        <v>1</v>
      </c>
      <c r="K42" s="1115"/>
      <c r="L42" s="1115">
        <v>4</v>
      </c>
      <c r="M42" s="1115"/>
      <c r="N42" s="1115"/>
      <c r="O42" s="1115"/>
      <c r="P42" s="1115"/>
      <c r="Q42" s="1115">
        <v>1</v>
      </c>
      <c r="R42" s="1116">
        <f t="shared" si="4"/>
        <v>9.9999999999997868E-3</v>
      </c>
      <c r="S42" s="1117">
        <f t="shared" si="5"/>
        <v>24</v>
      </c>
      <c r="T42" s="1117">
        <f t="shared" si="6"/>
        <v>12</v>
      </c>
      <c r="U42" s="1117">
        <f t="shared" si="7"/>
        <v>19</v>
      </c>
      <c r="V42" s="1117">
        <f t="shared" si="8"/>
        <v>1</v>
      </c>
      <c r="W42" s="1117"/>
      <c r="X42" s="1118">
        <f t="shared" si="9"/>
        <v>6.4</v>
      </c>
      <c r="Y42" s="1119" t="str">
        <f>IF(ISERROR(VLOOKUP(C42,'부관맨홀 산출근거'!$K$2:$L$32,2,FALSE)),"","부관")</f>
        <v/>
      </c>
      <c r="Z42" s="917"/>
      <c r="AA42" s="917"/>
      <c r="AB42" s="907" t="s">
        <v>1296</v>
      </c>
      <c r="AC42" s="907" t="s">
        <v>1523</v>
      </c>
      <c r="AD42" s="917"/>
      <c r="AE42" s="917"/>
    </row>
    <row r="43" spans="1:31" ht="19.5" customHeight="1">
      <c r="A43" s="1256">
        <f t="shared" si="10"/>
        <v>38</v>
      </c>
      <c r="B43" s="1113" t="str">
        <f t="shared" si="1"/>
        <v>중(국)3-어천4</v>
      </c>
      <c r="C43" s="1113" t="str">
        <f t="shared" si="2"/>
        <v>M2-152</v>
      </c>
      <c r="D43" s="1113">
        <f>VLOOKUP(C43,'맨홀 평균 높이'!$J$4:$L$588,3,0)</f>
        <v>6.04</v>
      </c>
      <c r="E43" s="1114">
        <f t="shared" si="3"/>
        <v>5.98</v>
      </c>
      <c r="F43" s="1115"/>
      <c r="G43" s="1115"/>
      <c r="H43" s="1115">
        <v>1</v>
      </c>
      <c r="I43" s="1115"/>
      <c r="J43" s="1115"/>
      <c r="K43" s="1115"/>
      <c r="L43" s="1115">
        <v>4</v>
      </c>
      <c r="M43" s="1115"/>
      <c r="N43" s="1115"/>
      <c r="O43" s="1115"/>
      <c r="P43" s="1115"/>
      <c r="Q43" s="1115">
        <v>1</v>
      </c>
      <c r="R43" s="1116">
        <f t="shared" si="4"/>
        <v>8.0000000000000071E-2</v>
      </c>
      <c r="S43" s="1117">
        <f t="shared" si="5"/>
        <v>20</v>
      </c>
      <c r="T43" s="1117">
        <f t="shared" si="6"/>
        <v>10</v>
      </c>
      <c r="U43" s="1117">
        <f t="shared" si="7"/>
        <v>18</v>
      </c>
      <c r="V43" s="1117">
        <f t="shared" si="8"/>
        <v>1</v>
      </c>
      <c r="W43" s="1117"/>
      <c r="X43" s="1118">
        <f t="shared" si="9"/>
        <v>5.9</v>
      </c>
      <c r="Y43" s="1119" t="str">
        <f>IF(ISERROR(VLOOKUP(C43,'부관맨홀 산출근거'!$K$2:$L$32,2,FALSE)),"","부관")</f>
        <v/>
      </c>
      <c r="Z43" s="917"/>
      <c r="AA43" s="917"/>
      <c r="AB43" s="907" t="s">
        <v>1295</v>
      </c>
      <c r="AC43" s="907" t="s">
        <v>1525</v>
      </c>
      <c r="AD43" s="917"/>
      <c r="AE43" s="917"/>
    </row>
    <row r="44" spans="1:31" ht="19.5" hidden="1" customHeight="1">
      <c r="A44" s="1256">
        <f t="shared" ref="A44:A73" si="27">A43+1</f>
        <v>39</v>
      </c>
      <c r="B44" s="1113"/>
      <c r="C44" s="1113"/>
      <c r="D44" s="1113"/>
      <c r="E44" s="1114"/>
      <c r="F44" s="1115"/>
      <c r="G44" s="1115"/>
      <c r="H44" s="1115"/>
      <c r="I44" s="1115"/>
      <c r="J44" s="1115"/>
      <c r="K44" s="1115"/>
      <c r="L44" s="1115"/>
      <c r="M44" s="1115"/>
      <c r="N44" s="1115"/>
      <c r="O44" s="1115"/>
      <c r="P44" s="1115"/>
      <c r="Q44" s="1115"/>
      <c r="R44" s="1116"/>
      <c r="S44" s="1117"/>
      <c r="T44" s="1117"/>
      <c r="U44" s="1117"/>
      <c r="V44" s="1117"/>
      <c r="W44" s="1117"/>
      <c r="X44" s="1118"/>
      <c r="Y44" s="1119"/>
      <c r="Z44" s="917"/>
      <c r="AA44" s="917"/>
      <c r="AB44" s="1215"/>
      <c r="AC44" s="1215"/>
      <c r="AD44" s="917"/>
      <c r="AE44" s="917"/>
    </row>
    <row r="45" spans="1:31" ht="19.5" hidden="1" customHeight="1">
      <c r="A45" s="1256">
        <f t="shared" si="27"/>
        <v>40</v>
      </c>
      <c r="B45" s="1113"/>
      <c r="C45" s="1113"/>
      <c r="D45" s="1113"/>
      <c r="E45" s="1114"/>
      <c r="F45" s="1115"/>
      <c r="G45" s="1115"/>
      <c r="H45" s="1115"/>
      <c r="I45" s="1115"/>
      <c r="J45" s="1115"/>
      <c r="K45" s="1115"/>
      <c r="L45" s="1115"/>
      <c r="M45" s="1115"/>
      <c r="N45" s="1115"/>
      <c r="O45" s="1115"/>
      <c r="P45" s="1115"/>
      <c r="Q45" s="1115"/>
      <c r="R45" s="1116"/>
      <c r="S45" s="1117"/>
      <c r="T45" s="1117"/>
      <c r="U45" s="1117"/>
      <c r="V45" s="1117"/>
      <c r="W45" s="1117"/>
      <c r="X45" s="1118"/>
      <c r="Y45" s="1119"/>
      <c r="Z45" s="917"/>
      <c r="AA45" s="917"/>
      <c r="AB45" s="1215"/>
      <c r="AC45" s="1215"/>
      <c r="AD45" s="917"/>
      <c r="AE45" s="917"/>
    </row>
    <row r="46" spans="1:31" ht="19.5" hidden="1" customHeight="1">
      <c r="A46" s="1256">
        <f t="shared" si="27"/>
        <v>41</v>
      </c>
      <c r="B46" s="1113"/>
      <c r="C46" s="1113"/>
      <c r="D46" s="1113"/>
      <c r="E46" s="1114"/>
      <c r="F46" s="1115"/>
      <c r="G46" s="1115"/>
      <c r="H46" s="1115"/>
      <c r="I46" s="1115"/>
      <c r="J46" s="1115"/>
      <c r="K46" s="1115"/>
      <c r="L46" s="1115"/>
      <c r="M46" s="1115"/>
      <c r="N46" s="1115"/>
      <c r="O46" s="1115"/>
      <c r="P46" s="1115"/>
      <c r="Q46" s="1115"/>
      <c r="R46" s="1116"/>
      <c r="S46" s="1117"/>
      <c r="T46" s="1117"/>
      <c r="U46" s="1117"/>
      <c r="V46" s="1117"/>
      <c r="W46" s="1117"/>
      <c r="X46" s="1118"/>
      <c r="Y46" s="1119"/>
      <c r="Z46" s="917"/>
      <c r="AA46" s="917"/>
      <c r="AB46" s="1215"/>
      <c r="AC46" s="1215"/>
      <c r="AD46" s="917"/>
      <c r="AE46" s="917"/>
    </row>
    <row r="47" spans="1:31" ht="19.5" hidden="1" customHeight="1">
      <c r="A47" s="1256">
        <f t="shared" si="27"/>
        <v>42</v>
      </c>
      <c r="B47" s="1113"/>
      <c r="C47" s="1113"/>
      <c r="D47" s="1113"/>
      <c r="E47" s="1114"/>
      <c r="F47" s="1115"/>
      <c r="G47" s="1115"/>
      <c r="H47" s="1115"/>
      <c r="I47" s="1115"/>
      <c r="J47" s="1115"/>
      <c r="K47" s="1115"/>
      <c r="L47" s="1115"/>
      <c r="M47" s="1115"/>
      <c r="N47" s="1115"/>
      <c r="O47" s="1115"/>
      <c r="P47" s="1115"/>
      <c r="Q47" s="1115"/>
      <c r="R47" s="1116"/>
      <c r="S47" s="1117"/>
      <c r="T47" s="1117"/>
      <c r="U47" s="1117"/>
      <c r="V47" s="1117"/>
      <c r="W47" s="1117"/>
      <c r="X47" s="1118"/>
      <c r="Y47" s="1119"/>
      <c r="Z47" s="917"/>
      <c r="AA47" s="917"/>
      <c r="AB47" s="1215"/>
      <c r="AC47" s="1215"/>
      <c r="AD47" s="917"/>
      <c r="AE47" s="917"/>
    </row>
    <row r="48" spans="1:31" ht="19.5" hidden="1" customHeight="1">
      <c r="A48" s="1256">
        <f t="shared" si="27"/>
        <v>43</v>
      </c>
      <c r="B48" s="1113"/>
      <c r="C48" s="1113"/>
      <c r="D48" s="1113"/>
      <c r="E48" s="1114"/>
      <c r="F48" s="1115"/>
      <c r="G48" s="1115"/>
      <c r="H48" s="1115"/>
      <c r="I48" s="1115"/>
      <c r="J48" s="1115"/>
      <c r="K48" s="1115"/>
      <c r="L48" s="1115"/>
      <c r="M48" s="1115"/>
      <c r="N48" s="1115"/>
      <c r="O48" s="1115"/>
      <c r="P48" s="1115"/>
      <c r="Q48" s="1115"/>
      <c r="R48" s="1116"/>
      <c r="S48" s="1117"/>
      <c r="T48" s="1117"/>
      <c r="U48" s="1117"/>
      <c r="V48" s="1117"/>
      <c r="W48" s="1117"/>
      <c r="X48" s="1118"/>
      <c r="Y48" s="1119"/>
      <c r="Z48" s="917"/>
      <c r="AA48" s="917"/>
      <c r="AB48" s="1215"/>
      <c r="AC48" s="1215"/>
      <c r="AD48" s="917"/>
      <c r="AE48" s="917"/>
    </row>
    <row r="49" spans="1:31" ht="19.5" hidden="1" customHeight="1">
      <c r="A49" s="1256">
        <f t="shared" si="27"/>
        <v>44</v>
      </c>
      <c r="B49" s="1113"/>
      <c r="C49" s="1113"/>
      <c r="D49" s="1113"/>
      <c r="E49" s="1114"/>
      <c r="F49" s="1115"/>
      <c r="G49" s="1115"/>
      <c r="H49" s="1115"/>
      <c r="I49" s="1115"/>
      <c r="J49" s="1115"/>
      <c r="K49" s="1115"/>
      <c r="L49" s="1115"/>
      <c r="M49" s="1115"/>
      <c r="N49" s="1115"/>
      <c r="O49" s="1115"/>
      <c r="P49" s="1115"/>
      <c r="Q49" s="1115"/>
      <c r="R49" s="1116"/>
      <c r="S49" s="1117"/>
      <c r="T49" s="1117"/>
      <c r="U49" s="1117"/>
      <c r="V49" s="1117"/>
      <c r="W49" s="1117"/>
      <c r="X49" s="1118"/>
      <c r="Y49" s="1119"/>
      <c r="Z49" s="917"/>
      <c r="AA49" s="917"/>
      <c r="AB49" s="1215"/>
      <c r="AC49" s="1215"/>
      <c r="AD49" s="917"/>
      <c r="AE49" s="917"/>
    </row>
    <row r="50" spans="1:31" ht="19.5" hidden="1" customHeight="1">
      <c r="A50" s="1256">
        <f t="shared" si="27"/>
        <v>45</v>
      </c>
      <c r="B50" s="1113"/>
      <c r="C50" s="1113"/>
      <c r="D50" s="1113"/>
      <c r="E50" s="1114"/>
      <c r="F50" s="1115"/>
      <c r="G50" s="1115"/>
      <c r="H50" s="1115"/>
      <c r="I50" s="1115"/>
      <c r="J50" s="1115"/>
      <c r="K50" s="1115"/>
      <c r="L50" s="1115"/>
      <c r="M50" s="1115"/>
      <c r="N50" s="1115"/>
      <c r="O50" s="1115"/>
      <c r="P50" s="1115"/>
      <c r="Q50" s="1115"/>
      <c r="R50" s="1116"/>
      <c r="S50" s="1117"/>
      <c r="T50" s="1117"/>
      <c r="U50" s="1117"/>
      <c r="V50" s="1117"/>
      <c r="W50" s="1117"/>
      <c r="X50" s="1118"/>
      <c r="Y50" s="1119"/>
      <c r="Z50" s="917"/>
      <c r="AA50" s="917"/>
      <c r="AB50" s="907"/>
      <c r="AC50" s="907"/>
      <c r="AD50" s="917"/>
      <c r="AE50" s="917"/>
    </row>
    <row r="51" spans="1:31" ht="19.5" hidden="1" customHeight="1">
      <c r="A51" s="1256">
        <f t="shared" si="27"/>
        <v>46</v>
      </c>
      <c r="B51" s="1113"/>
      <c r="C51" s="1113"/>
      <c r="D51" s="1113"/>
      <c r="E51" s="1114"/>
      <c r="F51" s="1115"/>
      <c r="G51" s="1115"/>
      <c r="H51" s="1115"/>
      <c r="I51" s="1115"/>
      <c r="J51" s="1115"/>
      <c r="K51" s="1115"/>
      <c r="L51" s="1115"/>
      <c r="M51" s="1115"/>
      <c r="N51" s="1115"/>
      <c r="O51" s="1115"/>
      <c r="P51" s="1115"/>
      <c r="Q51" s="1115"/>
      <c r="R51" s="1116"/>
      <c r="S51" s="1117"/>
      <c r="T51" s="1117"/>
      <c r="U51" s="1117"/>
      <c r="V51" s="1117"/>
      <c r="W51" s="1117"/>
      <c r="X51" s="1118"/>
      <c r="Y51" s="1119"/>
      <c r="Z51" s="917"/>
      <c r="AA51" s="917"/>
      <c r="AB51" s="907"/>
      <c r="AC51" s="907"/>
      <c r="AD51" s="917"/>
      <c r="AE51" s="917"/>
    </row>
    <row r="52" spans="1:31" ht="19.5" hidden="1" customHeight="1">
      <c r="A52" s="1256">
        <f t="shared" si="27"/>
        <v>47</v>
      </c>
      <c r="B52" s="1113"/>
      <c r="C52" s="1113"/>
      <c r="D52" s="1113"/>
      <c r="E52" s="1114"/>
      <c r="F52" s="1115"/>
      <c r="G52" s="1115"/>
      <c r="H52" s="1115"/>
      <c r="I52" s="1115"/>
      <c r="J52" s="1115"/>
      <c r="K52" s="1115"/>
      <c r="L52" s="1115"/>
      <c r="M52" s="1115"/>
      <c r="N52" s="1115"/>
      <c r="O52" s="1115"/>
      <c r="P52" s="1115"/>
      <c r="Q52" s="1115"/>
      <c r="R52" s="1116"/>
      <c r="S52" s="1117"/>
      <c r="T52" s="1117"/>
      <c r="U52" s="1117"/>
      <c r="V52" s="1117"/>
      <c r="W52" s="1117"/>
      <c r="X52" s="1118"/>
      <c r="Y52" s="1119"/>
      <c r="Z52" s="917"/>
      <c r="AA52" s="917"/>
      <c r="AB52" s="907"/>
      <c r="AC52" s="907"/>
      <c r="AD52" s="917"/>
      <c r="AE52" s="917"/>
    </row>
    <row r="53" spans="1:31" ht="19.5" hidden="1" customHeight="1">
      <c r="A53" s="1256">
        <f t="shared" si="27"/>
        <v>48</v>
      </c>
      <c r="B53" s="1113"/>
      <c r="C53" s="1113"/>
      <c r="D53" s="1113"/>
      <c r="E53" s="1114"/>
      <c r="F53" s="1115"/>
      <c r="G53" s="1115"/>
      <c r="H53" s="1115"/>
      <c r="I53" s="1115"/>
      <c r="J53" s="1115"/>
      <c r="K53" s="1115"/>
      <c r="L53" s="1115"/>
      <c r="M53" s="1115"/>
      <c r="N53" s="1115"/>
      <c r="O53" s="1115"/>
      <c r="P53" s="1115"/>
      <c r="Q53" s="1115"/>
      <c r="R53" s="1116"/>
      <c r="S53" s="1117"/>
      <c r="T53" s="1117"/>
      <c r="U53" s="1117"/>
      <c r="V53" s="1117"/>
      <c r="W53" s="1117"/>
      <c r="X53" s="1118"/>
      <c r="Y53" s="1119"/>
      <c r="Z53" s="917"/>
      <c r="AA53" s="917"/>
      <c r="AB53" s="907"/>
      <c r="AC53" s="907"/>
      <c r="AD53" s="917"/>
      <c r="AE53" s="917"/>
    </row>
    <row r="54" spans="1:31" ht="19.5" hidden="1" customHeight="1">
      <c r="A54" s="1256">
        <f t="shared" si="27"/>
        <v>49</v>
      </c>
      <c r="B54" s="1113"/>
      <c r="C54" s="1113"/>
      <c r="D54" s="1113"/>
      <c r="E54" s="1114"/>
      <c r="F54" s="1115"/>
      <c r="G54" s="1115"/>
      <c r="H54" s="1115"/>
      <c r="I54" s="1115"/>
      <c r="J54" s="1115"/>
      <c r="K54" s="1115"/>
      <c r="L54" s="1115"/>
      <c r="M54" s="1115"/>
      <c r="N54" s="1115"/>
      <c r="O54" s="1115"/>
      <c r="P54" s="1115"/>
      <c r="Q54" s="1115"/>
      <c r="R54" s="1116"/>
      <c r="S54" s="1117"/>
      <c r="T54" s="1117"/>
      <c r="U54" s="1117"/>
      <c r="V54" s="1117"/>
      <c r="W54" s="1117"/>
      <c r="X54" s="1118"/>
      <c r="Y54" s="1119"/>
      <c r="Z54" s="917"/>
      <c r="AA54" s="917"/>
      <c r="AB54" s="907"/>
      <c r="AC54" s="907"/>
      <c r="AD54" s="917"/>
      <c r="AE54" s="917"/>
    </row>
    <row r="55" spans="1:31" ht="19.5" hidden="1" customHeight="1">
      <c r="A55" s="1256">
        <f t="shared" si="27"/>
        <v>50</v>
      </c>
      <c r="B55" s="1113"/>
      <c r="C55" s="1113"/>
      <c r="D55" s="1113"/>
      <c r="E55" s="1114"/>
      <c r="F55" s="1115"/>
      <c r="G55" s="1115"/>
      <c r="H55" s="1115"/>
      <c r="I55" s="1115"/>
      <c r="J55" s="1115"/>
      <c r="K55" s="1115"/>
      <c r="L55" s="1115"/>
      <c r="M55" s="1115"/>
      <c r="N55" s="1115"/>
      <c r="O55" s="1115"/>
      <c r="P55" s="1115"/>
      <c r="Q55" s="1115"/>
      <c r="R55" s="1116"/>
      <c r="S55" s="1117"/>
      <c r="T55" s="1117"/>
      <c r="U55" s="1117"/>
      <c r="V55" s="1117"/>
      <c r="W55" s="1117"/>
      <c r="X55" s="1118"/>
      <c r="Y55" s="1119"/>
      <c r="Z55" s="917"/>
      <c r="AA55" s="917"/>
      <c r="AB55" s="907"/>
      <c r="AC55" s="907"/>
      <c r="AD55" s="917"/>
      <c r="AE55" s="917"/>
    </row>
    <row r="56" spans="1:31" ht="19.5" hidden="1" customHeight="1">
      <c r="A56" s="1256">
        <f t="shared" si="27"/>
        <v>51</v>
      </c>
      <c r="B56" s="1113"/>
      <c r="C56" s="1113"/>
      <c r="D56" s="1113"/>
      <c r="E56" s="1114"/>
      <c r="F56" s="1115"/>
      <c r="G56" s="1115"/>
      <c r="H56" s="1115"/>
      <c r="I56" s="1115"/>
      <c r="J56" s="1115"/>
      <c r="K56" s="1115"/>
      <c r="L56" s="1115"/>
      <c r="M56" s="1115"/>
      <c r="N56" s="1115"/>
      <c r="O56" s="1115"/>
      <c r="P56" s="1115"/>
      <c r="Q56" s="1115"/>
      <c r="R56" s="1116"/>
      <c r="S56" s="1117"/>
      <c r="T56" s="1117"/>
      <c r="U56" s="1117"/>
      <c r="V56" s="1117"/>
      <c r="W56" s="1117"/>
      <c r="X56" s="1118"/>
      <c r="Y56" s="1119"/>
      <c r="Z56" s="917"/>
      <c r="AA56" s="917"/>
      <c r="AB56" s="907"/>
      <c r="AC56" s="907"/>
      <c r="AD56" s="917"/>
      <c r="AE56" s="917"/>
    </row>
    <row r="57" spans="1:31" ht="19.5" hidden="1" customHeight="1">
      <c r="A57" s="1256">
        <f t="shared" si="27"/>
        <v>52</v>
      </c>
      <c r="B57" s="1113"/>
      <c r="C57" s="1113"/>
      <c r="D57" s="1113"/>
      <c r="E57" s="1114"/>
      <c r="F57" s="1115"/>
      <c r="G57" s="1115"/>
      <c r="H57" s="1115"/>
      <c r="I57" s="1115"/>
      <c r="J57" s="1115"/>
      <c r="K57" s="1115"/>
      <c r="L57" s="1115"/>
      <c r="M57" s="1115"/>
      <c r="N57" s="1115"/>
      <c r="O57" s="1115"/>
      <c r="P57" s="1115"/>
      <c r="Q57" s="1115"/>
      <c r="R57" s="1116"/>
      <c r="S57" s="1117"/>
      <c r="T57" s="1117"/>
      <c r="U57" s="1117"/>
      <c r="V57" s="1117"/>
      <c r="W57" s="1117"/>
      <c r="X57" s="1118"/>
      <c r="Y57" s="1119"/>
      <c r="Z57" s="917"/>
      <c r="AA57" s="917"/>
      <c r="AB57" s="907"/>
      <c r="AC57" s="907"/>
      <c r="AD57" s="917"/>
      <c r="AE57" s="917"/>
    </row>
    <row r="58" spans="1:31" ht="19.5" hidden="1" customHeight="1">
      <c r="A58" s="1256">
        <f t="shared" si="27"/>
        <v>53</v>
      </c>
      <c r="B58" s="1113"/>
      <c r="C58" s="1113"/>
      <c r="D58" s="1113"/>
      <c r="E58" s="1114"/>
      <c r="F58" s="1115"/>
      <c r="G58" s="1115"/>
      <c r="H58" s="1115"/>
      <c r="I58" s="1115"/>
      <c r="J58" s="1115"/>
      <c r="K58" s="1115"/>
      <c r="L58" s="1115"/>
      <c r="M58" s="1115"/>
      <c r="N58" s="1115"/>
      <c r="O58" s="1115"/>
      <c r="P58" s="1115"/>
      <c r="Q58" s="1115"/>
      <c r="R58" s="1116"/>
      <c r="S58" s="1117"/>
      <c r="T58" s="1117"/>
      <c r="U58" s="1117"/>
      <c r="V58" s="1117"/>
      <c r="W58" s="1117"/>
      <c r="X58" s="1118"/>
      <c r="Y58" s="1119"/>
      <c r="Z58" s="917"/>
      <c r="AA58" s="917"/>
      <c r="AB58" s="907"/>
      <c r="AC58" s="907"/>
      <c r="AD58" s="917"/>
      <c r="AE58" s="917"/>
    </row>
    <row r="59" spans="1:31" ht="19.5" hidden="1" customHeight="1">
      <c r="A59" s="1256">
        <f t="shared" si="27"/>
        <v>54</v>
      </c>
      <c r="B59" s="1113"/>
      <c r="C59" s="1113"/>
      <c r="D59" s="1113"/>
      <c r="E59" s="1114"/>
      <c r="F59" s="1115"/>
      <c r="G59" s="1115"/>
      <c r="H59" s="1115"/>
      <c r="I59" s="1115"/>
      <c r="J59" s="1115"/>
      <c r="K59" s="1115"/>
      <c r="L59" s="1115"/>
      <c r="M59" s="1115"/>
      <c r="N59" s="1115"/>
      <c r="O59" s="1115"/>
      <c r="P59" s="1115"/>
      <c r="Q59" s="1115"/>
      <c r="R59" s="1116"/>
      <c r="S59" s="1117"/>
      <c r="T59" s="1117"/>
      <c r="U59" s="1117"/>
      <c r="V59" s="1117"/>
      <c r="W59" s="1117"/>
      <c r="X59" s="1118"/>
      <c r="Y59" s="1119"/>
      <c r="Z59" s="917"/>
      <c r="AA59" s="917"/>
      <c r="AB59" s="907"/>
      <c r="AC59" s="907"/>
      <c r="AD59" s="917"/>
      <c r="AE59" s="917"/>
    </row>
    <row r="60" spans="1:31" ht="19.5" hidden="1" customHeight="1">
      <c r="A60" s="1256">
        <f t="shared" si="27"/>
        <v>55</v>
      </c>
      <c r="B60" s="1113"/>
      <c r="C60" s="1113"/>
      <c r="D60" s="1113"/>
      <c r="E60" s="1114"/>
      <c r="F60" s="1115"/>
      <c r="G60" s="1115"/>
      <c r="H60" s="1115"/>
      <c r="I60" s="1115"/>
      <c r="J60" s="1115"/>
      <c r="K60" s="1115"/>
      <c r="L60" s="1115"/>
      <c r="M60" s="1115"/>
      <c r="N60" s="1115"/>
      <c r="O60" s="1115"/>
      <c r="P60" s="1115"/>
      <c r="Q60" s="1115"/>
      <c r="R60" s="1116"/>
      <c r="S60" s="1117"/>
      <c r="T60" s="1117"/>
      <c r="U60" s="1117"/>
      <c r="V60" s="1117"/>
      <c r="W60" s="1117"/>
      <c r="X60" s="1118"/>
      <c r="Y60" s="1119"/>
      <c r="Z60" s="917"/>
      <c r="AA60" s="917"/>
      <c r="AB60" s="907"/>
      <c r="AC60" s="907"/>
      <c r="AD60" s="917"/>
      <c r="AE60" s="917"/>
    </row>
    <row r="61" spans="1:31" ht="19.5" hidden="1" customHeight="1">
      <c r="A61" s="1256">
        <f t="shared" si="27"/>
        <v>56</v>
      </c>
      <c r="B61" s="1113"/>
      <c r="C61" s="1113"/>
      <c r="D61" s="1113"/>
      <c r="E61" s="1114"/>
      <c r="F61" s="1115"/>
      <c r="G61" s="1115"/>
      <c r="H61" s="1115"/>
      <c r="I61" s="1115"/>
      <c r="J61" s="1115"/>
      <c r="K61" s="1115"/>
      <c r="L61" s="1115"/>
      <c r="M61" s="1115"/>
      <c r="N61" s="1115"/>
      <c r="O61" s="1115"/>
      <c r="P61" s="1115"/>
      <c r="Q61" s="1115"/>
      <c r="R61" s="1116"/>
      <c r="S61" s="1117"/>
      <c r="T61" s="1117"/>
      <c r="U61" s="1117"/>
      <c r="V61" s="1117"/>
      <c r="W61" s="1117"/>
      <c r="X61" s="1118"/>
      <c r="Y61" s="1119"/>
      <c r="Z61" s="917"/>
      <c r="AA61" s="917"/>
      <c r="AB61" s="907"/>
      <c r="AC61" s="907"/>
      <c r="AD61" s="917"/>
      <c r="AE61" s="917"/>
    </row>
    <row r="62" spans="1:31" ht="19.5" hidden="1" customHeight="1">
      <c r="A62" s="1256">
        <f t="shared" si="27"/>
        <v>57</v>
      </c>
      <c r="B62" s="1113"/>
      <c r="C62" s="1113"/>
      <c r="D62" s="1113"/>
      <c r="E62" s="1114"/>
      <c r="F62" s="1115"/>
      <c r="G62" s="1115"/>
      <c r="H62" s="1115"/>
      <c r="I62" s="1115"/>
      <c r="J62" s="1115"/>
      <c r="K62" s="1115"/>
      <c r="L62" s="1115"/>
      <c r="M62" s="1115"/>
      <c r="N62" s="1115"/>
      <c r="O62" s="1115"/>
      <c r="P62" s="1115"/>
      <c r="Q62" s="1115"/>
      <c r="R62" s="1116"/>
      <c r="S62" s="1117"/>
      <c r="T62" s="1117"/>
      <c r="U62" s="1117"/>
      <c r="V62" s="1117"/>
      <c r="W62" s="1117"/>
      <c r="X62" s="1118"/>
      <c r="Y62" s="1119"/>
      <c r="Z62" s="917"/>
      <c r="AA62" s="917"/>
      <c r="AB62" s="907"/>
      <c r="AC62" s="907"/>
      <c r="AD62" s="917"/>
      <c r="AE62" s="917"/>
    </row>
    <row r="63" spans="1:31" ht="19.5" hidden="1" customHeight="1">
      <c r="A63" s="1256">
        <f t="shared" si="27"/>
        <v>58</v>
      </c>
      <c r="B63" s="1113"/>
      <c r="C63" s="1113"/>
      <c r="D63" s="1113"/>
      <c r="E63" s="1114"/>
      <c r="F63" s="1115"/>
      <c r="G63" s="1115"/>
      <c r="H63" s="1115"/>
      <c r="I63" s="1115"/>
      <c r="J63" s="1115"/>
      <c r="K63" s="1115"/>
      <c r="L63" s="1115"/>
      <c r="M63" s="1115"/>
      <c r="N63" s="1115"/>
      <c r="O63" s="1115"/>
      <c r="P63" s="1115"/>
      <c r="Q63" s="1115"/>
      <c r="R63" s="1116"/>
      <c r="S63" s="1117"/>
      <c r="T63" s="1117"/>
      <c r="U63" s="1117"/>
      <c r="V63" s="1117"/>
      <c r="W63" s="1117"/>
      <c r="X63" s="1118"/>
      <c r="Y63" s="1119"/>
      <c r="Z63" s="917"/>
      <c r="AA63" s="917"/>
      <c r="AB63" s="907"/>
      <c r="AC63" s="907"/>
      <c r="AD63" s="917"/>
      <c r="AE63" s="917"/>
    </row>
    <row r="64" spans="1:31" ht="19.5" hidden="1" customHeight="1">
      <c r="A64" s="1256">
        <f t="shared" si="27"/>
        <v>59</v>
      </c>
      <c r="B64" s="1113"/>
      <c r="C64" s="1113"/>
      <c r="D64" s="1113"/>
      <c r="E64" s="1114"/>
      <c r="F64" s="1115"/>
      <c r="G64" s="1115"/>
      <c r="H64" s="1115"/>
      <c r="I64" s="1115"/>
      <c r="J64" s="1115"/>
      <c r="K64" s="1115"/>
      <c r="L64" s="1115"/>
      <c r="M64" s="1115"/>
      <c r="N64" s="1115"/>
      <c r="O64" s="1115"/>
      <c r="P64" s="1115"/>
      <c r="Q64" s="1115"/>
      <c r="R64" s="1116"/>
      <c r="S64" s="1117"/>
      <c r="T64" s="1117"/>
      <c r="U64" s="1117"/>
      <c r="V64" s="1117"/>
      <c r="W64" s="1117"/>
      <c r="X64" s="1118"/>
      <c r="Y64" s="1119"/>
      <c r="Z64" s="917"/>
      <c r="AA64" s="917"/>
      <c r="AB64" s="907"/>
      <c r="AC64" s="907"/>
      <c r="AD64" s="917"/>
      <c r="AE64" s="917"/>
    </row>
    <row r="65" spans="1:38" ht="19.5" hidden="1" customHeight="1">
      <c r="A65" s="1256">
        <f t="shared" si="27"/>
        <v>60</v>
      </c>
      <c r="B65" s="1113"/>
      <c r="C65" s="1113"/>
      <c r="D65" s="1113"/>
      <c r="E65" s="1114"/>
      <c r="F65" s="1115"/>
      <c r="G65" s="1115"/>
      <c r="H65" s="1115"/>
      <c r="I65" s="1115"/>
      <c r="J65" s="1115"/>
      <c r="K65" s="1115"/>
      <c r="L65" s="1115"/>
      <c r="M65" s="1115"/>
      <c r="N65" s="1115"/>
      <c r="O65" s="1115"/>
      <c r="P65" s="1115"/>
      <c r="Q65" s="1115"/>
      <c r="R65" s="1116"/>
      <c r="S65" s="1117"/>
      <c r="T65" s="1117"/>
      <c r="U65" s="1117"/>
      <c r="V65" s="1117"/>
      <c r="W65" s="1117"/>
      <c r="X65" s="1118"/>
      <c r="Y65" s="1119"/>
      <c r="Z65" s="917"/>
      <c r="AA65" s="917"/>
      <c r="AB65" s="911"/>
      <c r="AC65" s="912"/>
      <c r="AD65" s="917"/>
      <c r="AE65" s="917"/>
    </row>
    <row r="66" spans="1:38" ht="19.5" hidden="1" customHeight="1">
      <c r="A66" s="1256">
        <f t="shared" si="27"/>
        <v>61</v>
      </c>
      <c r="B66" s="1113"/>
      <c r="C66" s="1113"/>
      <c r="D66" s="1113"/>
      <c r="E66" s="1114"/>
      <c r="F66" s="1115"/>
      <c r="G66" s="1115"/>
      <c r="H66" s="1115"/>
      <c r="I66" s="1115"/>
      <c r="J66" s="1115"/>
      <c r="K66" s="1115"/>
      <c r="L66" s="1115"/>
      <c r="M66" s="1115"/>
      <c r="N66" s="1115"/>
      <c r="O66" s="1115"/>
      <c r="P66" s="1115"/>
      <c r="Q66" s="1115"/>
      <c r="R66" s="1116"/>
      <c r="S66" s="1117"/>
      <c r="T66" s="1117"/>
      <c r="U66" s="1117"/>
      <c r="V66" s="1117"/>
      <c r="W66" s="1117"/>
      <c r="X66" s="1118"/>
      <c r="Y66" s="1119"/>
      <c r="Z66" s="917"/>
      <c r="AA66" s="917"/>
      <c r="AB66" s="911"/>
      <c r="AC66" s="912"/>
      <c r="AD66" s="917"/>
      <c r="AE66" s="917"/>
    </row>
    <row r="67" spans="1:38" ht="19.5" hidden="1" customHeight="1">
      <c r="A67" s="1256">
        <f t="shared" si="27"/>
        <v>62</v>
      </c>
      <c r="B67" s="1113"/>
      <c r="C67" s="1113"/>
      <c r="D67" s="1113"/>
      <c r="E67" s="1114"/>
      <c r="F67" s="1115"/>
      <c r="G67" s="1115"/>
      <c r="H67" s="1115"/>
      <c r="I67" s="1115"/>
      <c r="J67" s="1115"/>
      <c r="K67" s="1115"/>
      <c r="L67" s="1115"/>
      <c r="M67" s="1115"/>
      <c r="N67" s="1115"/>
      <c r="O67" s="1115"/>
      <c r="P67" s="1115"/>
      <c r="Q67" s="1115"/>
      <c r="R67" s="1116"/>
      <c r="S67" s="1117"/>
      <c r="T67" s="1117"/>
      <c r="U67" s="1117"/>
      <c r="V67" s="1117"/>
      <c r="W67" s="1117"/>
      <c r="X67" s="1118"/>
      <c r="Y67" s="1119"/>
      <c r="Z67" s="917"/>
      <c r="AA67" s="917"/>
      <c r="AB67" s="911"/>
      <c r="AC67" s="912"/>
      <c r="AD67" s="917"/>
      <c r="AE67" s="917"/>
    </row>
    <row r="68" spans="1:38" ht="19.5" hidden="1" customHeight="1">
      <c r="A68" s="1256">
        <f t="shared" si="27"/>
        <v>63</v>
      </c>
      <c r="B68" s="1113"/>
      <c r="C68" s="1113"/>
      <c r="D68" s="1113"/>
      <c r="E68" s="1114"/>
      <c r="F68" s="1115"/>
      <c r="G68" s="1115"/>
      <c r="H68" s="1115"/>
      <c r="I68" s="1115"/>
      <c r="J68" s="1115"/>
      <c r="K68" s="1115"/>
      <c r="L68" s="1115"/>
      <c r="M68" s="1115"/>
      <c r="N68" s="1115"/>
      <c r="O68" s="1115"/>
      <c r="P68" s="1115"/>
      <c r="Q68" s="1115"/>
      <c r="R68" s="1116"/>
      <c r="S68" s="1117"/>
      <c r="T68" s="1117"/>
      <c r="U68" s="1117"/>
      <c r="V68" s="1117"/>
      <c r="W68" s="1117"/>
      <c r="X68" s="1118"/>
      <c r="Y68" s="1119"/>
      <c r="Z68" s="917"/>
      <c r="AA68" s="917"/>
      <c r="AB68" s="911"/>
      <c r="AC68" s="912"/>
      <c r="AD68" s="917"/>
      <c r="AE68" s="917"/>
    </row>
    <row r="69" spans="1:38" ht="19.5" hidden="1" customHeight="1">
      <c r="A69" s="1256">
        <f t="shared" si="27"/>
        <v>64</v>
      </c>
      <c r="B69" s="1113"/>
      <c r="C69" s="1113"/>
      <c r="D69" s="1113"/>
      <c r="E69" s="1114"/>
      <c r="F69" s="1115"/>
      <c r="G69" s="1115"/>
      <c r="H69" s="1115"/>
      <c r="I69" s="1115"/>
      <c r="J69" s="1115"/>
      <c r="K69" s="1115"/>
      <c r="L69" s="1115"/>
      <c r="M69" s="1115"/>
      <c r="N69" s="1115"/>
      <c r="O69" s="1115"/>
      <c r="P69" s="1115"/>
      <c r="Q69" s="1115"/>
      <c r="R69" s="1116"/>
      <c r="S69" s="1117"/>
      <c r="T69" s="1117"/>
      <c r="U69" s="1117"/>
      <c r="V69" s="1117"/>
      <c r="W69" s="1117"/>
      <c r="X69" s="1118"/>
      <c r="Y69" s="1119"/>
      <c r="Z69" s="917"/>
      <c r="AA69" s="917"/>
      <c r="AB69" s="911"/>
      <c r="AC69" s="912"/>
      <c r="AD69" s="917"/>
      <c r="AE69" s="917"/>
    </row>
    <row r="70" spans="1:38" ht="19.5" hidden="1" customHeight="1">
      <c r="A70" s="1256">
        <f t="shared" si="27"/>
        <v>65</v>
      </c>
      <c r="B70" s="1113"/>
      <c r="C70" s="1113"/>
      <c r="D70" s="1113"/>
      <c r="E70" s="1114"/>
      <c r="F70" s="1115"/>
      <c r="G70" s="1115"/>
      <c r="H70" s="1115"/>
      <c r="I70" s="1115"/>
      <c r="J70" s="1115"/>
      <c r="K70" s="1115"/>
      <c r="L70" s="1115"/>
      <c r="M70" s="1115"/>
      <c r="N70" s="1115"/>
      <c r="O70" s="1115"/>
      <c r="P70" s="1115"/>
      <c r="Q70" s="1115"/>
      <c r="R70" s="1116"/>
      <c r="S70" s="1117"/>
      <c r="T70" s="1117"/>
      <c r="U70" s="1117"/>
      <c r="V70" s="1117"/>
      <c r="W70" s="1117"/>
      <c r="X70" s="1118"/>
      <c r="Y70" s="1119"/>
      <c r="Z70" s="917"/>
      <c r="AA70" s="917"/>
      <c r="AB70" s="911"/>
      <c r="AC70" s="912"/>
      <c r="AD70" s="917"/>
      <c r="AE70" s="917"/>
    </row>
    <row r="71" spans="1:38" ht="19.5" hidden="1" customHeight="1">
      <c r="A71" s="1256">
        <f t="shared" si="27"/>
        <v>66</v>
      </c>
      <c r="B71" s="1113"/>
      <c r="C71" s="1113"/>
      <c r="D71" s="1113"/>
      <c r="E71" s="1114"/>
      <c r="F71" s="1115"/>
      <c r="G71" s="1115"/>
      <c r="H71" s="1115"/>
      <c r="I71" s="1115"/>
      <c r="J71" s="1115"/>
      <c r="K71" s="1115"/>
      <c r="L71" s="1115"/>
      <c r="M71" s="1115"/>
      <c r="N71" s="1115"/>
      <c r="O71" s="1115"/>
      <c r="P71" s="1115"/>
      <c r="Q71" s="1115"/>
      <c r="R71" s="1116"/>
      <c r="S71" s="1117"/>
      <c r="T71" s="1117"/>
      <c r="U71" s="1117"/>
      <c r="V71" s="1117"/>
      <c r="W71" s="1117"/>
      <c r="X71" s="1118"/>
      <c r="Y71" s="1119"/>
      <c r="Z71" s="917"/>
      <c r="AA71" s="917"/>
      <c r="AB71" s="911"/>
      <c r="AC71" s="912"/>
      <c r="AD71" s="917"/>
      <c r="AE71" s="917"/>
    </row>
    <row r="72" spans="1:38" ht="19.5" hidden="1" customHeight="1">
      <c r="A72" s="1256">
        <f t="shared" si="27"/>
        <v>67</v>
      </c>
      <c r="B72" s="1113"/>
      <c r="C72" s="1113"/>
      <c r="D72" s="1113"/>
      <c r="E72" s="1114"/>
      <c r="F72" s="1115"/>
      <c r="G72" s="1115"/>
      <c r="H72" s="1115"/>
      <c r="I72" s="1115"/>
      <c r="J72" s="1115"/>
      <c r="K72" s="1115"/>
      <c r="L72" s="1115"/>
      <c r="M72" s="1115"/>
      <c r="N72" s="1115"/>
      <c r="O72" s="1115"/>
      <c r="P72" s="1115"/>
      <c r="Q72" s="1115"/>
      <c r="R72" s="1116"/>
      <c r="S72" s="1117"/>
      <c r="T72" s="1117"/>
      <c r="U72" s="1117"/>
      <c r="V72" s="1117"/>
      <c r="W72" s="1117"/>
      <c r="X72" s="1118"/>
      <c r="Y72" s="1119"/>
      <c r="Z72" s="917"/>
      <c r="AA72" s="917"/>
      <c r="AB72" s="911"/>
      <c r="AC72" s="912"/>
      <c r="AD72" s="917"/>
      <c r="AE72" s="917"/>
    </row>
    <row r="73" spans="1:38" ht="19.5" hidden="1" customHeight="1">
      <c r="A73" s="1256">
        <f t="shared" si="27"/>
        <v>68</v>
      </c>
      <c r="B73" s="1113"/>
      <c r="C73" s="1113"/>
      <c r="D73" s="1113"/>
      <c r="E73" s="1114"/>
      <c r="F73" s="1115"/>
      <c r="G73" s="1115"/>
      <c r="H73" s="1115"/>
      <c r="I73" s="1115"/>
      <c r="J73" s="1115"/>
      <c r="K73" s="1115"/>
      <c r="L73" s="1115"/>
      <c r="M73" s="1115"/>
      <c r="N73" s="1115"/>
      <c r="O73" s="1115"/>
      <c r="P73" s="1115"/>
      <c r="Q73" s="1115"/>
      <c r="R73" s="1116"/>
      <c r="S73" s="1117"/>
      <c r="T73" s="1117"/>
      <c r="U73" s="1117"/>
      <c r="V73" s="1117"/>
      <c r="W73" s="1117"/>
      <c r="X73" s="1118"/>
      <c r="Y73" s="1119"/>
      <c r="Z73" s="917"/>
      <c r="AA73" s="917"/>
      <c r="AB73" s="911"/>
      <c r="AC73" s="912"/>
      <c r="AD73" s="917"/>
      <c r="AE73" s="917"/>
    </row>
    <row r="74" spans="1:38" s="1104" customFormat="1" ht="19.5" customHeight="1">
      <c r="A74" s="1369" t="s">
        <v>351</v>
      </c>
      <c r="B74" s="1370"/>
      <c r="C74" s="1127">
        <f>COUNTA(C6:C73)</f>
        <v>38</v>
      </c>
      <c r="D74" s="1128">
        <f>SUM(D6:D73)</f>
        <v>147.37000000000003</v>
      </c>
      <c r="E74" s="1128"/>
      <c r="F74" s="1129">
        <f t="shared" ref="F74:V74" si="28">SUM(F6:F73)</f>
        <v>2</v>
      </c>
      <c r="G74" s="1129">
        <f t="shared" si="28"/>
        <v>3</v>
      </c>
      <c r="H74" s="1129">
        <f t="shared" si="28"/>
        <v>33</v>
      </c>
      <c r="I74" s="1129">
        <f t="shared" si="28"/>
        <v>7</v>
      </c>
      <c r="J74" s="1129">
        <f t="shared" si="28"/>
        <v>11</v>
      </c>
      <c r="K74" s="1129">
        <f t="shared" si="28"/>
        <v>5</v>
      </c>
      <c r="L74" s="1129">
        <f t="shared" si="28"/>
        <v>67</v>
      </c>
      <c r="M74" s="1129">
        <f t="shared" si="28"/>
        <v>4</v>
      </c>
      <c r="N74" s="1129">
        <f t="shared" si="28"/>
        <v>5</v>
      </c>
      <c r="O74" s="1129">
        <f t="shared" si="28"/>
        <v>6</v>
      </c>
      <c r="P74" s="1129">
        <f t="shared" si="28"/>
        <v>14</v>
      </c>
      <c r="Q74" s="1129">
        <f t="shared" si="28"/>
        <v>9</v>
      </c>
      <c r="R74" s="1128">
        <f>SUM(R6:R73)/C74</f>
        <v>5.2368421052631571E-2</v>
      </c>
      <c r="S74" s="1129">
        <f t="shared" si="28"/>
        <v>512</v>
      </c>
      <c r="T74" s="1129">
        <f t="shared" si="28"/>
        <v>256</v>
      </c>
      <c r="U74" s="1129">
        <f t="shared" si="28"/>
        <v>401</v>
      </c>
      <c r="V74" s="1129">
        <f t="shared" si="28"/>
        <v>17</v>
      </c>
      <c r="W74" s="1130"/>
      <c r="X74" s="1118"/>
      <c r="AC74" s="912"/>
    </row>
    <row r="75" spans="1:38" ht="20.100000000000001" customHeight="1">
      <c r="A75" s="1131"/>
      <c r="B75" s="1131"/>
      <c r="C75" s="1420" t="s">
        <v>352</v>
      </c>
      <c r="D75" s="1361"/>
      <c r="E75" s="1132">
        <f>D74/C74</f>
        <v>3.8781578947368431</v>
      </c>
      <c r="F75" s="1131"/>
      <c r="G75" s="1131"/>
      <c r="H75" s="1131"/>
      <c r="I75" s="1131"/>
      <c r="J75" s="1131"/>
      <c r="K75" s="1131"/>
      <c r="L75" s="1131"/>
      <c r="M75" s="1131"/>
      <c r="N75" s="1131"/>
      <c r="O75" s="1131"/>
      <c r="P75" s="1131"/>
      <c r="Q75" s="1131"/>
      <c r="R75" s="1131"/>
      <c r="S75" s="1131"/>
      <c r="T75" s="1131"/>
      <c r="U75" s="1131"/>
      <c r="V75" s="1131"/>
      <c r="W75" s="1131"/>
      <c r="Z75" s="1104"/>
      <c r="AA75" s="1104"/>
      <c r="AB75" s="1104"/>
      <c r="AC75" s="1104"/>
      <c r="AD75" s="1104"/>
      <c r="AE75" s="1104"/>
      <c r="AF75" s="1104"/>
      <c r="AG75" s="1104"/>
      <c r="AH75" s="1104"/>
      <c r="AI75" s="1104"/>
    </row>
    <row r="76" spans="1:38" ht="20.100000000000001" customHeight="1">
      <c r="A76" s="1131"/>
      <c r="B76" s="1131"/>
      <c r="C76" s="1131"/>
      <c r="D76" s="1133"/>
      <c r="E76" s="1133"/>
      <c r="F76" s="1131"/>
      <c r="G76" s="1134"/>
      <c r="H76" s="1134">
        <f>SUM(F74:H74)</f>
        <v>38</v>
      </c>
      <c r="I76" s="1131"/>
      <c r="J76" s="1131"/>
      <c r="K76" s="1131"/>
      <c r="L76" s="1131"/>
      <c r="M76" s="1131"/>
      <c r="N76" s="1131"/>
      <c r="O76" s="1134"/>
      <c r="P76" s="1131"/>
      <c r="Q76" s="1134">
        <f>SUM(M74:Q74)</f>
        <v>38</v>
      </c>
      <c r="R76" s="1131"/>
      <c r="S76" s="1134"/>
      <c r="U76" s="1131"/>
      <c r="V76" s="1131"/>
      <c r="W76" s="1131"/>
      <c r="X76" s="1131"/>
      <c r="Y76" s="1131"/>
      <c r="Z76" s="1131"/>
      <c r="AJ76" s="1104"/>
      <c r="AK76" s="1104"/>
      <c r="AL76" s="1104"/>
    </row>
    <row r="77" spans="1:38" ht="20.100000000000001" customHeight="1">
      <c r="A77" s="1131"/>
      <c r="B77" s="1131"/>
      <c r="C77" s="1131"/>
      <c r="D77" s="1133"/>
      <c r="E77" s="1133"/>
      <c r="F77" s="1131"/>
      <c r="G77" s="1131"/>
      <c r="H77" s="1131"/>
      <c r="I77" s="1131"/>
      <c r="J77" s="1131"/>
      <c r="K77" s="1131"/>
      <c r="L77" s="1131"/>
      <c r="M77" s="1131"/>
      <c r="N77" s="1131"/>
      <c r="O77" s="1131"/>
      <c r="P77" s="1131"/>
      <c r="Q77" s="1131"/>
      <c r="R77" s="1131"/>
      <c r="S77" s="1131"/>
      <c r="T77" s="1131"/>
      <c r="U77" s="1131"/>
      <c r="V77" s="1131"/>
      <c r="W77" s="1131"/>
    </row>
    <row r="78" spans="1:38" ht="20.100000000000001" customHeight="1">
      <c r="A78" s="1131"/>
      <c r="B78" s="1131"/>
      <c r="C78" s="1131"/>
      <c r="D78" s="1133"/>
      <c r="E78" s="1133"/>
      <c r="F78" s="1131"/>
      <c r="G78" s="1131"/>
      <c r="H78" s="1131"/>
      <c r="I78" s="1131"/>
      <c r="J78" s="1131"/>
      <c r="K78" s="1131"/>
      <c r="L78" s="1131"/>
      <c r="M78" s="1131"/>
      <c r="N78" s="1131"/>
      <c r="O78" s="1131"/>
      <c r="P78" s="1131"/>
      <c r="Q78" s="1131"/>
      <c r="R78" s="1131"/>
      <c r="S78" s="1131"/>
      <c r="T78" s="1131"/>
      <c r="U78" s="1131"/>
      <c r="V78" s="1131"/>
      <c r="W78" s="1131"/>
    </row>
    <row r="79" spans="1:38" ht="20.100000000000001" customHeight="1">
      <c r="A79" s="1131"/>
      <c r="B79" s="1131"/>
      <c r="C79" s="1131"/>
      <c r="D79" s="1133"/>
      <c r="E79" s="1133"/>
      <c r="F79" s="1131"/>
      <c r="G79" s="1131"/>
      <c r="H79" s="1131"/>
      <c r="I79" s="1131"/>
      <c r="J79" s="1131"/>
      <c r="K79" s="1131"/>
      <c r="L79" s="1131"/>
      <c r="M79" s="1131"/>
      <c r="N79" s="1131"/>
      <c r="O79" s="1131"/>
      <c r="P79" s="1131"/>
      <c r="Q79" s="1131"/>
      <c r="R79" s="1131"/>
      <c r="S79" s="1131"/>
      <c r="T79" s="1131"/>
      <c r="U79" s="1131"/>
      <c r="V79" s="1131"/>
      <c r="W79" s="1131"/>
    </row>
    <row r="80" spans="1:38" ht="20.100000000000001" customHeight="1">
      <c r="A80" s="1131"/>
      <c r="B80" s="1131"/>
      <c r="C80" s="1131"/>
      <c r="D80" s="1133"/>
      <c r="E80" s="1133"/>
      <c r="F80" s="1131"/>
      <c r="G80" s="1131"/>
      <c r="H80" s="1131"/>
      <c r="I80" s="1131"/>
      <c r="J80" s="1131"/>
      <c r="K80" s="1131"/>
      <c r="L80" s="1131"/>
      <c r="M80" s="1131"/>
      <c r="N80" s="1131"/>
      <c r="O80" s="1131"/>
      <c r="P80" s="1131"/>
      <c r="Q80" s="1131"/>
      <c r="R80" s="1131"/>
      <c r="S80" s="1131"/>
      <c r="T80" s="1131"/>
      <c r="U80" s="1131"/>
      <c r="V80" s="1131"/>
      <c r="W80" s="1131"/>
    </row>
    <row r="81" spans="1:23" ht="20.100000000000001" customHeight="1">
      <c r="A81" s="1131"/>
      <c r="B81" s="1131"/>
      <c r="C81" s="1131"/>
      <c r="D81" s="1133"/>
      <c r="E81" s="1133"/>
      <c r="F81" s="1131"/>
      <c r="G81" s="1131"/>
      <c r="H81" s="1131"/>
      <c r="I81" s="1131"/>
      <c r="J81" s="1131"/>
      <c r="K81" s="1131"/>
      <c r="L81" s="1131"/>
      <c r="M81" s="1131"/>
      <c r="N81" s="1131"/>
      <c r="O81" s="1131"/>
      <c r="P81" s="1131"/>
      <c r="Q81" s="1131"/>
      <c r="R81" s="1131"/>
      <c r="S81" s="1131"/>
      <c r="T81" s="1131"/>
      <c r="U81" s="1131"/>
      <c r="V81" s="1131"/>
      <c r="W81" s="1131"/>
    </row>
    <row r="82" spans="1:23" ht="20.100000000000001" customHeight="1">
      <c r="A82" s="1131"/>
      <c r="B82" s="1131"/>
      <c r="C82" s="1131"/>
      <c r="D82" s="1133"/>
      <c r="E82" s="1133"/>
      <c r="F82" s="1131"/>
      <c r="G82" s="1131"/>
      <c r="H82" s="1131"/>
      <c r="I82" s="1131"/>
      <c r="J82" s="1131"/>
      <c r="K82" s="1131"/>
      <c r="L82" s="1131"/>
      <c r="M82" s="1131"/>
      <c r="N82" s="1131"/>
      <c r="O82" s="1131"/>
      <c r="P82" s="1131"/>
      <c r="Q82" s="1131"/>
      <c r="R82" s="1131"/>
      <c r="S82" s="1131"/>
      <c r="T82" s="1131"/>
      <c r="U82" s="1131"/>
      <c r="V82" s="1131"/>
      <c r="W82" s="1131"/>
    </row>
    <row r="83" spans="1:23" ht="20.100000000000001" customHeight="1">
      <c r="A83" s="1131"/>
      <c r="B83" s="1131"/>
      <c r="C83" s="1131"/>
      <c r="D83" s="1133"/>
      <c r="E83" s="1133"/>
      <c r="F83" s="1131"/>
      <c r="G83" s="1131"/>
      <c r="H83" s="1131"/>
      <c r="I83" s="1131"/>
      <c r="J83" s="1131"/>
      <c r="K83" s="1131"/>
      <c r="L83" s="1131"/>
      <c r="M83" s="1131"/>
      <c r="N83" s="1131"/>
      <c r="O83" s="1131"/>
      <c r="P83" s="1131"/>
      <c r="Q83" s="1131"/>
      <c r="R83" s="1131"/>
      <c r="S83" s="1131"/>
      <c r="T83" s="1131"/>
      <c r="U83" s="1131"/>
      <c r="V83" s="1131"/>
      <c r="W83" s="1131"/>
    </row>
    <row r="84" spans="1:23" ht="20.100000000000001" customHeight="1">
      <c r="A84" s="1131"/>
      <c r="B84" s="1131"/>
      <c r="C84" s="1131"/>
      <c r="D84" s="1133"/>
      <c r="E84" s="1133"/>
      <c r="F84" s="1131"/>
      <c r="G84" s="1131"/>
      <c r="H84" s="1131"/>
      <c r="I84" s="1131"/>
      <c r="J84" s="1131"/>
      <c r="K84" s="1131"/>
      <c r="L84" s="1131"/>
      <c r="M84" s="1131"/>
      <c r="N84" s="1131"/>
      <c r="O84" s="1131"/>
      <c r="P84" s="1131"/>
      <c r="Q84" s="1131"/>
      <c r="R84" s="1131"/>
      <c r="S84" s="1131"/>
      <c r="T84" s="1131"/>
      <c r="U84" s="1131"/>
      <c r="V84" s="1131"/>
      <c r="W84" s="1131"/>
    </row>
    <row r="85" spans="1:23" ht="20.100000000000001" customHeight="1">
      <c r="A85" s="1131"/>
      <c r="B85" s="1131"/>
      <c r="C85" s="1131"/>
      <c r="D85" s="1133"/>
      <c r="E85" s="1133"/>
      <c r="F85" s="1131"/>
      <c r="G85" s="1131"/>
      <c r="H85" s="1131"/>
      <c r="I85" s="1131"/>
      <c r="J85" s="1131"/>
      <c r="K85" s="1131"/>
      <c r="L85" s="1131"/>
      <c r="M85" s="1131"/>
      <c r="N85" s="1131"/>
      <c r="O85" s="1131"/>
      <c r="P85" s="1131"/>
      <c r="Q85" s="1131"/>
      <c r="R85" s="1131"/>
      <c r="S85" s="1131"/>
      <c r="T85" s="1131"/>
      <c r="U85" s="1131"/>
      <c r="V85" s="1131"/>
      <c r="W85" s="1131"/>
    </row>
    <row r="86" spans="1:23" ht="20.100000000000001" customHeight="1">
      <c r="A86" s="1131"/>
      <c r="B86" s="1131"/>
      <c r="C86" s="1131"/>
      <c r="D86" s="1133"/>
      <c r="E86" s="1133"/>
      <c r="F86" s="1131"/>
      <c r="G86" s="1131"/>
      <c r="H86" s="1131"/>
      <c r="I86" s="1131"/>
      <c r="J86" s="1131"/>
      <c r="K86" s="1131"/>
      <c r="L86" s="1131"/>
      <c r="M86" s="1131"/>
      <c r="N86" s="1131"/>
      <c r="O86" s="1131"/>
      <c r="P86" s="1131"/>
      <c r="Q86" s="1131"/>
      <c r="R86" s="1131"/>
      <c r="S86" s="1131"/>
      <c r="T86" s="1131"/>
      <c r="U86" s="1131"/>
      <c r="V86" s="1131"/>
      <c r="W86" s="1131"/>
    </row>
    <row r="87" spans="1:23" ht="20.100000000000001" customHeight="1">
      <c r="A87" s="1131"/>
      <c r="B87" s="1131"/>
      <c r="C87" s="1131"/>
      <c r="D87" s="1133"/>
      <c r="E87" s="1133"/>
      <c r="F87" s="1131"/>
      <c r="G87" s="1131"/>
      <c r="H87" s="1131"/>
      <c r="I87" s="1131"/>
      <c r="J87" s="1131"/>
      <c r="K87" s="1131"/>
      <c r="L87" s="1131"/>
      <c r="M87" s="1131"/>
      <c r="N87" s="1131"/>
      <c r="O87" s="1131"/>
      <c r="P87" s="1131"/>
      <c r="Q87" s="1131"/>
      <c r="R87" s="1131"/>
      <c r="S87" s="1131"/>
      <c r="T87" s="1131"/>
      <c r="U87" s="1131"/>
      <c r="V87" s="1131"/>
      <c r="W87" s="1131"/>
    </row>
    <row r="88" spans="1:23" ht="20.100000000000001" customHeight="1">
      <c r="A88" s="1131"/>
      <c r="B88" s="1131"/>
      <c r="C88" s="1131"/>
      <c r="D88" s="1133"/>
      <c r="E88" s="1133"/>
      <c r="F88" s="1131"/>
      <c r="G88" s="1131"/>
      <c r="H88" s="1131"/>
      <c r="I88" s="1131"/>
      <c r="J88" s="1131"/>
      <c r="K88" s="1131"/>
      <c r="L88" s="1131"/>
      <c r="M88" s="1131"/>
      <c r="N88" s="1131"/>
      <c r="O88" s="1131"/>
      <c r="P88" s="1131"/>
      <c r="Q88" s="1131"/>
      <c r="R88" s="1131"/>
      <c r="S88" s="1131"/>
      <c r="T88" s="1131"/>
      <c r="U88" s="1131"/>
      <c r="V88" s="1131"/>
      <c r="W88" s="1131"/>
    </row>
    <row r="89" spans="1:23" ht="20.100000000000001" customHeight="1">
      <c r="A89" s="1131"/>
      <c r="B89" s="1131"/>
      <c r="C89" s="1131"/>
      <c r="D89" s="1133"/>
      <c r="E89" s="1133"/>
      <c r="F89" s="1131"/>
      <c r="G89" s="1131"/>
      <c r="H89" s="1131"/>
      <c r="I89" s="1131"/>
      <c r="J89" s="1131"/>
      <c r="K89" s="1131"/>
      <c r="L89" s="1131"/>
      <c r="M89" s="1131"/>
      <c r="N89" s="1131"/>
      <c r="O89" s="1131"/>
      <c r="P89" s="1131"/>
      <c r="Q89" s="1131"/>
      <c r="R89" s="1131"/>
      <c r="S89" s="1131"/>
      <c r="T89" s="1131"/>
      <c r="U89" s="1131"/>
      <c r="V89" s="1131"/>
      <c r="W89" s="1131"/>
    </row>
    <row r="90" spans="1:23" ht="20.100000000000001" customHeight="1">
      <c r="A90" s="1131"/>
      <c r="B90" s="1131"/>
      <c r="D90" s="1133"/>
      <c r="E90" s="1133"/>
      <c r="F90" s="1131"/>
      <c r="G90" s="1131"/>
      <c r="H90" s="1131"/>
      <c r="I90" s="1131"/>
      <c r="J90" s="1131"/>
      <c r="K90" s="1131"/>
      <c r="L90" s="1131"/>
      <c r="M90" s="1131"/>
      <c r="N90" s="1131"/>
      <c r="O90" s="1131"/>
      <c r="P90" s="1131"/>
      <c r="Q90" s="1131"/>
      <c r="R90" s="1131"/>
      <c r="S90" s="1131"/>
      <c r="T90" s="1131"/>
      <c r="U90" s="1131"/>
      <c r="V90" s="1131"/>
      <c r="W90" s="1131"/>
    </row>
    <row r="91" spans="1:23" ht="20.100000000000001" customHeight="1">
      <c r="A91" s="1103"/>
      <c r="B91" s="1103"/>
    </row>
    <row r="92" spans="1:23" ht="20.100000000000001" customHeight="1">
      <c r="A92" s="1103"/>
      <c r="B92" s="1103"/>
    </row>
    <row r="93" spans="1:23" ht="20.100000000000001" customHeight="1">
      <c r="A93" s="1103"/>
      <c r="B93" s="1103"/>
    </row>
    <row r="94" spans="1:23" ht="20.100000000000001" customHeight="1">
      <c r="A94" s="1103"/>
      <c r="B94" s="1103"/>
    </row>
    <row r="95" spans="1:23" ht="20.100000000000001" customHeight="1">
      <c r="A95" s="1103"/>
      <c r="B95" s="1103"/>
    </row>
    <row r="96" spans="1:23" ht="20.100000000000001" customHeight="1">
      <c r="A96" s="1103"/>
      <c r="B96" s="1103"/>
    </row>
    <row r="97" spans="1:2" ht="20.100000000000001" customHeight="1">
      <c r="A97" s="1103"/>
      <c r="B97" s="1103"/>
    </row>
    <row r="98" spans="1:2" ht="20.100000000000001" customHeight="1">
      <c r="A98" s="1103"/>
      <c r="B98" s="1103"/>
    </row>
    <row r="99" spans="1:2" ht="20.100000000000001" customHeight="1">
      <c r="A99" s="1103"/>
      <c r="B99" s="1103"/>
    </row>
    <row r="100" spans="1:2" ht="20.100000000000001" customHeight="1">
      <c r="A100" s="1103"/>
      <c r="B100" s="1103"/>
    </row>
    <row r="101" spans="1:2" ht="20.100000000000001" customHeight="1">
      <c r="A101" s="1103"/>
      <c r="B101" s="1103"/>
    </row>
    <row r="102" spans="1:2" ht="20.100000000000001" customHeight="1">
      <c r="A102" s="1103"/>
      <c r="B102" s="1103"/>
    </row>
    <row r="103" spans="1:2" ht="20.100000000000001" customHeight="1">
      <c r="A103" s="1103"/>
      <c r="B103" s="1103"/>
    </row>
    <row r="104" spans="1:2" ht="20.100000000000001" customHeight="1">
      <c r="A104" s="1103"/>
      <c r="B104" s="1103"/>
    </row>
    <row r="105" spans="1:2" ht="20.100000000000001" customHeight="1">
      <c r="A105" s="1103"/>
      <c r="B105" s="1103"/>
    </row>
    <row r="106" spans="1:2" ht="20.100000000000001" customHeight="1">
      <c r="A106" s="1103"/>
      <c r="B106" s="1103"/>
    </row>
    <row r="107" spans="1:2" ht="20.100000000000001" customHeight="1">
      <c r="A107" s="1103"/>
      <c r="B107" s="1103"/>
    </row>
    <row r="108" spans="1:2" ht="20.100000000000001" customHeight="1">
      <c r="A108" s="1103"/>
      <c r="B108" s="1103"/>
    </row>
    <row r="109" spans="1:2" ht="20.100000000000001" customHeight="1">
      <c r="A109" s="1103"/>
      <c r="B109" s="1103"/>
    </row>
    <row r="110" spans="1:2" ht="20.100000000000001" customHeight="1">
      <c r="A110" s="1103"/>
      <c r="B110" s="1103"/>
    </row>
    <row r="111" spans="1:2" ht="20.100000000000001" customHeight="1">
      <c r="A111" s="1103"/>
      <c r="B111" s="1103"/>
    </row>
    <row r="112" spans="1:2" ht="20.100000000000001" customHeight="1">
      <c r="A112" s="1103"/>
      <c r="B112" s="1103"/>
    </row>
    <row r="113" spans="1:35" ht="20.100000000000001" customHeight="1">
      <c r="A113" s="1103"/>
      <c r="B113" s="1103"/>
      <c r="AB113" s="1104"/>
      <c r="AC113" s="1104"/>
    </row>
    <row r="114" spans="1:35" ht="20.100000000000001" customHeight="1">
      <c r="A114" s="1103"/>
      <c r="B114" s="1103"/>
      <c r="AB114" s="1104"/>
      <c r="AC114" s="1104"/>
    </row>
    <row r="115" spans="1:35" ht="20.100000000000001" customHeight="1">
      <c r="A115" s="1103"/>
      <c r="B115" s="1103"/>
      <c r="AB115" s="1104"/>
      <c r="AC115" s="1104"/>
    </row>
    <row r="116" spans="1:35" ht="20.100000000000001" customHeight="1">
      <c r="A116" s="1103"/>
      <c r="B116" s="1103"/>
    </row>
    <row r="117" spans="1:35" ht="20.100000000000001" customHeight="1">
      <c r="A117" s="1103"/>
      <c r="B117" s="1103"/>
    </row>
    <row r="118" spans="1:35" ht="20.100000000000001" customHeight="1">
      <c r="A118" s="1103"/>
      <c r="B118" s="1103"/>
    </row>
    <row r="119" spans="1:35" ht="20.100000000000001" customHeight="1">
      <c r="A119" s="1103"/>
      <c r="B119" s="1103"/>
    </row>
    <row r="120" spans="1:35" ht="20.100000000000001" customHeight="1">
      <c r="A120" s="1103"/>
      <c r="B120" s="1103"/>
    </row>
    <row r="121" spans="1:35" ht="20.100000000000001" customHeight="1">
      <c r="A121" s="1103"/>
      <c r="B121" s="1103"/>
    </row>
    <row r="122" spans="1:35" ht="20.100000000000001" customHeight="1">
      <c r="A122" s="1103"/>
      <c r="B122" s="1103"/>
    </row>
    <row r="123" spans="1:35" ht="20.100000000000001" customHeight="1">
      <c r="A123" s="1103"/>
      <c r="B123" s="1103"/>
    </row>
    <row r="124" spans="1:35" ht="20.100000000000001" customHeight="1">
      <c r="A124" s="1103"/>
      <c r="B124" s="1103"/>
    </row>
    <row r="125" spans="1:35" ht="20.100000000000001" customHeight="1">
      <c r="A125" s="1103"/>
      <c r="B125" s="1103"/>
      <c r="AB125" s="1104"/>
      <c r="AC125" s="1104"/>
      <c r="AG125" s="1104"/>
      <c r="AH125" s="1104"/>
      <c r="AI125" s="1104"/>
    </row>
    <row r="126" spans="1:35" ht="20.100000000000001" customHeight="1">
      <c r="A126" s="1103"/>
      <c r="B126" s="1103"/>
      <c r="AB126" s="1104"/>
      <c r="AC126" s="1104"/>
      <c r="AG126" s="1104"/>
      <c r="AH126" s="1104"/>
      <c r="AI126" s="1104"/>
    </row>
    <row r="127" spans="1:35" ht="20.100000000000001" customHeight="1">
      <c r="A127" s="1103"/>
      <c r="B127" s="1103"/>
    </row>
    <row r="128" spans="1:35" ht="20.100000000000001" customHeight="1">
      <c r="A128" s="1103"/>
      <c r="B128" s="1103"/>
    </row>
    <row r="129" spans="1:2" ht="20.100000000000001" customHeight="1">
      <c r="A129" s="1103"/>
      <c r="B129" s="1103"/>
    </row>
    <row r="130" spans="1:2" ht="20.100000000000001" customHeight="1">
      <c r="A130" s="1103"/>
      <c r="B130" s="1103"/>
    </row>
    <row r="131" spans="1:2" ht="20.100000000000001" customHeight="1">
      <c r="A131" s="1103"/>
      <c r="B131" s="1103"/>
    </row>
    <row r="132" spans="1:2" ht="20.100000000000001" customHeight="1">
      <c r="A132" s="1103"/>
      <c r="B132" s="1103"/>
    </row>
    <row r="133" spans="1:2" ht="20.100000000000001" customHeight="1">
      <c r="A133" s="1103"/>
      <c r="B133" s="1103"/>
    </row>
    <row r="134" spans="1:2" ht="20.100000000000001" customHeight="1">
      <c r="A134" s="1103"/>
      <c r="B134" s="1103"/>
    </row>
    <row r="135" spans="1:2" ht="20.100000000000001" customHeight="1">
      <c r="A135" s="1103"/>
      <c r="B135" s="1103"/>
    </row>
    <row r="136" spans="1:2" ht="20.100000000000001" customHeight="1">
      <c r="A136" s="1103"/>
      <c r="B136" s="1103"/>
    </row>
    <row r="137" spans="1:2" ht="20.100000000000001" customHeight="1">
      <c r="A137" s="1103"/>
      <c r="B137" s="1103"/>
    </row>
    <row r="138" spans="1:2" ht="20.100000000000001" customHeight="1">
      <c r="A138" s="1103"/>
      <c r="B138" s="1103"/>
    </row>
    <row r="139" spans="1:2" ht="20.100000000000001" customHeight="1">
      <c r="A139" s="1103"/>
      <c r="B139" s="1103"/>
    </row>
    <row r="140" spans="1:2" ht="20.100000000000001" customHeight="1">
      <c r="A140" s="1103"/>
      <c r="B140" s="1103"/>
    </row>
    <row r="141" spans="1:2" ht="20.100000000000001" customHeight="1">
      <c r="A141" s="1103"/>
      <c r="B141" s="1103"/>
    </row>
    <row r="142" spans="1:2" ht="20.100000000000001" customHeight="1">
      <c r="A142" s="1103"/>
      <c r="B142" s="1103"/>
    </row>
    <row r="143" spans="1:2" ht="20.100000000000001" customHeight="1">
      <c r="A143" s="1103"/>
      <c r="B143" s="1103"/>
    </row>
    <row r="144" spans="1:2" ht="20.100000000000001" customHeight="1">
      <c r="A144" s="1103"/>
      <c r="B144" s="1103"/>
    </row>
    <row r="145" spans="1:2" ht="20.100000000000001" customHeight="1">
      <c r="A145" s="1103"/>
      <c r="B145" s="1103"/>
    </row>
    <row r="146" spans="1:2" ht="20.100000000000001" customHeight="1">
      <c r="A146" s="1103"/>
      <c r="B146" s="1103"/>
    </row>
    <row r="147" spans="1:2" ht="20.100000000000001" customHeight="1">
      <c r="A147" s="1103"/>
      <c r="B147" s="1103"/>
    </row>
    <row r="148" spans="1:2" ht="20.100000000000001" customHeight="1">
      <c r="A148" s="1103"/>
      <c r="B148" s="1103"/>
    </row>
    <row r="149" spans="1:2" ht="20.100000000000001" customHeight="1">
      <c r="A149" s="1103"/>
      <c r="B149" s="1103"/>
    </row>
    <row r="150" spans="1:2" ht="20.100000000000001" customHeight="1">
      <c r="A150" s="1103"/>
      <c r="B150" s="1103"/>
    </row>
    <row r="151" spans="1:2" ht="20.100000000000001" customHeight="1">
      <c r="A151" s="1103"/>
      <c r="B151" s="1103"/>
    </row>
    <row r="152" spans="1:2" ht="20.100000000000001" customHeight="1">
      <c r="A152" s="1103"/>
      <c r="B152" s="1103"/>
    </row>
    <row r="153" spans="1:2" ht="20.100000000000001" customHeight="1">
      <c r="A153" s="1103"/>
      <c r="B153" s="1103"/>
    </row>
    <row r="154" spans="1:2" ht="20.100000000000001" customHeight="1">
      <c r="A154" s="1103"/>
      <c r="B154" s="1103"/>
    </row>
    <row r="155" spans="1:2" ht="20.100000000000001" customHeight="1">
      <c r="A155" s="1103"/>
      <c r="B155" s="1103"/>
    </row>
    <row r="156" spans="1:2" ht="20.100000000000001" customHeight="1">
      <c r="A156" s="1103"/>
      <c r="B156" s="1103"/>
    </row>
    <row r="157" spans="1:2" ht="20.100000000000001" customHeight="1">
      <c r="A157" s="1103"/>
      <c r="B157" s="1103"/>
    </row>
    <row r="158" spans="1:2" ht="20.100000000000001" customHeight="1">
      <c r="A158" s="1103"/>
      <c r="B158" s="1103"/>
    </row>
    <row r="159" spans="1:2" ht="20.100000000000001" customHeight="1">
      <c r="A159" s="1103"/>
      <c r="B159" s="1103"/>
    </row>
    <row r="160" spans="1:2" ht="20.100000000000001" customHeight="1">
      <c r="A160" s="1103"/>
      <c r="B160" s="1103"/>
    </row>
  </sheetData>
  <autoFilter ref="A5:WWJ74" xr:uid="{00000000-0009-0000-0000-000009000000}"/>
  <mergeCells count="17">
    <mergeCell ref="U2:U5"/>
    <mergeCell ref="C75:D75"/>
    <mergeCell ref="V2:V5"/>
    <mergeCell ref="W2:W5"/>
    <mergeCell ref="A74:B74"/>
    <mergeCell ref="A1:W1"/>
    <mergeCell ref="A2:A5"/>
    <mergeCell ref="B2:B5"/>
    <mergeCell ref="C2:C5"/>
    <mergeCell ref="D2:D5"/>
    <mergeCell ref="E2:E5"/>
    <mergeCell ref="F2:H2"/>
    <mergeCell ref="R2:R3"/>
    <mergeCell ref="I2:L2"/>
    <mergeCell ref="M2:Q2"/>
    <mergeCell ref="S2:S5"/>
    <mergeCell ref="T2:T5"/>
  </mergeCells>
  <phoneticPr fontId="13" type="noConversion"/>
  <conditionalFormatting sqref="U76">
    <cfRule type="cellIs" dxfId="16" priority="8" operator="greaterThan">
      <formula>0.095</formula>
    </cfRule>
  </conditionalFormatting>
  <conditionalFormatting sqref="R1:R5 R74:R1048576">
    <cfRule type="cellIs" dxfId="15" priority="7" operator="greaterThan">
      <formula>0.1</formula>
    </cfRule>
  </conditionalFormatting>
  <conditionalFormatting sqref="R6:R73">
    <cfRule type="cellIs" dxfId="14" priority="4" operator="greaterThan">
      <formula>0.1</formula>
    </cfRule>
  </conditionalFormatting>
  <printOptions horizontalCentered="1" gridLines="1"/>
  <pageMargins left="0.43307086614173229" right="0.31496062992125984" top="0.98425196850393704" bottom="0.78740157480314965" header="0.51181102362204722" footer="0.51181102362204722"/>
  <pageSetup paperSize="9" scale="64" orientation="landscape" blackAndWhite="1" r:id="rId1"/>
  <headerFooter alignWithMargins="0">
    <oddHeader>&amp;C&amp;"돋움,굵게"&amp;14오수원형2호맨홀 수량산출근거-보도측(&amp;P/&amp;N)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rgb="FFFFC000"/>
  </sheetPr>
  <dimension ref="A1:W70"/>
  <sheetViews>
    <sheetView workbookViewId="0">
      <selection activeCell="L74" sqref="L74"/>
    </sheetView>
  </sheetViews>
  <sheetFormatPr defaultRowHeight="14.25"/>
  <cols>
    <col min="1" max="1" width="13" style="1061" customWidth="1"/>
    <col min="2" max="2" width="11.109375" style="1061" customWidth="1"/>
    <col min="3" max="3" width="6.77734375" style="1061" customWidth="1"/>
    <col min="4" max="4" width="4.21875" style="1061" customWidth="1"/>
    <col min="5" max="5" width="6" style="1061" customWidth="1"/>
    <col min="6" max="6" width="3.88671875" style="1061" customWidth="1"/>
    <col min="7" max="7" width="4.6640625" style="1061" customWidth="1"/>
    <col min="8" max="8" width="6.77734375" style="1061" customWidth="1"/>
    <col min="9" max="9" width="5.21875" style="1061" customWidth="1"/>
    <col min="10" max="10" width="3.88671875" style="1061" customWidth="1"/>
    <col min="11" max="11" width="4.88671875" style="1061" customWidth="1"/>
    <col min="12" max="12" width="2.77734375" style="1061" customWidth="1"/>
    <col min="13" max="15" width="7.5546875" style="1061" customWidth="1"/>
    <col min="16" max="256" width="8.88671875" style="1061"/>
    <col min="257" max="257" width="13" style="1061" customWidth="1"/>
    <col min="258" max="258" width="11.109375" style="1061" customWidth="1"/>
    <col min="259" max="259" width="6.77734375" style="1061" customWidth="1"/>
    <col min="260" max="260" width="4.21875" style="1061" customWidth="1"/>
    <col min="261" max="261" width="6" style="1061" customWidth="1"/>
    <col min="262" max="262" width="3.88671875" style="1061" customWidth="1"/>
    <col min="263" max="263" width="4.6640625" style="1061" customWidth="1"/>
    <col min="264" max="264" width="6.77734375" style="1061" customWidth="1"/>
    <col min="265" max="265" width="5.21875" style="1061" customWidth="1"/>
    <col min="266" max="266" width="3.88671875" style="1061" customWidth="1"/>
    <col min="267" max="267" width="4.88671875" style="1061" customWidth="1"/>
    <col min="268" max="268" width="2.77734375" style="1061" customWidth="1"/>
    <col min="269" max="269" width="8.44140625" style="1061" customWidth="1"/>
    <col min="270" max="270" width="7.21875" style="1061" customWidth="1"/>
    <col min="271" max="271" width="5" style="1061" customWidth="1"/>
    <col min="272" max="512" width="8.88671875" style="1061"/>
    <col min="513" max="513" width="13" style="1061" customWidth="1"/>
    <col min="514" max="514" width="11.109375" style="1061" customWidth="1"/>
    <col min="515" max="515" width="6.77734375" style="1061" customWidth="1"/>
    <col min="516" max="516" width="4.21875" style="1061" customWidth="1"/>
    <col min="517" max="517" width="6" style="1061" customWidth="1"/>
    <col min="518" max="518" width="3.88671875" style="1061" customWidth="1"/>
    <col min="519" max="519" width="4.6640625" style="1061" customWidth="1"/>
    <col min="520" max="520" width="6.77734375" style="1061" customWidth="1"/>
    <col min="521" max="521" width="5.21875" style="1061" customWidth="1"/>
    <col min="522" max="522" width="3.88671875" style="1061" customWidth="1"/>
    <col min="523" max="523" width="4.88671875" style="1061" customWidth="1"/>
    <col min="524" max="524" width="2.77734375" style="1061" customWidth="1"/>
    <col min="525" max="525" width="8.44140625" style="1061" customWidth="1"/>
    <col min="526" max="526" width="7.21875" style="1061" customWidth="1"/>
    <col min="527" max="527" width="5" style="1061" customWidth="1"/>
    <col min="528" max="768" width="8.88671875" style="1061"/>
    <col min="769" max="769" width="13" style="1061" customWidth="1"/>
    <col min="770" max="770" width="11.109375" style="1061" customWidth="1"/>
    <col min="771" max="771" width="6.77734375" style="1061" customWidth="1"/>
    <col min="772" max="772" width="4.21875" style="1061" customWidth="1"/>
    <col min="773" max="773" width="6" style="1061" customWidth="1"/>
    <col min="774" max="774" width="3.88671875" style="1061" customWidth="1"/>
    <col min="775" max="775" width="4.6640625" style="1061" customWidth="1"/>
    <col min="776" max="776" width="6.77734375" style="1061" customWidth="1"/>
    <col min="777" max="777" width="5.21875" style="1061" customWidth="1"/>
    <col min="778" max="778" width="3.88671875" style="1061" customWidth="1"/>
    <col min="779" max="779" width="4.88671875" style="1061" customWidth="1"/>
    <col min="780" max="780" width="2.77734375" style="1061" customWidth="1"/>
    <col min="781" max="781" width="8.44140625" style="1061" customWidth="1"/>
    <col min="782" max="782" width="7.21875" style="1061" customWidth="1"/>
    <col min="783" max="783" width="5" style="1061" customWidth="1"/>
    <col min="784" max="1024" width="8.88671875" style="1061"/>
    <col min="1025" max="1025" width="13" style="1061" customWidth="1"/>
    <col min="1026" max="1026" width="11.109375" style="1061" customWidth="1"/>
    <col min="1027" max="1027" width="6.77734375" style="1061" customWidth="1"/>
    <col min="1028" max="1028" width="4.21875" style="1061" customWidth="1"/>
    <col min="1029" max="1029" width="6" style="1061" customWidth="1"/>
    <col min="1030" max="1030" width="3.88671875" style="1061" customWidth="1"/>
    <col min="1031" max="1031" width="4.6640625" style="1061" customWidth="1"/>
    <col min="1032" max="1032" width="6.77734375" style="1061" customWidth="1"/>
    <col min="1033" max="1033" width="5.21875" style="1061" customWidth="1"/>
    <col min="1034" max="1034" width="3.88671875" style="1061" customWidth="1"/>
    <col min="1035" max="1035" width="4.88671875" style="1061" customWidth="1"/>
    <col min="1036" max="1036" width="2.77734375" style="1061" customWidth="1"/>
    <col min="1037" max="1037" width="8.44140625" style="1061" customWidth="1"/>
    <col min="1038" max="1038" width="7.21875" style="1061" customWidth="1"/>
    <col min="1039" max="1039" width="5" style="1061" customWidth="1"/>
    <col min="1040" max="1280" width="8.88671875" style="1061"/>
    <col min="1281" max="1281" width="13" style="1061" customWidth="1"/>
    <col min="1282" max="1282" width="11.109375" style="1061" customWidth="1"/>
    <col min="1283" max="1283" width="6.77734375" style="1061" customWidth="1"/>
    <col min="1284" max="1284" width="4.21875" style="1061" customWidth="1"/>
    <col min="1285" max="1285" width="6" style="1061" customWidth="1"/>
    <col min="1286" max="1286" width="3.88671875" style="1061" customWidth="1"/>
    <col min="1287" max="1287" width="4.6640625" style="1061" customWidth="1"/>
    <col min="1288" max="1288" width="6.77734375" style="1061" customWidth="1"/>
    <col min="1289" max="1289" width="5.21875" style="1061" customWidth="1"/>
    <col min="1290" max="1290" width="3.88671875" style="1061" customWidth="1"/>
    <col min="1291" max="1291" width="4.88671875" style="1061" customWidth="1"/>
    <col min="1292" max="1292" width="2.77734375" style="1061" customWidth="1"/>
    <col min="1293" max="1293" width="8.44140625" style="1061" customWidth="1"/>
    <col min="1294" max="1294" width="7.21875" style="1061" customWidth="1"/>
    <col min="1295" max="1295" width="5" style="1061" customWidth="1"/>
    <col min="1296" max="1536" width="8.88671875" style="1061"/>
    <col min="1537" max="1537" width="13" style="1061" customWidth="1"/>
    <col min="1538" max="1538" width="11.109375" style="1061" customWidth="1"/>
    <col min="1539" max="1539" width="6.77734375" style="1061" customWidth="1"/>
    <col min="1540" max="1540" width="4.21875" style="1061" customWidth="1"/>
    <col min="1541" max="1541" width="6" style="1061" customWidth="1"/>
    <col min="1542" max="1542" width="3.88671875" style="1061" customWidth="1"/>
    <col min="1543" max="1543" width="4.6640625" style="1061" customWidth="1"/>
    <col min="1544" max="1544" width="6.77734375" style="1061" customWidth="1"/>
    <col min="1545" max="1545" width="5.21875" style="1061" customWidth="1"/>
    <col min="1546" max="1546" width="3.88671875" style="1061" customWidth="1"/>
    <col min="1547" max="1547" width="4.88671875" style="1061" customWidth="1"/>
    <col min="1548" max="1548" width="2.77734375" style="1061" customWidth="1"/>
    <col min="1549" max="1549" width="8.44140625" style="1061" customWidth="1"/>
    <col min="1550" max="1550" width="7.21875" style="1061" customWidth="1"/>
    <col min="1551" max="1551" width="5" style="1061" customWidth="1"/>
    <col min="1552" max="1792" width="8.88671875" style="1061"/>
    <col min="1793" max="1793" width="13" style="1061" customWidth="1"/>
    <col min="1794" max="1794" width="11.109375" style="1061" customWidth="1"/>
    <col min="1795" max="1795" width="6.77734375" style="1061" customWidth="1"/>
    <col min="1796" max="1796" width="4.21875" style="1061" customWidth="1"/>
    <col min="1797" max="1797" width="6" style="1061" customWidth="1"/>
    <col min="1798" max="1798" width="3.88671875" style="1061" customWidth="1"/>
    <col min="1799" max="1799" width="4.6640625" style="1061" customWidth="1"/>
    <col min="1800" max="1800" width="6.77734375" style="1061" customWidth="1"/>
    <col min="1801" max="1801" width="5.21875" style="1061" customWidth="1"/>
    <col min="1802" max="1802" width="3.88671875" style="1061" customWidth="1"/>
    <col min="1803" max="1803" width="4.88671875" style="1061" customWidth="1"/>
    <col min="1804" max="1804" width="2.77734375" style="1061" customWidth="1"/>
    <col min="1805" max="1805" width="8.44140625" style="1061" customWidth="1"/>
    <col min="1806" max="1806" width="7.21875" style="1061" customWidth="1"/>
    <col min="1807" max="1807" width="5" style="1061" customWidth="1"/>
    <col min="1808" max="2048" width="8.88671875" style="1061"/>
    <col min="2049" max="2049" width="13" style="1061" customWidth="1"/>
    <col min="2050" max="2050" width="11.109375" style="1061" customWidth="1"/>
    <col min="2051" max="2051" width="6.77734375" style="1061" customWidth="1"/>
    <col min="2052" max="2052" width="4.21875" style="1061" customWidth="1"/>
    <col min="2053" max="2053" width="6" style="1061" customWidth="1"/>
    <col min="2054" max="2054" width="3.88671875" style="1061" customWidth="1"/>
    <col min="2055" max="2055" width="4.6640625" style="1061" customWidth="1"/>
    <col min="2056" max="2056" width="6.77734375" style="1061" customWidth="1"/>
    <col min="2057" max="2057" width="5.21875" style="1061" customWidth="1"/>
    <col min="2058" max="2058" width="3.88671875" style="1061" customWidth="1"/>
    <col min="2059" max="2059" width="4.88671875" style="1061" customWidth="1"/>
    <col min="2060" max="2060" width="2.77734375" style="1061" customWidth="1"/>
    <col min="2061" max="2061" width="8.44140625" style="1061" customWidth="1"/>
    <col min="2062" max="2062" width="7.21875" style="1061" customWidth="1"/>
    <col min="2063" max="2063" width="5" style="1061" customWidth="1"/>
    <col min="2064" max="2304" width="8.88671875" style="1061"/>
    <col min="2305" max="2305" width="13" style="1061" customWidth="1"/>
    <col min="2306" max="2306" width="11.109375" style="1061" customWidth="1"/>
    <col min="2307" max="2307" width="6.77734375" style="1061" customWidth="1"/>
    <col min="2308" max="2308" width="4.21875" style="1061" customWidth="1"/>
    <col min="2309" max="2309" width="6" style="1061" customWidth="1"/>
    <col min="2310" max="2310" width="3.88671875" style="1061" customWidth="1"/>
    <col min="2311" max="2311" width="4.6640625" style="1061" customWidth="1"/>
    <col min="2312" max="2312" width="6.77734375" style="1061" customWidth="1"/>
    <col min="2313" max="2313" width="5.21875" style="1061" customWidth="1"/>
    <col min="2314" max="2314" width="3.88671875" style="1061" customWidth="1"/>
    <col min="2315" max="2315" width="4.88671875" style="1061" customWidth="1"/>
    <col min="2316" max="2316" width="2.77734375" style="1061" customWidth="1"/>
    <col min="2317" max="2317" width="8.44140625" style="1061" customWidth="1"/>
    <col min="2318" max="2318" width="7.21875" style="1061" customWidth="1"/>
    <col min="2319" max="2319" width="5" style="1061" customWidth="1"/>
    <col min="2320" max="2560" width="8.88671875" style="1061"/>
    <col min="2561" max="2561" width="13" style="1061" customWidth="1"/>
    <col min="2562" max="2562" width="11.109375" style="1061" customWidth="1"/>
    <col min="2563" max="2563" width="6.77734375" style="1061" customWidth="1"/>
    <col min="2564" max="2564" width="4.21875" style="1061" customWidth="1"/>
    <col min="2565" max="2565" width="6" style="1061" customWidth="1"/>
    <col min="2566" max="2566" width="3.88671875" style="1061" customWidth="1"/>
    <col min="2567" max="2567" width="4.6640625" style="1061" customWidth="1"/>
    <col min="2568" max="2568" width="6.77734375" style="1061" customWidth="1"/>
    <col min="2569" max="2569" width="5.21875" style="1061" customWidth="1"/>
    <col min="2570" max="2570" width="3.88671875" style="1061" customWidth="1"/>
    <col min="2571" max="2571" width="4.88671875" style="1061" customWidth="1"/>
    <col min="2572" max="2572" width="2.77734375" style="1061" customWidth="1"/>
    <col min="2573" max="2573" width="8.44140625" style="1061" customWidth="1"/>
    <col min="2574" max="2574" width="7.21875" style="1061" customWidth="1"/>
    <col min="2575" max="2575" width="5" style="1061" customWidth="1"/>
    <col min="2576" max="2816" width="8.88671875" style="1061"/>
    <col min="2817" max="2817" width="13" style="1061" customWidth="1"/>
    <col min="2818" max="2818" width="11.109375" style="1061" customWidth="1"/>
    <col min="2819" max="2819" width="6.77734375" style="1061" customWidth="1"/>
    <col min="2820" max="2820" width="4.21875" style="1061" customWidth="1"/>
    <col min="2821" max="2821" width="6" style="1061" customWidth="1"/>
    <col min="2822" max="2822" width="3.88671875" style="1061" customWidth="1"/>
    <col min="2823" max="2823" width="4.6640625" style="1061" customWidth="1"/>
    <col min="2824" max="2824" width="6.77734375" style="1061" customWidth="1"/>
    <col min="2825" max="2825" width="5.21875" style="1061" customWidth="1"/>
    <col min="2826" max="2826" width="3.88671875" style="1061" customWidth="1"/>
    <col min="2827" max="2827" width="4.88671875" style="1061" customWidth="1"/>
    <col min="2828" max="2828" width="2.77734375" style="1061" customWidth="1"/>
    <col min="2829" max="2829" width="8.44140625" style="1061" customWidth="1"/>
    <col min="2830" max="2830" width="7.21875" style="1061" customWidth="1"/>
    <col min="2831" max="2831" width="5" style="1061" customWidth="1"/>
    <col min="2832" max="3072" width="8.88671875" style="1061"/>
    <col min="3073" max="3073" width="13" style="1061" customWidth="1"/>
    <col min="3074" max="3074" width="11.109375" style="1061" customWidth="1"/>
    <col min="3075" max="3075" width="6.77734375" style="1061" customWidth="1"/>
    <col min="3076" max="3076" width="4.21875" style="1061" customWidth="1"/>
    <col min="3077" max="3077" width="6" style="1061" customWidth="1"/>
    <col min="3078" max="3078" width="3.88671875" style="1061" customWidth="1"/>
    <col min="3079" max="3079" width="4.6640625" style="1061" customWidth="1"/>
    <col min="3080" max="3080" width="6.77734375" style="1061" customWidth="1"/>
    <col min="3081" max="3081" width="5.21875" style="1061" customWidth="1"/>
    <col min="3082" max="3082" width="3.88671875" style="1061" customWidth="1"/>
    <col min="3083" max="3083" width="4.88671875" style="1061" customWidth="1"/>
    <col min="3084" max="3084" width="2.77734375" style="1061" customWidth="1"/>
    <col min="3085" max="3085" width="8.44140625" style="1061" customWidth="1"/>
    <col min="3086" max="3086" width="7.21875" style="1061" customWidth="1"/>
    <col min="3087" max="3087" width="5" style="1061" customWidth="1"/>
    <col min="3088" max="3328" width="8.88671875" style="1061"/>
    <col min="3329" max="3329" width="13" style="1061" customWidth="1"/>
    <col min="3330" max="3330" width="11.109375" style="1061" customWidth="1"/>
    <col min="3331" max="3331" width="6.77734375" style="1061" customWidth="1"/>
    <col min="3332" max="3332" width="4.21875" style="1061" customWidth="1"/>
    <col min="3333" max="3333" width="6" style="1061" customWidth="1"/>
    <col min="3334" max="3334" width="3.88671875" style="1061" customWidth="1"/>
    <col min="3335" max="3335" width="4.6640625" style="1061" customWidth="1"/>
    <col min="3336" max="3336" width="6.77734375" style="1061" customWidth="1"/>
    <col min="3337" max="3337" width="5.21875" style="1061" customWidth="1"/>
    <col min="3338" max="3338" width="3.88671875" style="1061" customWidth="1"/>
    <col min="3339" max="3339" width="4.88671875" style="1061" customWidth="1"/>
    <col min="3340" max="3340" width="2.77734375" style="1061" customWidth="1"/>
    <col min="3341" max="3341" width="8.44140625" style="1061" customWidth="1"/>
    <col min="3342" max="3342" width="7.21875" style="1061" customWidth="1"/>
    <col min="3343" max="3343" width="5" style="1061" customWidth="1"/>
    <col min="3344" max="3584" width="8.88671875" style="1061"/>
    <col min="3585" max="3585" width="13" style="1061" customWidth="1"/>
    <col min="3586" max="3586" width="11.109375" style="1061" customWidth="1"/>
    <col min="3587" max="3587" width="6.77734375" style="1061" customWidth="1"/>
    <col min="3588" max="3588" width="4.21875" style="1061" customWidth="1"/>
    <col min="3589" max="3589" width="6" style="1061" customWidth="1"/>
    <col min="3590" max="3590" width="3.88671875" style="1061" customWidth="1"/>
    <col min="3591" max="3591" width="4.6640625" style="1061" customWidth="1"/>
    <col min="3592" max="3592" width="6.77734375" style="1061" customWidth="1"/>
    <col min="3593" max="3593" width="5.21875" style="1061" customWidth="1"/>
    <col min="3594" max="3594" width="3.88671875" style="1061" customWidth="1"/>
    <col min="3595" max="3595" width="4.88671875" style="1061" customWidth="1"/>
    <col min="3596" max="3596" width="2.77734375" style="1061" customWidth="1"/>
    <col min="3597" max="3597" width="8.44140625" style="1061" customWidth="1"/>
    <col min="3598" max="3598" width="7.21875" style="1061" customWidth="1"/>
    <col min="3599" max="3599" width="5" style="1061" customWidth="1"/>
    <col min="3600" max="3840" width="8.88671875" style="1061"/>
    <col min="3841" max="3841" width="13" style="1061" customWidth="1"/>
    <col min="3842" max="3842" width="11.109375" style="1061" customWidth="1"/>
    <col min="3843" max="3843" width="6.77734375" style="1061" customWidth="1"/>
    <col min="3844" max="3844" width="4.21875" style="1061" customWidth="1"/>
    <col min="3845" max="3845" width="6" style="1061" customWidth="1"/>
    <col min="3846" max="3846" width="3.88671875" style="1061" customWidth="1"/>
    <col min="3847" max="3847" width="4.6640625" style="1061" customWidth="1"/>
    <col min="3848" max="3848" width="6.77734375" style="1061" customWidth="1"/>
    <col min="3849" max="3849" width="5.21875" style="1061" customWidth="1"/>
    <col min="3850" max="3850" width="3.88671875" style="1061" customWidth="1"/>
    <col min="3851" max="3851" width="4.88671875" style="1061" customWidth="1"/>
    <col min="3852" max="3852" width="2.77734375" style="1061" customWidth="1"/>
    <col min="3853" max="3853" width="8.44140625" style="1061" customWidth="1"/>
    <col min="3854" max="3854" width="7.21875" style="1061" customWidth="1"/>
    <col min="3855" max="3855" width="5" style="1061" customWidth="1"/>
    <col min="3856" max="4096" width="8.88671875" style="1061"/>
    <col min="4097" max="4097" width="13" style="1061" customWidth="1"/>
    <col min="4098" max="4098" width="11.109375" style="1061" customWidth="1"/>
    <col min="4099" max="4099" width="6.77734375" style="1061" customWidth="1"/>
    <col min="4100" max="4100" width="4.21875" style="1061" customWidth="1"/>
    <col min="4101" max="4101" width="6" style="1061" customWidth="1"/>
    <col min="4102" max="4102" width="3.88671875" style="1061" customWidth="1"/>
    <col min="4103" max="4103" width="4.6640625" style="1061" customWidth="1"/>
    <col min="4104" max="4104" width="6.77734375" style="1061" customWidth="1"/>
    <col min="4105" max="4105" width="5.21875" style="1061" customWidth="1"/>
    <col min="4106" max="4106" width="3.88671875" style="1061" customWidth="1"/>
    <col min="4107" max="4107" width="4.88671875" style="1061" customWidth="1"/>
    <col min="4108" max="4108" width="2.77734375" style="1061" customWidth="1"/>
    <col min="4109" max="4109" width="8.44140625" style="1061" customWidth="1"/>
    <col min="4110" max="4110" width="7.21875" style="1061" customWidth="1"/>
    <col min="4111" max="4111" width="5" style="1061" customWidth="1"/>
    <col min="4112" max="4352" width="8.88671875" style="1061"/>
    <col min="4353" max="4353" width="13" style="1061" customWidth="1"/>
    <col min="4354" max="4354" width="11.109375" style="1061" customWidth="1"/>
    <col min="4355" max="4355" width="6.77734375" style="1061" customWidth="1"/>
    <col min="4356" max="4356" width="4.21875" style="1061" customWidth="1"/>
    <col min="4357" max="4357" width="6" style="1061" customWidth="1"/>
    <col min="4358" max="4358" width="3.88671875" style="1061" customWidth="1"/>
    <col min="4359" max="4359" width="4.6640625" style="1061" customWidth="1"/>
    <col min="4360" max="4360" width="6.77734375" style="1061" customWidth="1"/>
    <col min="4361" max="4361" width="5.21875" style="1061" customWidth="1"/>
    <col min="4362" max="4362" width="3.88671875" style="1061" customWidth="1"/>
    <col min="4363" max="4363" width="4.88671875" style="1061" customWidth="1"/>
    <col min="4364" max="4364" width="2.77734375" style="1061" customWidth="1"/>
    <col min="4365" max="4365" width="8.44140625" style="1061" customWidth="1"/>
    <col min="4366" max="4366" width="7.21875" style="1061" customWidth="1"/>
    <col min="4367" max="4367" width="5" style="1061" customWidth="1"/>
    <col min="4368" max="4608" width="8.88671875" style="1061"/>
    <col min="4609" max="4609" width="13" style="1061" customWidth="1"/>
    <col min="4610" max="4610" width="11.109375" style="1061" customWidth="1"/>
    <col min="4611" max="4611" width="6.77734375" style="1061" customWidth="1"/>
    <col min="4612" max="4612" width="4.21875" style="1061" customWidth="1"/>
    <col min="4613" max="4613" width="6" style="1061" customWidth="1"/>
    <col min="4614" max="4614" width="3.88671875" style="1061" customWidth="1"/>
    <col min="4615" max="4615" width="4.6640625" style="1061" customWidth="1"/>
    <col min="4616" max="4616" width="6.77734375" style="1061" customWidth="1"/>
    <col min="4617" max="4617" width="5.21875" style="1061" customWidth="1"/>
    <col min="4618" max="4618" width="3.88671875" style="1061" customWidth="1"/>
    <col min="4619" max="4619" width="4.88671875" style="1061" customWidth="1"/>
    <col min="4620" max="4620" width="2.77734375" style="1061" customWidth="1"/>
    <col min="4621" max="4621" width="8.44140625" style="1061" customWidth="1"/>
    <col min="4622" max="4622" width="7.21875" style="1061" customWidth="1"/>
    <col min="4623" max="4623" width="5" style="1061" customWidth="1"/>
    <col min="4624" max="4864" width="8.88671875" style="1061"/>
    <col min="4865" max="4865" width="13" style="1061" customWidth="1"/>
    <col min="4866" max="4866" width="11.109375" style="1061" customWidth="1"/>
    <col min="4867" max="4867" width="6.77734375" style="1061" customWidth="1"/>
    <col min="4868" max="4868" width="4.21875" style="1061" customWidth="1"/>
    <col min="4869" max="4869" width="6" style="1061" customWidth="1"/>
    <col min="4870" max="4870" width="3.88671875" style="1061" customWidth="1"/>
    <col min="4871" max="4871" width="4.6640625" style="1061" customWidth="1"/>
    <col min="4872" max="4872" width="6.77734375" style="1061" customWidth="1"/>
    <col min="4873" max="4873" width="5.21875" style="1061" customWidth="1"/>
    <col min="4874" max="4874" width="3.88671875" style="1061" customWidth="1"/>
    <col min="4875" max="4875" width="4.88671875" style="1061" customWidth="1"/>
    <col min="4876" max="4876" width="2.77734375" style="1061" customWidth="1"/>
    <col min="4877" max="4877" width="8.44140625" style="1061" customWidth="1"/>
    <col min="4878" max="4878" width="7.21875" style="1061" customWidth="1"/>
    <col min="4879" max="4879" width="5" style="1061" customWidth="1"/>
    <col min="4880" max="5120" width="8.88671875" style="1061"/>
    <col min="5121" max="5121" width="13" style="1061" customWidth="1"/>
    <col min="5122" max="5122" width="11.109375" style="1061" customWidth="1"/>
    <col min="5123" max="5123" width="6.77734375" style="1061" customWidth="1"/>
    <col min="5124" max="5124" width="4.21875" style="1061" customWidth="1"/>
    <col min="5125" max="5125" width="6" style="1061" customWidth="1"/>
    <col min="5126" max="5126" width="3.88671875" style="1061" customWidth="1"/>
    <col min="5127" max="5127" width="4.6640625" style="1061" customWidth="1"/>
    <col min="5128" max="5128" width="6.77734375" style="1061" customWidth="1"/>
    <col min="5129" max="5129" width="5.21875" style="1061" customWidth="1"/>
    <col min="5130" max="5130" width="3.88671875" style="1061" customWidth="1"/>
    <col min="5131" max="5131" width="4.88671875" style="1061" customWidth="1"/>
    <col min="5132" max="5132" width="2.77734375" style="1061" customWidth="1"/>
    <col min="5133" max="5133" width="8.44140625" style="1061" customWidth="1"/>
    <col min="5134" max="5134" width="7.21875" style="1061" customWidth="1"/>
    <col min="5135" max="5135" width="5" style="1061" customWidth="1"/>
    <col min="5136" max="5376" width="8.88671875" style="1061"/>
    <col min="5377" max="5377" width="13" style="1061" customWidth="1"/>
    <col min="5378" max="5378" width="11.109375" style="1061" customWidth="1"/>
    <col min="5379" max="5379" width="6.77734375" style="1061" customWidth="1"/>
    <col min="5380" max="5380" width="4.21875" style="1061" customWidth="1"/>
    <col min="5381" max="5381" width="6" style="1061" customWidth="1"/>
    <col min="5382" max="5382" width="3.88671875" style="1061" customWidth="1"/>
    <col min="5383" max="5383" width="4.6640625" style="1061" customWidth="1"/>
    <col min="5384" max="5384" width="6.77734375" style="1061" customWidth="1"/>
    <col min="5385" max="5385" width="5.21875" style="1061" customWidth="1"/>
    <col min="5386" max="5386" width="3.88671875" style="1061" customWidth="1"/>
    <col min="5387" max="5387" width="4.88671875" style="1061" customWidth="1"/>
    <col min="5388" max="5388" width="2.77734375" style="1061" customWidth="1"/>
    <col min="5389" max="5389" width="8.44140625" style="1061" customWidth="1"/>
    <col min="5390" max="5390" width="7.21875" style="1061" customWidth="1"/>
    <col min="5391" max="5391" width="5" style="1061" customWidth="1"/>
    <col min="5392" max="5632" width="8.88671875" style="1061"/>
    <col min="5633" max="5633" width="13" style="1061" customWidth="1"/>
    <col min="5634" max="5634" width="11.109375" style="1061" customWidth="1"/>
    <col min="5635" max="5635" width="6.77734375" style="1061" customWidth="1"/>
    <col min="5636" max="5636" width="4.21875" style="1061" customWidth="1"/>
    <col min="5637" max="5637" width="6" style="1061" customWidth="1"/>
    <col min="5638" max="5638" width="3.88671875" style="1061" customWidth="1"/>
    <col min="5639" max="5639" width="4.6640625" style="1061" customWidth="1"/>
    <col min="5640" max="5640" width="6.77734375" style="1061" customWidth="1"/>
    <col min="5641" max="5641" width="5.21875" style="1061" customWidth="1"/>
    <col min="5642" max="5642" width="3.88671875" style="1061" customWidth="1"/>
    <col min="5643" max="5643" width="4.88671875" style="1061" customWidth="1"/>
    <col min="5644" max="5644" width="2.77734375" style="1061" customWidth="1"/>
    <col min="5645" max="5645" width="8.44140625" style="1061" customWidth="1"/>
    <col min="5646" max="5646" width="7.21875" style="1061" customWidth="1"/>
    <col min="5647" max="5647" width="5" style="1061" customWidth="1"/>
    <col min="5648" max="5888" width="8.88671875" style="1061"/>
    <col min="5889" max="5889" width="13" style="1061" customWidth="1"/>
    <col min="5890" max="5890" width="11.109375" style="1061" customWidth="1"/>
    <col min="5891" max="5891" width="6.77734375" style="1061" customWidth="1"/>
    <col min="5892" max="5892" width="4.21875" style="1061" customWidth="1"/>
    <col min="5893" max="5893" width="6" style="1061" customWidth="1"/>
    <col min="5894" max="5894" width="3.88671875" style="1061" customWidth="1"/>
    <col min="5895" max="5895" width="4.6640625" style="1061" customWidth="1"/>
    <col min="5896" max="5896" width="6.77734375" style="1061" customWidth="1"/>
    <col min="5897" max="5897" width="5.21875" style="1061" customWidth="1"/>
    <col min="5898" max="5898" width="3.88671875" style="1061" customWidth="1"/>
    <col min="5899" max="5899" width="4.88671875" style="1061" customWidth="1"/>
    <col min="5900" max="5900" width="2.77734375" style="1061" customWidth="1"/>
    <col min="5901" max="5901" width="8.44140625" style="1061" customWidth="1"/>
    <col min="5902" max="5902" width="7.21875" style="1061" customWidth="1"/>
    <col min="5903" max="5903" width="5" style="1061" customWidth="1"/>
    <col min="5904" max="6144" width="8.88671875" style="1061"/>
    <col min="6145" max="6145" width="13" style="1061" customWidth="1"/>
    <col min="6146" max="6146" width="11.109375" style="1061" customWidth="1"/>
    <col min="6147" max="6147" width="6.77734375" style="1061" customWidth="1"/>
    <col min="6148" max="6148" width="4.21875" style="1061" customWidth="1"/>
    <col min="6149" max="6149" width="6" style="1061" customWidth="1"/>
    <col min="6150" max="6150" width="3.88671875" style="1061" customWidth="1"/>
    <col min="6151" max="6151" width="4.6640625" style="1061" customWidth="1"/>
    <col min="6152" max="6152" width="6.77734375" style="1061" customWidth="1"/>
    <col min="6153" max="6153" width="5.21875" style="1061" customWidth="1"/>
    <col min="6154" max="6154" width="3.88671875" style="1061" customWidth="1"/>
    <col min="6155" max="6155" width="4.88671875" style="1061" customWidth="1"/>
    <col min="6156" max="6156" width="2.77734375" style="1061" customWidth="1"/>
    <col min="6157" max="6157" width="8.44140625" style="1061" customWidth="1"/>
    <col min="6158" max="6158" width="7.21875" style="1061" customWidth="1"/>
    <col min="6159" max="6159" width="5" style="1061" customWidth="1"/>
    <col min="6160" max="6400" width="8.88671875" style="1061"/>
    <col min="6401" max="6401" width="13" style="1061" customWidth="1"/>
    <col min="6402" max="6402" width="11.109375" style="1061" customWidth="1"/>
    <col min="6403" max="6403" width="6.77734375" style="1061" customWidth="1"/>
    <col min="6404" max="6404" width="4.21875" style="1061" customWidth="1"/>
    <col min="6405" max="6405" width="6" style="1061" customWidth="1"/>
    <col min="6406" max="6406" width="3.88671875" style="1061" customWidth="1"/>
    <col min="6407" max="6407" width="4.6640625" style="1061" customWidth="1"/>
    <col min="6408" max="6408" width="6.77734375" style="1061" customWidth="1"/>
    <col min="6409" max="6409" width="5.21875" style="1061" customWidth="1"/>
    <col min="6410" max="6410" width="3.88671875" style="1061" customWidth="1"/>
    <col min="6411" max="6411" width="4.88671875" style="1061" customWidth="1"/>
    <col min="6412" max="6412" width="2.77734375" style="1061" customWidth="1"/>
    <col min="6413" max="6413" width="8.44140625" style="1061" customWidth="1"/>
    <col min="6414" max="6414" width="7.21875" style="1061" customWidth="1"/>
    <col min="6415" max="6415" width="5" style="1061" customWidth="1"/>
    <col min="6416" max="6656" width="8.88671875" style="1061"/>
    <col min="6657" max="6657" width="13" style="1061" customWidth="1"/>
    <col min="6658" max="6658" width="11.109375" style="1061" customWidth="1"/>
    <col min="6659" max="6659" width="6.77734375" style="1061" customWidth="1"/>
    <col min="6660" max="6660" width="4.21875" style="1061" customWidth="1"/>
    <col min="6661" max="6661" width="6" style="1061" customWidth="1"/>
    <col min="6662" max="6662" width="3.88671875" style="1061" customWidth="1"/>
    <col min="6663" max="6663" width="4.6640625" style="1061" customWidth="1"/>
    <col min="6664" max="6664" width="6.77734375" style="1061" customWidth="1"/>
    <col min="6665" max="6665" width="5.21875" style="1061" customWidth="1"/>
    <col min="6666" max="6666" width="3.88671875" style="1061" customWidth="1"/>
    <col min="6667" max="6667" width="4.88671875" style="1061" customWidth="1"/>
    <col min="6668" max="6668" width="2.77734375" style="1061" customWidth="1"/>
    <col min="6669" max="6669" width="8.44140625" style="1061" customWidth="1"/>
    <col min="6670" max="6670" width="7.21875" style="1061" customWidth="1"/>
    <col min="6671" max="6671" width="5" style="1061" customWidth="1"/>
    <col min="6672" max="6912" width="8.88671875" style="1061"/>
    <col min="6913" max="6913" width="13" style="1061" customWidth="1"/>
    <col min="6914" max="6914" width="11.109375" style="1061" customWidth="1"/>
    <col min="6915" max="6915" width="6.77734375" style="1061" customWidth="1"/>
    <col min="6916" max="6916" width="4.21875" style="1061" customWidth="1"/>
    <col min="6917" max="6917" width="6" style="1061" customWidth="1"/>
    <col min="6918" max="6918" width="3.88671875" style="1061" customWidth="1"/>
    <col min="6919" max="6919" width="4.6640625" style="1061" customWidth="1"/>
    <col min="6920" max="6920" width="6.77734375" style="1061" customWidth="1"/>
    <col min="6921" max="6921" width="5.21875" style="1061" customWidth="1"/>
    <col min="6922" max="6922" width="3.88671875" style="1061" customWidth="1"/>
    <col min="6923" max="6923" width="4.88671875" style="1061" customWidth="1"/>
    <col min="6924" max="6924" width="2.77734375" style="1061" customWidth="1"/>
    <col min="6925" max="6925" width="8.44140625" style="1061" customWidth="1"/>
    <col min="6926" max="6926" width="7.21875" style="1061" customWidth="1"/>
    <col min="6927" max="6927" width="5" style="1061" customWidth="1"/>
    <col min="6928" max="7168" width="8.88671875" style="1061"/>
    <col min="7169" max="7169" width="13" style="1061" customWidth="1"/>
    <col min="7170" max="7170" width="11.109375" style="1061" customWidth="1"/>
    <col min="7171" max="7171" width="6.77734375" style="1061" customWidth="1"/>
    <col min="7172" max="7172" width="4.21875" style="1061" customWidth="1"/>
    <col min="7173" max="7173" width="6" style="1061" customWidth="1"/>
    <col min="7174" max="7174" width="3.88671875" style="1061" customWidth="1"/>
    <col min="7175" max="7175" width="4.6640625" style="1061" customWidth="1"/>
    <col min="7176" max="7176" width="6.77734375" style="1061" customWidth="1"/>
    <col min="7177" max="7177" width="5.21875" style="1061" customWidth="1"/>
    <col min="7178" max="7178" width="3.88671875" style="1061" customWidth="1"/>
    <col min="7179" max="7179" width="4.88671875" style="1061" customWidth="1"/>
    <col min="7180" max="7180" width="2.77734375" style="1061" customWidth="1"/>
    <col min="7181" max="7181" width="8.44140625" style="1061" customWidth="1"/>
    <col min="7182" max="7182" width="7.21875" style="1061" customWidth="1"/>
    <col min="7183" max="7183" width="5" style="1061" customWidth="1"/>
    <col min="7184" max="7424" width="8.88671875" style="1061"/>
    <col min="7425" max="7425" width="13" style="1061" customWidth="1"/>
    <col min="7426" max="7426" width="11.109375" style="1061" customWidth="1"/>
    <col min="7427" max="7427" width="6.77734375" style="1061" customWidth="1"/>
    <col min="7428" max="7428" width="4.21875" style="1061" customWidth="1"/>
    <col min="7429" max="7429" width="6" style="1061" customWidth="1"/>
    <col min="7430" max="7430" width="3.88671875" style="1061" customWidth="1"/>
    <col min="7431" max="7431" width="4.6640625" style="1061" customWidth="1"/>
    <col min="7432" max="7432" width="6.77734375" style="1061" customWidth="1"/>
    <col min="7433" max="7433" width="5.21875" style="1061" customWidth="1"/>
    <col min="7434" max="7434" width="3.88671875" style="1061" customWidth="1"/>
    <col min="7435" max="7435" width="4.88671875" style="1061" customWidth="1"/>
    <col min="7436" max="7436" width="2.77734375" style="1061" customWidth="1"/>
    <col min="7437" max="7437" width="8.44140625" style="1061" customWidth="1"/>
    <col min="7438" max="7438" width="7.21875" style="1061" customWidth="1"/>
    <col min="7439" max="7439" width="5" style="1061" customWidth="1"/>
    <col min="7440" max="7680" width="8.88671875" style="1061"/>
    <col min="7681" max="7681" width="13" style="1061" customWidth="1"/>
    <col min="7682" max="7682" width="11.109375" style="1061" customWidth="1"/>
    <col min="7683" max="7683" width="6.77734375" style="1061" customWidth="1"/>
    <col min="7684" max="7684" width="4.21875" style="1061" customWidth="1"/>
    <col min="7685" max="7685" width="6" style="1061" customWidth="1"/>
    <col min="7686" max="7686" width="3.88671875" style="1061" customWidth="1"/>
    <col min="7687" max="7687" width="4.6640625" style="1061" customWidth="1"/>
    <col min="7688" max="7688" width="6.77734375" style="1061" customWidth="1"/>
    <col min="7689" max="7689" width="5.21875" style="1061" customWidth="1"/>
    <col min="7690" max="7690" width="3.88671875" style="1061" customWidth="1"/>
    <col min="7691" max="7691" width="4.88671875" style="1061" customWidth="1"/>
    <col min="7692" max="7692" width="2.77734375" style="1061" customWidth="1"/>
    <col min="7693" max="7693" width="8.44140625" style="1061" customWidth="1"/>
    <col min="7694" max="7694" width="7.21875" style="1061" customWidth="1"/>
    <col min="7695" max="7695" width="5" style="1061" customWidth="1"/>
    <col min="7696" max="7936" width="8.88671875" style="1061"/>
    <col min="7937" max="7937" width="13" style="1061" customWidth="1"/>
    <col min="7938" max="7938" width="11.109375" style="1061" customWidth="1"/>
    <col min="7939" max="7939" width="6.77734375" style="1061" customWidth="1"/>
    <col min="7940" max="7940" width="4.21875" style="1061" customWidth="1"/>
    <col min="7941" max="7941" width="6" style="1061" customWidth="1"/>
    <col min="7942" max="7942" width="3.88671875" style="1061" customWidth="1"/>
    <col min="7943" max="7943" width="4.6640625" style="1061" customWidth="1"/>
    <col min="7944" max="7944" width="6.77734375" style="1061" customWidth="1"/>
    <col min="7945" max="7945" width="5.21875" style="1061" customWidth="1"/>
    <col min="7946" max="7946" width="3.88671875" style="1061" customWidth="1"/>
    <col min="7947" max="7947" width="4.88671875" style="1061" customWidth="1"/>
    <col min="7948" max="7948" width="2.77734375" style="1061" customWidth="1"/>
    <col min="7949" max="7949" width="8.44140625" style="1061" customWidth="1"/>
    <col min="7950" max="7950" width="7.21875" style="1061" customWidth="1"/>
    <col min="7951" max="7951" width="5" style="1061" customWidth="1"/>
    <col min="7952" max="8192" width="8.88671875" style="1061"/>
    <col min="8193" max="8193" width="13" style="1061" customWidth="1"/>
    <col min="8194" max="8194" width="11.109375" style="1061" customWidth="1"/>
    <col min="8195" max="8195" width="6.77734375" style="1061" customWidth="1"/>
    <col min="8196" max="8196" width="4.21875" style="1061" customWidth="1"/>
    <col min="8197" max="8197" width="6" style="1061" customWidth="1"/>
    <col min="8198" max="8198" width="3.88671875" style="1061" customWidth="1"/>
    <col min="8199" max="8199" width="4.6640625" style="1061" customWidth="1"/>
    <col min="8200" max="8200" width="6.77734375" style="1061" customWidth="1"/>
    <col min="8201" max="8201" width="5.21875" style="1061" customWidth="1"/>
    <col min="8202" max="8202" width="3.88671875" style="1061" customWidth="1"/>
    <col min="8203" max="8203" width="4.88671875" style="1061" customWidth="1"/>
    <col min="8204" max="8204" width="2.77734375" style="1061" customWidth="1"/>
    <col min="8205" max="8205" width="8.44140625" style="1061" customWidth="1"/>
    <col min="8206" max="8206" width="7.21875" style="1061" customWidth="1"/>
    <col min="8207" max="8207" width="5" style="1061" customWidth="1"/>
    <col min="8208" max="8448" width="8.88671875" style="1061"/>
    <col min="8449" max="8449" width="13" style="1061" customWidth="1"/>
    <col min="8450" max="8450" width="11.109375" style="1061" customWidth="1"/>
    <col min="8451" max="8451" width="6.77734375" style="1061" customWidth="1"/>
    <col min="8452" max="8452" width="4.21875" style="1061" customWidth="1"/>
    <col min="8453" max="8453" width="6" style="1061" customWidth="1"/>
    <col min="8454" max="8454" width="3.88671875" style="1061" customWidth="1"/>
    <col min="8455" max="8455" width="4.6640625" style="1061" customWidth="1"/>
    <col min="8456" max="8456" width="6.77734375" style="1061" customWidth="1"/>
    <col min="8457" max="8457" width="5.21875" style="1061" customWidth="1"/>
    <col min="8458" max="8458" width="3.88671875" style="1061" customWidth="1"/>
    <col min="8459" max="8459" width="4.88671875" style="1061" customWidth="1"/>
    <col min="8460" max="8460" width="2.77734375" style="1061" customWidth="1"/>
    <col min="8461" max="8461" width="8.44140625" style="1061" customWidth="1"/>
    <col min="8462" max="8462" width="7.21875" style="1061" customWidth="1"/>
    <col min="8463" max="8463" width="5" style="1061" customWidth="1"/>
    <col min="8464" max="8704" width="8.88671875" style="1061"/>
    <col min="8705" max="8705" width="13" style="1061" customWidth="1"/>
    <col min="8706" max="8706" width="11.109375" style="1061" customWidth="1"/>
    <col min="8707" max="8707" width="6.77734375" style="1061" customWidth="1"/>
    <col min="8708" max="8708" width="4.21875" style="1061" customWidth="1"/>
    <col min="8709" max="8709" width="6" style="1061" customWidth="1"/>
    <col min="8710" max="8710" width="3.88671875" style="1061" customWidth="1"/>
    <col min="8711" max="8711" width="4.6640625" style="1061" customWidth="1"/>
    <col min="8712" max="8712" width="6.77734375" style="1061" customWidth="1"/>
    <col min="8713" max="8713" width="5.21875" style="1061" customWidth="1"/>
    <col min="8714" max="8714" width="3.88671875" style="1061" customWidth="1"/>
    <col min="8715" max="8715" width="4.88671875" style="1061" customWidth="1"/>
    <col min="8716" max="8716" width="2.77734375" style="1061" customWidth="1"/>
    <col min="8717" max="8717" width="8.44140625" style="1061" customWidth="1"/>
    <col min="8718" max="8718" width="7.21875" style="1061" customWidth="1"/>
    <col min="8719" max="8719" width="5" style="1061" customWidth="1"/>
    <col min="8720" max="8960" width="8.88671875" style="1061"/>
    <col min="8961" max="8961" width="13" style="1061" customWidth="1"/>
    <col min="8962" max="8962" width="11.109375" style="1061" customWidth="1"/>
    <col min="8963" max="8963" width="6.77734375" style="1061" customWidth="1"/>
    <col min="8964" max="8964" width="4.21875" style="1061" customWidth="1"/>
    <col min="8965" max="8965" width="6" style="1061" customWidth="1"/>
    <col min="8966" max="8966" width="3.88671875" style="1061" customWidth="1"/>
    <col min="8967" max="8967" width="4.6640625" style="1061" customWidth="1"/>
    <col min="8968" max="8968" width="6.77734375" style="1061" customWidth="1"/>
    <col min="8969" max="8969" width="5.21875" style="1061" customWidth="1"/>
    <col min="8970" max="8970" width="3.88671875" style="1061" customWidth="1"/>
    <col min="8971" max="8971" width="4.88671875" style="1061" customWidth="1"/>
    <col min="8972" max="8972" width="2.77734375" style="1061" customWidth="1"/>
    <col min="8973" max="8973" width="8.44140625" style="1061" customWidth="1"/>
    <col min="8974" max="8974" width="7.21875" style="1061" customWidth="1"/>
    <col min="8975" max="8975" width="5" style="1061" customWidth="1"/>
    <col min="8976" max="9216" width="8.88671875" style="1061"/>
    <col min="9217" max="9217" width="13" style="1061" customWidth="1"/>
    <col min="9218" max="9218" width="11.109375" style="1061" customWidth="1"/>
    <col min="9219" max="9219" width="6.77734375" style="1061" customWidth="1"/>
    <col min="9220" max="9220" width="4.21875" style="1061" customWidth="1"/>
    <col min="9221" max="9221" width="6" style="1061" customWidth="1"/>
    <col min="9222" max="9222" width="3.88671875" style="1061" customWidth="1"/>
    <col min="9223" max="9223" width="4.6640625" style="1061" customWidth="1"/>
    <col min="9224" max="9224" width="6.77734375" style="1061" customWidth="1"/>
    <col min="9225" max="9225" width="5.21875" style="1061" customWidth="1"/>
    <col min="9226" max="9226" width="3.88671875" style="1061" customWidth="1"/>
    <col min="9227" max="9227" width="4.88671875" style="1061" customWidth="1"/>
    <col min="9228" max="9228" width="2.77734375" style="1061" customWidth="1"/>
    <col min="9229" max="9229" width="8.44140625" style="1061" customWidth="1"/>
    <col min="9230" max="9230" width="7.21875" style="1061" customWidth="1"/>
    <col min="9231" max="9231" width="5" style="1061" customWidth="1"/>
    <col min="9232" max="9472" width="8.88671875" style="1061"/>
    <col min="9473" max="9473" width="13" style="1061" customWidth="1"/>
    <col min="9474" max="9474" width="11.109375" style="1061" customWidth="1"/>
    <col min="9475" max="9475" width="6.77734375" style="1061" customWidth="1"/>
    <col min="9476" max="9476" width="4.21875" style="1061" customWidth="1"/>
    <col min="9477" max="9477" width="6" style="1061" customWidth="1"/>
    <col min="9478" max="9478" width="3.88671875" style="1061" customWidth="1"/>
    <col min="9479" max="9479" width="4.6640625" style="1061" customWidth="1"/>
    <col min="9480" max="9480" width="6.77734375" style="1061" customWidth="1"/>
    <col min="9481" max="9481" width="5.21875" style="1061" customWidth="1"/>
    <col min="9482" max="9482" width="3.88671875" style="1061" customWidth="1"/>
    <col min="9483" max="9483" width="4.88671875" style="1061" customWidth="1"/>
    <col min="9484" max="9484" width="2.77734375" style="1061" customWidth="1"/>
    <col min="9485" max="9485" width="8.44140625" style="1061" customWidth="1"/>
    <col min="9486" max="9486" width="7.21875" style="1061" customWidth="1"/>
    <col min="9487" max="9487" width="5" style="1061" customWidth="1"/>
    <col min="9488" max="9728" width="8.88671875" style="1061"/>
    <col min="9729" max="9729" width="13" style="1061" customWidth="1"/>
    <col min="9730" max="9730" width="11.109375" style="1061" customWidth="1"/>
    <col min="9731" max="9731" width="6.77734375" style="1061" customWidth="1"/>
    <col min="9732" max="9732" width="4.21875" style="1061" customWidth="1"/>
    <col min="9733" max="9733" width="6" style="1061" customWidth="1"/>
    <col min="9734" max="9734" width="3.88671875" style="1061" customWidth="1"/>
    <col min="9735" max="9735" width="4.6640625" style="1061" customWidth="1"/>
    <col min="9736" max="9736" width="6.77734375" style="1061" customWidth="1"/>
    <col min="9737" max="9737" width="5.21875" style="1061" customWidth="1"/>
    <col min="9738" max="9738" width="3.88671875" style="1061" customWidth="1"/>
    <col min="9739" max="9739" width="4.88671875" style="1061" customWidth="1"/>
    <col min="9740" max="9740" width="2.77734375" style="1061" customWidth="1"/>
    <col min="9741" max="9741" width="8.44140625" style="1061" customWidth="1"/>
    <col min="9742" max="9742" width="7.21875" style="1061" customWidth="1"/>
    <col min="9743" max="9743" width="5" style="1061" customWidth="1"/>
    <col min="9744" max="9984" width="8.88671875" style="1061"/>
    <col min="9985" max="9985" width="13" style="1061" customWidth="1"/>
    <col min="9986" max="9986" width="11.109375" style="1061" customWidth="1"/>
    <col min="9987" max="9987" width="6.77734375" style="1061" customWidth="1"/>
    <col min="9988" max="9988" width="4.21875" style="1061" customWidth="1"/>
    <col min="9989" max="9989" width="6" style="1061" customWidth="1"/>
    <col min="9990" max="9990" width="3.88671875" style="1061" customWidth="1"/>
    <col min="9991" max="9991" width="4.6640625" style="1061" customWidth="1"/>
    <col min="9992" max="9992" width="6.77734375" style="1061" customWidth="1"/>
    <col min="9993" max="9993" width="5.21875" style="1061" customWidth="1"/>
    <col min="9994" max="9994" width="3.88671875" style="1061" customWidth="1"/>
    <col min="9995" max="9995" width="4.88671875" style="1061" customWidth="1"/>
    <col min="9996" max="9996" width="2.77734375" style="1061" customWidth="1"/>
    <col min="9997" max="9997" width="8.44140625" style="1061" customWidth="1"/>
    <col min="9998" max="9998" width="7.21875" style="1061" customWidth="1"/>
    <col min="9999" max="9999" width="5" style="1061" customWidth="1"/>
    <col min="10000" max="10240" width="8.88671875" style="1061"/>
    <col min="10241" max="10241" width="13" style="1061" customWidth="1"/>
    <col min="10242" max="10242" width="11.109375" style="1061" customWidth="1"/>
    <col min="10243" max="10243" width="6.77734375" style="1061" customWidth="1"/>
    <col min="10244" max="10244" width="4.21875" style="1061" customWidth="1"/>
    <col min="10245" max="10245" width="6" style="1061" customWidth="1"/>
    <col min="10246" max="10246" width="3.88671875" style="1061" customWidth="1"/>
    <col min="10247" max="10247" width="4.6640625" style="1061" customWidth="1"/>
    <col min="10248" max="10248" width="6.77734375" style="1061" customWidth="1"/>
    <col min="10249" max="10249" width="5.21875" style="1061" customWidth="1"/>
    <col min="10250" max="10250" width="3.88671875" style="1061" customWidth="1"/>
    <col min="10251" max="10251" width="4.88671875" style="1061" customWidth="1"/>
    <col min="10252" max="10252" width="2.77734375" style="1061" customWidth="1"/>
    <col min="10253" max="10253" width="8.44140625" style="1061" customWidth="1"/>
    <col min="10254" max="10254" width="7.21875" style="1061" customWidth="1"/>
    <col min="10255" max="10255" width="5" style="1061" customWidth="1"/>
    <col min="10256" max="10496" width="8.88671875" style="1061"/>
    <col min="10497" max="10497" width="13" style="1061" customWidth="1"/>
    <col min="10498" max="10498" width="11.109375" style="1061" customWidth="1"/>
    <col min="10499" max="10499" width="6.77734375" style="1061" customWidth="1"/>
    <col min="10500" max="10500" width="4.21875" style="1061" customWidth="1"/>
    <col min="10501" max="10501" width="6" style="1061" customWidth="1"/>
    <col min="10502" max="10502" width="3.88671875" style="1061" customWidth="1"/>
    <col min="10503" max="10503" width="4.6640625" style="1061" customWidth="1"/>
    <col min="10504" max="10504" width="6.77734375" style="1061" customWidth="1"/>
    <col min="10505" max="10505" width="5.21875" style="1061" customWidth="1"/>
    <col min="10506" max="10506" width="3.88671875" style="1061" customWidth="1"/>
    <col min="10507" max="10507" width="4.88671875" style="1061" customWidth="1"/>
    <col min="10508" max="10508" width="2.77734375" style="1061" customWidth="1"/>
    <col min="10509" max="10509" width="8.44140625" style="1061" customWidth="1"/>
    <col min="10510" max="10510" width="7.21875" style="1061" customWidth="1"/>
    <col min="10511" max="10511" width="5" style="1061" customWidth="1"/>
    <col min="10512" max="10752" width="8.88671875" style="1061"/>
    <col min="10753" max="10753" width="13" style="1061" customWidth="1"/>
    <col min="10754" max="10754" width="11.109375" style="1061" customWidth="1"/>
    <col min="10755" max="10755" width="6.77734375" style="1061" customWidth="1"/>
    <col min="10756" max="10756" width="4.21875" style="1061" customWidth="1"/>
    <col min="10757" max="10757" width="6" style="1061" customWidth="1"/>
    <col min="10758" max="10758" width="3.88671875" style="1061" customWidth="1"/>
    <col min="10759" max="10759" width="4.6640625" style="1061" customWidth="1"/>
    <col min="10760" max="10760" width="6.77734375" style="1061" customWidth="1"/>
    <col min="10761" max="10761" width="5.21875" style="1061" customWidth="1"/>
    <col min="10762" max="10762" width="3.88671875" style="1061" customWidth="1"/>
    <col min="10763" max="10763" width="4.88671875" style="1061" customWidth="1"/>
    <col min="10764" max="10764" width="2.77734375" style="1061" customWidth="1"/>
    <col min="10765" max="10765" width="8.44140625" style="1061" customWidth="1"/>
    <col min="10766" max="10766" width="7.21875" style="1061" customWidth="1"/>
    <col min="10767" max="10767" width="5" style="1061" customWidth="1"/>
    <col min="10768" max="11008" width="8.88671875" style="1061"/>
    <col min="11009" max="11009" width="13" style="1061" customWidth="1"/>
    <col min="11010" max="11010" width="11.109375" style="1061" customWidth="1"/>
    <col min="11011" max="11011" width="6.77734375" style="1061" customWidth="1"/>
    <col min="11012" max="11012" width="4.21875" style="1061" customWidth="1"/>
    <col min="11013" max="11013" width="6" style="1061" customWidth="1"/>
    <col min="11014" max="11014" width="3.88671875" style="1061" customWidth="1"/>
    <col min="11015" max="11015" width="4.6640625" style="1061" customWidth="1"/>
    <col min="11016" max="11016" width="6.77734375" style="1061" customWidth="1"/>
    <col min="11017" max="11017" width="5.21875" style="1061" customWidth="1"/>
    <col min="11018" max="11018" width="3.88671875" style="1061" customWidth="1"/>
    <col min="11019" max="11019" width="4.88671875" style="1061" customWidth="1"/>
    <col min="11020" max="11020" width="2.77734375" style="1061" customWidth="1"/>
    <col min="11021" max="11021" width="8.44140625" style="1061" customWidth="1"/>
    <col min="11022" max="11022" width="7.21875" style="1061" customWidth="1"/>
    <col min="11023" max="11023" width="5" style="1061" customWidth="1"/>
    <col min="11024" max="11264" width="8.88671875" style="1061"/>
    <col min="11265" max="11265" width="13" style="1061" customWidth="1"/>
    <col min="11266" max="11266" width="11.109375" style="1061" customWidth="1"/>
    <col min="11267" max="11267" width="6.77734375" style="1061" customWidth="1"/>
    <col min="11268" max="11268" width="4.21875" style="1061" customWidth="1"/>
    <col min="11269" max="11269" width="6" style="1061" customWidth="1"/>
    <col min="11270" max="11270" width="3.88671875" style="1061" customWidth="1"/>
    <col min="11271" max="11271" width="4.6640625" style="1061" customWidth="1"/>
    <col min="11272" max="11272" width="6.77734375" style="1061" customWidth="1"/>
    <col min="11273" max="11273" width="5.21875" style="1061" customWidth="1"/>
    <col min="11274" max="11274" width="3.88671875" style="1061" customWidth="1"/>
    <col min="11275" max="11275" width="4.88671875" style="1061" customWidth="1"/>
    <col min="11276" max="11276" width="2.77734375" style="1061" customWidth="1"/>
    <col min="11277" max="11277" width="8.44140625" style="1061" customWidth="1"/>
    <col min="11278" max="11278" width="7.21875" style="1061" customWidth="1"/>
    <col min="11279" max="11279" width="5" style="1061" customWidth="1"/>
    <col min="11280" max="11520" width="8.88671875" style="1061"/>
    <col min="11521" max="11521" width="13" style="1061" customWidth="1"/>
    <col min="11522" max="11522" width="11.109375" style="1061" customWidth="1"/>
    <col min="11523" max="11523" width="6.77734375" style="1061" customWidth="1"/>
    <col min="11524" max="11524" width="4.21875" style="1061" customWidth="1"/>
    <col min="11525" max="11525" width="6" style="1061" customWidth="1"/>
    <col min="11526" max="11526" width="3.88671875" style="1061" customWidth="1"/>
    <col min="11527" max="11527" width="4.6640625" style="1061" customWidth="1"/>
    <col min="11528" max="11528" width="6.77734375" style="1061" customWidth="1"/>
    <col min="11529" max="11529" width="5.21875" style="1061" customWidth="1"/>
    <col min="11530" max="11530" width="3.88671875" style="1061" customWidth="1"/>
    <col min="11531" max="11531" width="4.88671875" style="1061" customWidth="1"/>
    <col min="11532" max="11532" width="2.77734375" style="1061" customWidth="1"/>
    <col min="11533" max="11533" width="8.44140625" style="1061" customWidth="1"/>
    <col min="11534" max="11534" width="7.21875" style="1061" customWidth="1"/>
    <col min="11535" max="11535" width="5" style="1061" customWidth="1"/>
    <col min="11536" max="11776" width="8.88671875" style="1061"/>
    <col min="11777" max="11777" width="13" style="1061" customWidth="1"/>
    <col min="11778" max="11778" width="11.109375" style="1061" customWidth="1"/>
    <col min="11779" max="11779" width="6.77734375" style="1061" customWidth="1"/>
    <col min="11780" max="11780" width="4.21875" style="1061" customWidth="1"/>
    <col min="11781" max="11781" width="6" style="1061" customWidth="1"/>
    <col min="11782" max="11782" width="3.88671875" style="1061" customWidth="1"/>
    <col min="11783" max="11783" width="4.6640625" style="1061" customWidth="1"/>
    <col min="11784" max="11784" width="6.77734375" style="1061" customWidth="1"/>
    <col min="11785" max="11785" width="5.21875" style="1061" customWidth="1"/>
    <col min="11786" max="11786" width="3.88671875" style="1061" customWidth="1"/>
    <col min="11787" max="11787" width="4.88671875" style="1061" customWidth="1"/>
    <col min="11788" max="11788" width="2.77734375" style="1061" customWidth="1"/>
    <col min="11789" max="11789" width="8.44140625" style="1061" customWidth="1"/>
    <col min="11790" max="11790" width="7.21875" style="1061" customWidth="1"/>
    <col min="11791" max="11791" width="5" style="1061" customWidth="1"/>
    <col min="11792" max="12032" width="8.88671875" style="1061"/>
    <col min="12033" max="12033" width="13" style="1061" customWidth="1"/>
    <col min="12034" max="12034" width="11.109375" style="1061" customWidth="1"/>
    <col min="12035" max="12035" width="6.77734375" style="1061" customWidth="1"/>
    <col min="12036" max="12036" width="4.21875" style="1061" customWidth="1"/>
    <col min="12037" max="12037" width="6" style="1061" customWidth="1"/>
    <col min="12038" max="12038" width="3.88671875" style="1061" customWidth="1"/>
    <col min="12039" max="12039" width="4.6640625" style="1061" customWidth="1"/>
    <col min="12040" max="12040" width="6.77734375" style="1061" customWidth="1"/>
    <col min="12041" max="12041" width="5.21875" style="1061" customWidth="1"/>
    <col min="12042" max="12042" width="3.88671875" style="1061" customWidth="1"/>
    <col min="12043" max="12043" width="4.88671875" style="1061" customWidth="1"/>
    <col min="12044" max="12044" width="2.77734375" style="1061" customWidth="1"/>
    <col min="12045" max="12045" width="8.44140625" style="1061" customWidth="1"/>
    <col min="12046" max="12046" width="7.21875" style="1061" customWidth="1"/>
    <col min="12047" max="12047" width="5" style="1061" customWidth="1"/>
    <col min="12048" max="12288" width="8.88671875" style="1061"/>
    <col min="12289" max="12289" width="13" style="1061" customWidth="1"/>
    <col min="12290" max="12290" width="11.109375" style="1061" customWidth="1"/>
    <col min="12291" max="12291" width="6.77734375" style="1061" customWidth="1"/>
    <col min="12292" max="12292" width="4.21875" style="1061" customWidth="1"/>
    <col min="12293" max="12293" width="6" style="1061" customWidth="1"/>
    <col min="12294" max="12294" width="3.88671875" style="1061" customWidth="1"/>
    <col min="12295" max="12295" width="4.6640625" style="1061" customWidth="1"/>
    <col min="12296" max="12296" width="6.77734375" style="1061" customWidth="1"/>
    <col min="12297" max="12297" width="5.21875" style="1061" customWidth="1"/>
    <col min="12298" max="12298" width="3.88671875" style="1061" customWidth="1"/>
    <col min="12299" max="12299" width="4.88671875" style="1061" customWidth="1"/>
    <col min="12300" max="12300" width="2.77734375" style="1061" customWidth="1"/>
    <col min="12301" max="12301" width="8.44140625" style="1061" customWidth="1"/>
    <col min="12302" max="12302" width="7.21875" style="1061" customWidth="1"/>
    <col min="12303" max="12303" width="5" style="1061" customWidth="1"/>
    <col min="12304" max="12544" width="8.88671875" style="1061"/>
    <col min="12545" max="12545" width="13" style="1061" customWidth="1"/>
    <col min="12546" max="12546" width="11.109375" style="1061" customWidth="1"/>
    <col min="12547" max="12547" width="6.77734375" style="1061" customWidth="1"/>
    <col min="12548" max="12548" width="4.21875" style="1061" customWidth="1"/>
    <col min="12549" max="12549" width="6" style="1061" customWidth="1"/>
    <col min="12550" max="12550" width="3.88671875" style="1061" customWidth="1"/>
    <col min="12551" max="12551" width="4.6640625" style="1061" customWidth="1"/>
    <col min="12552" max="12552" width="6.77734375" style="1061" customWidth="1"/>
    <col min="12553" max="12553" width="5.21875" style="1061" customWidth="1"/>
    <col min="12554" max="12554" width="3.88671875" style="1061" customWidth="1"/>
    <col min="12555" max="12555" width="4.88671875" style="1061" customWidth="1"/>
    <col min="12556" max="12556" width="2.77734375" style="1061" customWidth="1"/>
    <col min="12557" max="12557" width="8.44140625" style="1061" customWidth="1"/>
    <col min="12558" max="12558" width="7.21875" style="1061" customWidth="1"/>
    <col min="12559" max="12559" width="5" style="1061" customWidth="1"/>
    <col min="12560" max="12800" width="8.88671875" style="1061"/>
    <col min="12801" max="12801" width="13" style="1061" customWidth="1"/>
    <col min="12802" max="12802" width="11.109375" style="1061" customWidth="1"/>
    <col min="12803" max="12803" width="6.77734375" style="1061" customWidth="1"/>
    <col min="12804" max="12804" width="4.21875" style="1061" customWidth="1"/>
    <col min="12805" max="12805" width="6" style="1061" customWidth="1"/>
    <col min="12806" max="12806" width="3.88671875" style="1061" customWidth="1"/>
    <col min="12807" max="12807" width="4.6640625" style="1061" customWidth="1"/>
    <col min="12808" max="12808" width="6.77734375" style="1061" customWidth="1"/>
    <col min="12809" max="12809" width="5.21875" style="1061" customWidth="1"/>
    <col min="12810" max="12810" width="3.88671875" style="1061" customWidth="1"/>
    <col min="12811" max="12811" width="4.88671875" style="1061" customWidth="1"/>
    <col min="12812" max="12812" width="2.77734375" style="1061" customWidth="1"/>
    <col min="12813" max="12813" width="8.44140625" style="1061" customWidth="1"/>
    <col min="12814" max="12814" width="7.21875" style="1061" customWidth="1"/>
    <col min="12815" max="12815" width="5" style="1061" customWidth="1"/>
    <col min="12816" max="13056" width="8.88671875" style="1061"/>
    <col min="13057" max="13057" width="13" style="1061" customWidth="1"/>
    <col min="13058" max="13058" width="11.109375" style="1061" customWidth="1"/>
    <col min="13059" max="13059" width="6.77734375" style="1061" customWidth="1"/>
    <col min="13060" max="13060" width="4.21875" style="1061" customWidth="1"/>
    <col min="13061" max="13061" width="6" style="1061" customWidth="1"/>
    <col min="13062" max="13062" width="3.88671875" style="1061" customWidth="1"/>
    <col min="13063" max="13063" width="4.6640625" style="1061" customWidth="1"/>
    <col min="13064" max="13064" width="6.77734375" style="1061" customWidth="1"/>
    <col min="13065" max="13065" width="5.21875" style="1061" customWidth="1"/>
    <col min="13066" max="13066" width="3.88671875" style="1061" customWidth="1"/>
    <col min="13067" max="13067" width="4.88671875" style="1061" customWidth="1"/>
    <col min="13068" max="13068" width="2.77734375" style="1061" customWidth="1"/>
    <col min="13069" max="13069" width="8.44140625" style="1061" customWidth="1"/>
    <col min="13070" max="13070" width="7.21875" style="1061" customWidth="1"/>
    <col min="13071" max="13071" width="5" style="1061" customWidth="1"/>
    <col min="13072" max="13312" width="8.88671875" style="1061"/>
    <col min="13313" max="13313" width="13" style="1061" customWidth="1"/>
    <col min="13314" max="13314" width="11.109375" style="1061" customWidth="1"/>
    <col min="13315" max="13315" width="6.77734375" style="1061" customWidth="1"/>
    <col min="13316" max="13316" width="4.21875" style="1061" customWidth="1"/>
    <col min="13317" max="13317" width="6" style="1061" customWidth="1"/>
    <col min="13318" max="13318" width="3.88671875" style="1061" customWidth="1"/>
    <col min="13319" max="13319" width="4.6640625" style="1061" customWidth="1"/>
    <col min="13320" max="13320" width="6.77734375" style="1061" customWidth="1"/>
    <col min="13321" max="13321" width="5.21875" style="1061" customWidth="1"/>
    <col min="13322" max="13322" width="3.88671875" style="1061" customWidth="1"/>
    <col min="13323" max="13323" width="4.88671875" style="1061" customWidth="1"/>
    <col min="13324" max="13324" width="2.77734375" style="1061" customWidth="1"/>
    <col min="13325" max="13325" width="8.44140625" style="1061" customWidth="1"/>
    <col min="13326" max="13326" width="7.21875" style="1061" customWidth="1"/>
    <col min="13327" max="13327" width="5" style="1061" customWidth="1"/>
    <col min="13328" max="13568" width="8.88671875" style="1061"/>
    <col min="13569" max="13569" width="13" style="1061" customWidth="1"/>
    <col min="13570" max="13570" width="11.109375" style="1061" customWidth="1"/>
    <col min="13571" max="13571" width="6.77734375" style="1061" customWidth="1"/>
    <col min="13572" max="13572" width="4.21875" style="1061" customWidth="1"/>
    <col min="13573" max="13573" width="6" style="1061" customWidth="1"/>
    <col min="13574" max="13574" width="3.88671875" style="1061" customWidth="1"/>
    <col min="13575" max="13575" width="4.6640625" style="1061" customWidth="1"/>
    <col min="13576" max="13576" width="6.77734375" style="1061" customWidth="1"/>
    <col min="13577" max="13577" width="5.21875" style="1061" customWidth="1"/>
    <col min="13578" max="13578" width="3.88671875" style="1061" customWidth="1"/>
    <col min="13579" max="13579" width="4.88671875" style="1061" customWidth="1"/>
    <col min="13580" max="13580" width="2.77734375" style="1061" customWidth="1"/>
    <col min="13581" max="13581" width="8.44140625" style="1061" customWidth="1"/>
    <col min="13582" max="13582" width="7.21875" style="1061" customWidth="1"/>
    <col min="13583" max="13583" width="5" style="1061" customWidth="1"/>
    <col min="13584" max="13824" width="8.88671875" style="1061"/>
    <col min="13825" max="13825" width="13" style="1061" customWidth="1"/>
    <col min="13826" max="13826" width="11.109375" style="1061" customWidth="1"/>
    <col min="13827" max="13827" width="6.77734375" style="1061" customWidth="1"/>
    <col min="13828" max="13828" width="4.21875" style="1061" customWidth="1"/>
    <col min="13829" max="13829" width="6" style="1061" customWidth="1"/>
    <col min="13830" max="13830" width="3.88671875" style="1061" customWidth="1"/>
    <col min="13831" max="13831" width="4.6640625" style="1061" customWidth="1"/>
    <col min="13832" max="13832" width="6.77734375" style="1061" customWidth="1"/>
    <col min="13833" max="13833" width="5.21875" style="1061" customWidth="1"/>
    <col min="13834" max="13834" width="3.88671875" style="1061" customWidth="1"/>
    <col min="13835" max="13835" width="4.88671875" style="1061" customWidth="1"/>
    <col min="13836" max="13836" width="2.77734375" style="1061" customWidth="1"/>
    <col min="13837" max="13837" width="8.44140625" style="1061" customWidth="1"/>
    <col min="13838" max="13838" width="7.21875" style="1061" customWidth="1"/>
    <col min="13839" max="13839" width="5" style="1061" customWidth="1"/>
    <col min="13840" max="14080" width="8.88671875" style="1061"/>
    <col min="14081" max="14081" width="13" style="1061" customWidth="1"/>
    <col min="14082" max="14082" width="11.109375" style="1061" customWidth="1"/>
    <col min="14083" max="14083" width="6.77734375" style="1061" customWidth="1"/>
    <col min="14084" max="14084" width="4.21875" style="1061" customWidth="1"/>
    <col min="14085" max="14085" width="6" style="1061" customWidth="1"/>
    <col min="14086" max="14086" width="3.88671875" style="1061" customWidth="1"/>
    <col min="14087" max="14087" width="4.6640625" style="1061" customWidth="1"/>
    <col min="14088" max="14088" width="6.77734375" style="1061" customWidth="1"/>
    <col min="14089" max="14089" width="5.21875" style="1061" customWidth="1"/>
    <col min="14090" max="14090" width="3.88671875" style="1061" customWidth="1"/>
    <col min="14091" max="14091" width="4.88671875" style="1061" customWidth="1"/>
    <col min="14092" max="14092" width="2.77734375" style="1061" customWidth="1"/>
    <col min="14093" max="14093" width="8.44140625" style="1061" customWidth="1"/>
    <col min="14094" max="14094" width="7.21875" style="1061" customWidth="1"/>
    <col min="14095" max="14095" width="5" style="1061" customWidth="1"/>
    <col min="14096" max="14336" width="8.88671875" style="1061"/>
    <col min="14337" max="14337" width="13" style="1061" customWidth="1"/>
    <col min="14338" max="14338" width="11.109375" style="1061" customWidth="1"/>
    <col min="14339" max="14339" width="6.77734375" style="1061" customWidth="1"/>
    <col min="14340" max="14340" width="4.21875" style="1061" customWidth="1"/>
    <col min="14341" max="14341" width="6" style="1061" customWidth="1"/>
    <col min="14342" max="14342" width="3.88671875" style="1061" customWidth="1"/>
    <col min="14343" max="14343" width="4.6640625" style="1061" customWidth="1"/>
    <col min="14344" max="14344" width="6.77734375" style="1061" customWidth="1"/>
    <col min="14345" max="14345" width="5.21875" style="1061" customWidth="1"/>
    <col min="14346" max="14346" width="3.88671875" style="1061" customWidth="1"/>
    <col min="14347" max="14347" width="4.88671875" style="1061" customWidth="1"/>
    <col min="14348" max="14348" width="2.77734375" style="1061" customWidth="1"/>
    <col min="14349" max="14349" width="8.44140625" style="1061" customWidth="1"/>
    <col min="14350" max="14350" width="7.21875" style="1061" customWidth="1"/>
    <col min="14351" max="14351" width="5" style="1061" customWidth="1"/>
    <col min="14352" max="14592" width="8.88671875" style="1061"/>
    <col min="14593" max="14593" width="13" style="1061" customWidth="1"/>
    <col min="14594" max="14594" width="11.109375" style="1061" customWidth="1"/>
    <col min="14595" max="14595" width="6.77734375" style="1061" customWidth="1"/>
    <col min="14596" max="14596" width="4.21875" style="1061" customWidth="1"/>
    <col min="14597" max="14597" width="6" style="1061" customWidth="1"/>
    <col min="14598" max="14598" width="3.88671875" style="1061" customWidth="1"/>
    <col min="14599" max="14599" width="4.6640625" style="1061" customWidth="1"/>
    <col min="14600" max="14600" width="6.77734375" style="1061" customWidth="1"/>
    <col min="14601" max="14601" width="5.21875" style="1061" customWidth="1"/>
    <col min="14602" max="14602" width="3.88671875" style="1061" customWidth="1"/>
    <col min="14603" max="14603" width="4.88671875" style="1061" customWidth="1"/>
    <col min="14604" max="14604" width="2.77734375" style="1061" customWidth="1"/>
    <col min="14605" max="14605" width="8.44140625" style="1061" customWidth="1"/>
    <col min="14606" max="14606" width="7.21875" style="1061" customWidth="1"/>
    <col min="14607" max="14607" width="5" style="1061" customWidth="1"/>
    <col min="14608" max="14848" width="8.88671875" style="1061"/>
    <col min="14849" max="14849" width="13" style="1061" customWidth="1"/>
    <col min="14850" max="14850" width="11.109375" style="1061" customWidth="1"/>
    <col min="14851" max="14851" width="6.77734375" style="1061" customWidth="1"/>
    <col min="14852" max="14852" width="4.21875" style="1061" customWidth="1"/>
    <col min="14853" max="14853" width="6" style="1061" customWidth="1"/>
    <col min="14854" max="14854" width="3.88671875" style="1061" customWidth="1"/>
    <col min="14855" max="14855" width="4.6640625" style="1061" customWidth="1"/>
    <col min="14856" max="14856" width="6.77734375" style="1061" customWidth="1"/>
    <col min="14857" max="14857" width="5.21875" style="1061" customWidth="1"/>
    <col min="14858" max="14858" width="3.88671875" style="1061" customWidth="1"/>
    <col min="14859" max="14859" width="4.88671875" style="1061" customWidth="1"/>
    <col min="14860" max="14860" width="2.77734375" style="1061" customWidth="1"/>
    <col min="14861" max="14861" width="8.44140625" style="1061" customWidth="1"/>
    <col min="14862" max="14862" width="7.21875" style="1061" customWidth="1"/>
    <col min="14863" max="14863" width="5" style="1061" customWidth="1"/>
    <col min="14864" max="15104" width="8.88671875" style="1061"/>
    <col min="15105" max="15105" width="13" style="1061" customWidth="1"/>
    <col min="15106" max="15106" width="11.109375" style="1061" customWidth="1"/>
    <col min="15107" max="15107" width="6.77734375" style="1061" customWidth="1"/>
    <col min="15108" max="15108" width="4.21875" style="1061" customWidth="1"/>
    <col min="15109" max="15109" width="6" style="1061" customWidth="1"/>
    <col min="15110" max="15110" width="3.88671875" style="1061" customWidth="1"/>
    <col min="15111" max="15111" width="4.6640625" style="1061" customWidth="1"/>
    <col min="15112" max="15112" width="6.77734375" style="1061" customWidth="1"/>
    <col min="15113" max="15113" width="5.21875" style="1061" customWidth="1"/>
    <col min="15114" max="15114" width="3.88671875" style="1061" customWidth="1"/>
    <col min="15115" max="15115" width="4.88671875" style="1061" customWidth="1"/>
    <col min="15116" max="15116" width="2.77734375" style="1061" customWidth="1"/>
    <col min="15117" max="15117" width="8.44140625" style="1061" customWidth="1"/>
    <col min="15118" max="15118" width="7.21875" style="1061" customWidth="1"/>
    <col min="15119" max="15119" width="5" style="1061" customWidth="1"/>
    <col min="15120" max="15360" width="8.88671875" style="1061"/>
    <col min="15361" max="15361" width="13" style="1061" customWidth="1"/>
    <col min="15362" max="15362" width="11.109375" style="1061" customWidth="1"/>
    <col min="15363" max="15363" width="6.77734375" style="1061" customWidth="1"/>
    <col min="15364" max="15364" width="4.21875" style="1061" customWidth="1"/>
    <col min="15365" max="15365" width="6" style="1061" customWidth="1"/>
    <col min="15366" max="15366" width="3.88671875" style="1061" customWidth="1"/>
    <col min="15367" max="15367" width="4.6640625" style="1061" customWidth="1"/>
    <col min="15368" max="15368" width="6.77734375" style="1061" customWidth="1"/>
    <col min="15369" max="15369" width="5.21875" style="1061" customWidth="1"/>
    <col min="15370" max="15370" width="3.88671875" style="1061" customWidth="1"/>
    <col min="15371" max="15371" width="4.88671875" style="1061" customWidth="1"/>
    <col min="15372" max="15372" width="2.77734375" style="1061" customWidth="1"/>
    <col min="15373" max="15373" width="8.44140625" style="1061" customWidth="1"/>
    <col min="15374" max="15374" width="7.21875" style="1061" customWidth="1"/>
    <col min="15375" max="15375" width="5" style="1061" customWidth="1"/>
    <col min="15376" max="15616" width="8.88671875" style="1061"/>
    <col min="15617" max="15617" width="13" style="1061" customWidth="1"/>
    <col min="15618" max="15618" width="11.109375" style="1061" customWidth="1"/>
    <col min="15619" max="15619" width="6.77734375" style="1061" customWidth="1"/>
    <col min="15620" max="15620" width="4.21875" style="1061" customWidth="1"/>
    <col min="15621" max="15621" width="6" style="1061" customWidth="1"/>
    <col min="15622" max="15622" width="3.88671875" style="1061" customWidth="1"/>
    <col min="15623" max="15623" width="4.6640625" style="1061" customWidth="1"/>
    <col min="15624" max="15624" width="6.77734375" style="1061" customWidth="1"/>
    <col min="15625" max="15625" width="5.21875" style="1061" customWidth="1"/>
    <col min="15626" max="15626" width="3.88671875" style="1061" customWidth="1"/>
    <col min="15627" max="15627" width="4.88671875" style="1061" customWidth="1"/>
    <col min="15628" max="15628" width="2.77734375" style="1061" customWidth="1"/>
    <col min="15629" max="15629" width="8.44140625" style="1061" customWidth="1"/>
    <col min="15630" max="15630" width="7.21875" style="1061" customWidth="1"/>
    <col min="15631" max="15631" width="5" style="1061" customWidth="1"/>
    <col min="15632" max="15872" width="8.88671875" style="1061"/>
    <col min="15873" max="15873" width="13" style="1061" customWidth="1"/>
    <col min="15874" max="15874" width="11.109375" style="1061" customWidth="1"/>
    <col min="15875" max="15875" width="6.77734375" style="1061" customWidth="1"/>
    <col min="15876" max="15876" width="4.21875" style="1061" customWidth="1"/>
    <col min="15877" max="15877" width="6" style="1061" customWidth="1"/>
    <col min="15878" max="15878" width="3.88671875" style="1061" customWidth="1"/>
    <col min="15879" max="15879" width="4.6640625" style="1061" customWidth="1"/>
    <col min="15880" max="15880" width="6.77734375" style="1061" customWidth="1"/>
    <col min="15881" max="15881" width="5.21875" style="1061" customWidth="1"/>
    <col min="15882" max="15882" width="3.88671875" style="1061" customWidth="1"/>
    <col min="15883" max="15883" width="4.88671875" style="1061" customWidth="1"/>
    <col min="15884" max="15884" width="2.77734375" style="1061" customWidth="1"/>
    <col min="15885" max="15885" width="8.44140625" style="1061" customWidth="1"/>
    <col min="15886" max="15886" width="7.21875" style="1061" customWidth="1"/>
    <col min="15887" max="15887" width="5" style="1061" customWidth="1"/>
    <col min="15888" max="16128" width="8.88671875" style="1061"/>
    <col min="16129" max="16129" width="13" style="1061" customWidth="1"/>
    <col min="16130" max="16130" width="11.109375" style="1061" customWidth="1"/>
    <col min="16131" max="16131" width="6.77734375" style="1061" customWidth="1"/>
    <col min="16132" max="16132" width="4.21875" style="1061" customWidth="1"/>
    <col min="16133" max="16133" width="6" style="1061" customWidth="1"/>
    <col min="16134" max="16134" width="3.88671875" style="1061" customWidth="1"/>
    <col min="16135" max="16135" width="4.6640625" style="1061" customWidth="1"/>
    <col min="16136" max="16136" width="6.77734375" style="1061" customWidth="1"/>
    <col min="16137" max="16137" width="5.21875" style="1061" customWidth="1"/>
    <col min="16138" max="16138" width="3.88671875" style="1061" customWidth="1"/>
    <col min="16139" max="16139" width="4.88671875" style="1061" customWidth="1"/>
    <col min="16140" max="16140" width="2.77734375" style="1061" customWidth="1"/>
    <col min="16141" max="16141" width="8.44140625" style="1061" customWidth="1"/>
    <col min="16142" max="16142" width="7.21875" style="1061" customWidth="1"/>
    <col min="16143" max="16143" width="5" style="1061" customWidth="1"/>
    <col min="16144" max="16384" width="8.88671875" style="1061"/>
  </cols>
  <sheetData>
    <row r="1" spans="1:23" ht="50.1" customHeight="1">
      <c r="A1" s="1443" t="s">
        <v>815</v>
      </c>
      <c r="B1" s="1443"/>
      <c r="C1" s="1443"/>
      <c r="D1" s="1443"/>
      <c r="E1" s="1443"/>
      <c r="F1" s="1443"/>
      <c r="G1" s="1443"/>
      <c r="H1" s="1443"/>
      <c r="I1" s="1443"/>
      <c r="J1" s="1443"/>
      <c r="K1" s="1443"/>
      <c r="L1" s="1443"/>
      <c r="M1" s="1443"/>
      <c r="N1" s="1443"/>
      <c r="O1" s="1443"/>
      <c r="P1" s="1060"/>
      <c r="Q1" s="1060"/>
      <c r="R1" s="1060"/>
      <c r="S1" s="1060"/>
      <c r="T1" s="1060"/>
      <c r="U1" s="1060"/>
      <c r="V1" s="1060"/>
      <c r="W1" s="1060"/>
    </row>
    <row r="2" spans="1:23" ht="18" customHeight="1">
      <c r="A2" s="1062"/>
      <c r="B2" s="1063"/>
      <c r="C2" s="1063"/>
      <c r="D2" s="1063"/>
      <c r="E2" s="1063"/>
      <c r="F2" s="1063"/>
      <c r="G2" s="1063"/>
      <c r="H2" s="1063"/>
      <c r="I2" s="1063"/>
      <c r="J2" s="1063"/>
      <c r="K2" s="1063"/>
      <c r="L2" s="1063"/>
      <c r="M2" s="1064" t="s">
        <v>365</v>
      </c>
      <c r="N2" s="1065">
        <f>'오수맨홀수량 및 평균높이'!J10</f>
        <v>2.4900000000000002</v>
      </c>
      <c r="O2" s="1066" t="s">
        <v>366</v>
      </c>
      <c r="P2" s="1067"/>
      <c r="Q2" s="1067"/>
      <c r="R2" s="1067"/>
      <c r="S2" s="1067"/>
      <c r="T2" s="1067"/>
      <c r="U2" s="1067"/>
      <c r="V2" s="1067"/>
      <c r="W2" s="1067"/>
    </row>
    <row r="3" spans="1:23" ht="18" customHeight="1">
      <c r="A3" s="1062"/>
      <c r="B3" s="1063"/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4"/>
      <c r="N3" s="1065"/>
      <c r="O3" s="1066"/>
      <c r="P3" s="1067"/>
      <c r="Q3" s="1067"/>
      <c r="R3" s="1067"/>
      <c r="S3" s="1067"/>
      <c r="T3" s="1067"/>
      <c r="U3" s="1067"/>
      <c r="V3" s="1067"/>
      <c r="W3" s="1067"/>
    </row>
    <row r="4" spans="1:23" ht="18" customHeight="1">
      <c r="A4" s="1062"/>
      <c r="B4" s="1068"/>
      <c r="C4" s="1068"/>
      <c r="D4" s="1068"/>
      <c r="E4" s="1068"/>
      <c r="F4" s="1068"/>
      <c r="G4" s="1068"/>
      <c r="H4" s="1068"/>
      <c r="I4" s="1068"/>
      <c r="J4" s="1068"/>
      <c r="K4" s="1068"/>
      <c r="L4" s="1068"/>
      <c r="M4" s="1069"/>
      <c r="N4" s="1063"/>
      <c r="O4" s="1070"/>
      <c r="P4" s="1067"/>
      <c r="Q4" s="1067"/>
      <c r="R4" s="1067"/>
      <c r="S4" s="1067"/>
      <c r="T4" s="1067"/>
      <c r="U4" s="1067"/>
      <c r="V4" s="1067"/>
      <c r="W4" s="1067"/>
    </row>
    <row r="5" spans="1:23" ht="18" customHeight="1">
      <c r="A5" s="1062"/>
      <c r="B5" s="1068"/>
      <c r="C5" s="1068"/>
      <c r="D5" s="1068"/>
      <c r="E5" s="1068"/>
      <c r="F5" s="1068"/>
      <c r="G5" s="1068"/>
      <c r="H5" s="1068"/>
      <c r="I5" s="1068"/>
      <c r="J5" s="1068"/>
      <c r="K5" s="1068"/>
      <c r="L5" s="1068"/>
      <c r="M5" s="1069"/>
      <c r="N5" s="1063"/>
      <c r="O5" s="1070"/>
      <c r="P5" s="1067"/>
      <c r="Q5" s="1067"/>
      <c r="R5" s="1067"/>
      <c r="S5" s="1067"/>
      <c r="T5" s="1067"/>
      <c r="U5" s="1067"/>
      <c r="V5" s="1067"/>
      <c r="W5" s="1067"/>
    </row>
    <row r="6" spans="1:23" ht="18" customHeight="1">
      <c r="A6" s="1062"/>
      <c r="B6" s="1068"/>
      <c r="C6" s="1068"/>
      <c r="D6" s="1068"/>
      <c r="E6" s="1068"/>
      <c r="F6" s="1068"/>
      <c r="G6" s="1068"/>
      <c r="H6" s="1068"/>
      <c r="I6" s="1068"/>
      <c r="J6" s="1068"/>
      <c r="K6" s="1068"/>
      <c r="L6" s="1068"/>
      <c r="M6" s="1069"/>
      <c r="N6" s="1063"/>
      <c r="O6" s="1070"/>
      <c r="P6" s="1067"/>
      <c r="Q6" s="1067"/>
      <c r="R6" s="1067"/>
      <c r="S6" s="1067"/>
      <c r="T6" s="1067"/>
      <c r="U6" s="1067"/>
      <c r="V6" s="1067"/>
      <c r="W6" s="1067"/>
    </row>
    <row r="7" spans="1:23" ht="18" customHeight="1">
      <c r="A7" s="1062"/>
      <c r="B7" s="1068"/>
      <c r="C7" s="1068"/>
      <c r="D7" s="1068"/>
      <c r="E7" s="1068"/>
      <c r="F7" s="1068"/>
      <c r="G7" s="1068"/>
      <c r="H7" s="1068"/>
      <c r="I7" s="1068"/>
      <c r="J7" s="1068"/>
      <c r="K7" s="1068"/>
      <c r="L7" s="1068"/>
      <c r="M7" s="1069"/>
      <c r="N7" s="1063"/>
      <c r="O7" s="1070"/>
      <c r="P7" s="1067"/>
      <c r="Q7" s="1067"/>
      <c r="R7" s="1067"/>
      <c r="S7" s="1067"/>
      <c r="T7" s="1067"/>
      <c r="U7" s="1067"/>
      <c r="V7" s="1067"/>
      <c r="W7" s="1067"/>
    </row>
    <row r="8" spans="1:23" ht="18" customHeight="1">
      <c r="A8" s="1062"/>
      <c r="B8" s="1068"/>
      <c r="C8" s="1068"/>
      <c r="D8" s="1068"/>
      <c r="E8" s="1068"/>
      <c r="F8" s="1068"/>
      <c r="G8" s="1068"/>
      <c r="H8" s="1068"/>
      <c r="I8" s="1068"/>
      <c r="J8" s="1068"/>
      <c r="K8" s="1068"/>
      <c r="L8" s="1068"/>
      <c r="M8" s="1069"/>
      <c r="N8" s="1063"/>
      <c r="O8" s="1070"/>
      <c r="P8" s="1067"/>
      <c r="Q8" s="1067"/>
      <c r="R8" s="1067"/>
      <c r="S8" s="1067"/>
      <c r="T8" s="1067"/>
      <c r="U8" s="1067"/>
      <c r="V8" s="1067"/>
      <c r="W8" s="1067"/>
    </row>
    <row r="9" spans="1:23" ht="18" customHeight="1">
      <c r="A9" s="1062"/>
      <c r="B9" s="1068"/>
      <c r="C9" s="1068"/>
      <c r="D9" s="1068"/>
      <c r="E9" s="1068"/>
      <c r="F9" s="1068"/>
      <c r="G9" s="1068"/>
      <c r="H9" s="1068"/>
      <c r="I9" s="1068"/>
      <c r="J9" s="1068"/>
      <c r="K9" s="1068"/>
      <c r="L9" s="1068"/>
      <c r="M9" s="1069"/>
      <c r="N9" s="1063"/>
      <c r="O9" s="1070"/>
      <c r="P9" s="1067"/>
      <c r="Q9" s="1067"/>
      <c r="R9" s="1067"/>
      <c r="S9" s="1067"/>
      <c r="T9" s="1067"/>
      <c r="U9" s="1067"/>
      <c r="V9" s="1067"/>
      <c r="W9" s="1067"/>
    </row>
    <row r="10" spans="1:23" ht="18" customHeight="1">
      <c r="A10" s="1062"/>
      <c r="B10" s="1068"/>
      <c r="C10" s="1068"/>
      <c r="D10" s="1068"/>
      <c r="E10" s="1068"/>
      <c r="F10" s="1068"/>
      <c r="G10" s="1068"/>
      <c r="H10" s="1068"/>
      <c r="I10" s="1068"/>
      <c r="J10" s="1068"/>
      <c r="K10" s="1068"/>
      <c r="L10" s="1068"/>
      <c r="M10" s="1069"/>
      <c r="N10" s="1063"/>
      <c r="O10" s="1070"/>
      <c r="P10" s="1067"/>
      <c r="Q10" s="1067"/>
      <c r="R10" s="1067"/>
      <c r="S10" s="1067"/>
      <c r="T10" s="1067"/>
      <c r="U10" s="1067"/>
      <c r="V10" s="1067"/>
      <c r="W10" s="1067"/>
    </row>
    <row r="11" spans="1:23" ht="18" customHeight="1">
      <c r="A11" s="1062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9"/>
      <c r="N11" s="1063"/>
      <c r="O11" s="1070"/>
      <c r="P11" s="1067"/>
      <c r="Q11" s="1067"/>
      <c r="R11" s="1067"/>
      <c r="S11" s="1067"/>
      <c r="T11" s="1067"/>
      <c r="U11" s="1067"/>
      <c r="V11" s="1067"/>
      <c r="W11" s="1067"/>
    </row>
    <row r="12" spans="1:23" ht="18" customHeight="1">
      <c r="A12" s="1062"/>
      <c r="B12" s="1068"/>
      <c r="C12" s="1068"/>
      <c r="D12" s="1068"/>
      <c r="E12" s="1068"/>
      <c r="F12" s="1068"/>
      <c r="G12" s="1068"/>
      <c r="H12" s="1068"/>
      <c r="I12" s="1068"/>
      <c r="J12" s="1068"/>
      <c r="K12" s="1068"/>
      <c r="L12" s="1068"/>
      <c r="M12" s="1069"/>
      <c r="N12" s="1063"/>
      <c r="O12" s="1070"/>
      <c r="P12" s="1067"/>
      <c r="Q12" s="1067"/>
      <c r="R12" s="1067"/>
      <c r="S12" s="1067"/>
      <c r="T12" s="1067"/>
      <c r="U12" s="1067"/>
      <c r="V12" s="1067"/>
      <c r="W12" s="1067"/>
    </row>
    <row r="13" spans="1:23" ht="18" customHeight="1">
      <c r="A13" s="1062"/>
      <c r="B13" s="1068"/>
      <c r="C13" s="1068"/>
      <c r="D13" s="1068"/>
      <c r="E13" s="1068"/>
      <c r="F13" s="1068"/>
      <c r="G13" s="1068"/>
      <c r="H13" s="1068"/>
      <c r="I13" s="1068"/>
      <c r="J13" s="1068"/>
      <c r="K13" s="1068"/>
      <c r="L13" s="1068"/>
      <c r="M13" s="1069"/>
      <c r="N13" s="1063"/>
      <c r="O13" s="1070"/>
      <c r="P13" s="1067"/>
      <c r="Q13" s="1067"/>
      <c r="R13" s="1067"/>
      <c r="S13" s="1067"/>
      <c r="T13" s="1067"/>
      <c r="U13" s="1067"/>
      <c r="V13" s="1067"/>
      <c r="W13" s="1067"/>
    </row>
    <row r="14" spans="1:23" ht="18" customHeight="1">
      <c r="A14" s="1062"/>
      <c r="B14" s="1068"/>
      <c r="C14" s="1068"/>
      <c r="D14" s="1068"/>
      <c r="E14" s="1068"/>
      <c r="F14" s="1068"/>
      <c r="G14" s="1068"/>
      <c r="H14" s="1068"/>
      <c r="I14" s="1068"/>
      <c r="J14" s="1068"/>
      <c r="K14" s="1068"/>
      <c r="L14" s="1068"/>
      <c r="M14" s="1069"/>
      <c r="N14" s="1063"/>
      <c r="O14" s="1070"/>
      <c r="P14" s="1067"/>
      <c r="Q14" s="1067"/>
      <c r="R14" s="1067"/>
      <c r="S14" s="1067"/>
      <c r="T14" s="1067"/>
      <c r="U14" s="1067"/>
      <c r="V14" s="1067"/>
      <c r="W14" s="1067"/>
    </row>
    <row r="15" spans="1:23" ht="18" customHeight="1">
      <c r="A15" s="1062"/>
      <c r="B15" s="1068"/>
      <c r="C15" s="1068"/>
      <c r="D15" s="1068"/>
      <c r="E15" s="1068"/>
      <c r="F15" s="1068"/>
      <c r="G15" s="1068"/>
      <c r="H15" s="1068"/>
      <c r="I15" s="1068"/>
      <c r="J15" s="1068"/>
      <c r="K15" s="1068"/>
      <c r="L15" s="1068"/>
      <c r="M15" s="1069"/>
      <c r="N15" s="1063"/>
      <c r="O15" s="1070"/>
      <c r="P15" s="1067"/>
      <c r="Q15" s="1067"/>
      <c r="R15" s="1067"/>
      <c r="S15" s="1067"/>
      <c r="T15" s="1067"/>
      <c r="U15" s="1067"/>
      <c r="V15" s="1067"/>
      <c r="W15" s="1067"/>
    </row>
    <row r="16" spans="1:23" ht="18" customHeight="1">
      <c r="A16" s="1062"/>
      <c r="B16" s="1068"/>
      <c r="C16" s="1068"/>
      <c r="D16" s="1068"/>
      <c r="E16" s="1068"/>
      <c r="F16" s="1068"/>
      <c r="G16" s="1068"/>
      <c r="H16" s="1068"/>
      <c r="I16" s="1068"/>
      <c r="J16" s="1068"/>
      <c r="K16" s="1068"/>
      <c r="L16" s="1068"/>
      <c r="M16" s="1069"/>
      <c r="N16" s="1063"/>
      <c r="O16" s="1070"/>
      <c r="P16" s="1067"/>
      <c r="Q16" s="1067"/>
      <c r="R16" s="1067"/>
      <c r="S16" s="1067"/>
      <c r="T16" s="1067"/>
      <c r="U16" s="1067"/>
      <c r="V16" s="1067"/>
      <c r="W16" s="1067"/>
    </row>
    <row r="17" spans="1:23" ht="18" customHeight="1">
      <c r="A17" s="1062"/>
      <c r="B17" s="1068"/>
      <c r="C17" s="1068"/>
      <c r="D17" s="1068"/>
      <c r="E17" s="1068"/>
      <c r="F17" s="1068"/>
      <c r="G17" s="1068"/>
      <c r="H17" s="1068"/>
      <c r="I17" s="1068"/>
      <c r="J17" s="1068"/>
      <c r="K17" s="1068"/>
      <c r="L17" s="1068"/>
      <c r="M17" s="1069"/>
      <c r="N17" s="1063"/>
      <c r="O17" s="1070"/>
      <c r="P17" s="1067"/>
      <c r="Q17" s="1067"/>
      <c r="R17" s="1067"/>
      <c r="S17" s="1067"/>
      <c r="T17" s="1067"/>
      <c r="U17" s="1067"/>
      <c r="V17" s="1067"/>
      <c r="W17" s="1067"/>
    </row>
    <row r="18" spans="1:23" ht="18" customHeight="1">
      <c r="A18" s="1062"/>
      <c r="B18" s="1068"/>
      <c r="C18" s="1068"/>
      <c r="D18" s="1068"/>
      <c r="E18" s="1068"/>
      <c r="F18" s="1068"/>
      <c r="G18" s="1068"/>
      <c r="H18" s="1068"/>
      <c r="I18" s="1068"/>
      <c r="J18" s="1068"/>
      <c r="K18" s="1068"/>
      <c r="L18" s="1068"/>
      <c r="M18" s="1069"/>
      <c r="N18" s="1063"/>
      <c r="O18" s="1070"/>
      <c r="P18" s="1067"/>
      <c r="Q18" s="1067"/>
      <c r="R18" s="1067"/>
      <c r="S18" s="1067"/>
      <c r="T18" s="1067"/>
      <c r="U18" s="1067"/>
      <c r="V18" s="1067"/>
      <c r="W18" s="1067"/>
    </row>
    <row r="19" spans="1:23" ht="18" customHeight="1">
      <c r="A19" s="1062"/>
      <c r="B19" s="1068"/>
      <c r="C19" s="1068"/>
      <c r="D19" s="1068"/>
      <c r="E19" s="1068"/>
      <c r="F19" s="1068"/>
      <c r="G19" s="1068"/>
      <c r="H19" s="1068"/>
      <c r="I19" s="1068"/>
      <c r="J19" s="1068"/>
      <c r="K19" s="1068"/>
      <c r="L19" s="1068"/>
      <c r="M19" s="1069"/>
      <c r="N19" s="1063"/>
      <c r="O19" s="1070"/>
      <c r="P19" s="1067"/>
      <c r="Q19" s="1067"/>
      <c r="R19" s="1067"/>
      <c r="S19" s="1067"/>
      <c r="T19" s="1067"/>
      <c r="U19" s="1067"/>
      <c r="V19" s="1067"/>
      <c r="W19" s="1067"/>
    </row>
    <row r="20" spans="1:23" ht="18" customHeight="1">
      <c r="A20" s="1062"/>
      <c r="B20" s="1068"/>
      <c r="C20" s="1068"/>
      <c r="D20" s="1068"/>
      <c r="E20" s="1068"/>
      <c r="F20" s="1068"/>
      <c r="G20" s="1068"/>
      <c r="H20" s="1068"/>
      <c r="I20" s="1068"/>
      <c r="J20" s="1068"/>
      <c r="K20" s="1068"/>
      <c r="L20" s="1068"/>
      <c r="M20" s="1069"/>
      <c r="N20" s="1063"/>
      <c r="O20" s="1070"/>
      <c r="P20" s="1067"/>
      <c r="Q20" s="1067"/>
      <c r="R20" s="1067"/>
      <c r="S20" s="1067"/>
      <c r="T20" s="1067"/>
      <c r="U20" s="1067"/>
      <c r="V20" s="1067"/>
      <c r="W20" s="1067"/>
    </row>
    <row r="21" spans="1:23" ht="18" customHeight="1">
      <c r="A21" s="1062"/>
      <c r="B21" s="1068"/>
      <c r="C21" s="1068"/>
      <c r="D21" s="1068"/>
      <c r="E21" s="1068"/>
      <c r="F21" s="1068"/>
      <c r="G21" s="1068"/>
      <c r="H21" s="1068"/>
      <c r="I21" s="1068"/>
      <c r="J21" s="1068"/>
      <c r="K21" s="1068"/>
      <c r="L21" s="1068"/>
      <c r="M21" s="1069"/>
      <c r="N21" s="1063"/>
      <c r="O21" s="1070"/>
      <c r="P21" s="1067"/>
      <c r="Q21" s="1067"/>
      <c r="R21" s="1067"/>
      <c r="S21" s="1067"/>
      <c r="T21" s="1067"/>
      <c r="U21" s="1067"/>
      <c r="V21" s="1067"/>
      <c r="W21" s="1067"/>
    </row>
    <row r="22" spans="1:23" ht="18" customHeight="1">
      <c r="A22" s="1062"/>
      <c r="B22" s="1068"/>
      <c r="C22" s="1068"/>
      <c r="D22" s="1068"/>
      <c r="E22" s="1068"/>
      <c r="F22" s="1068"/>
      <c r="G22" s="1068"/>
      <c r="H22" s="1068"/>
      <c r="I22" s="1068"/>
      <c r="J22" s="1068"/>
      <c r="K22" s="1068"/>
      <c r="L22" s="1068"/>
      <c r="M22" s="1069"/>
      <c r="N22" s="1063"/>
      <c r="O22" s="1070"/>
      <c r="P22" s="1067"/>
      <c r="Q22" s="1067"/>
      <c r="R22" s="1067"/>
      <c r="S22" s="1067"/>
      <c r="T22" s="1067"/>
      <c r="U22" s="1067"/>
      <c r="V22" s="1067"/>
      <c r="W22" s="1067"/>
    </row>
    <row r="23" spans="1:23" ht="18" customHeight="1">
      <c r="A23" s="1062"/>
      <c r="B23" s="1068"/>
      <c r="C23" s="1068"/>
      <c r="D23" s="1068"/>
      <c r="E23" s="1068"/>
      <c r="F23" s="1068"/>
      <c r="G23" s="1068"/>
      <c r="H23" s="1068"/>
      <c r="I23" s="1068"/>
      <c r="J23" s="1068"/>
      <c r="K23" s="1068"/>
      <c r="L23" s="1068"/>
      <c r="M23" s="1069"/>
      <c r="N23" s="1063"/>
      <c r="O23" s="1070"/>
      <c r="P23" s="1067"/>
      <c r="Q23" s="1067"/>
      <c r="R23" s="1067"/>
      <c r="S23" s="1067"/>
      <c r="T23" s="1067"/>
      <c r="U23" s="1067"/>
      <c r="V23" s="1067"/>
      <c r="W23" s="1067"/>
    </row>
    <row r="24" spans="1:23" ht="18" customHeight="1">
      <c r="A24" s="1062"/>
      <c r="B24" s="1068"/>
      <c r="C24" s="1068"/>
      <c r="D24" s="1068"/>
      <c r="E24" s="1068"/>
      <c r="F24" s="1068"/>
      <c r="G24" s="1068"/>
      <c r="H24" s="1068"/>
      <c r="I24" s="1068"/>
      <c r="J24" s="1068"/>
      <c r="K24" s="1068"/>
      <c r="L24" s="1068"/>
      <c r="M24" s="1069"/>
      <c r="N24" s="1063"/>
      <c r="O24" s="1070"/>
      <c r="P24" s="1067"/>
      <c r="Q24" s="1067"/>
      <c r="R24" s="1067"/>
      <c r="S24" s="1067"/>
      <c r="T24" s="1067"/>
      <c r="U24" s="1067"/>
      <c r="V24" s="1067"/>
      <c r="W24" s="1067"/>
    </row>
    <row r="25" spans="1:23" ht="18.75" customHeight="1">
      <c r="A25" s="1062"/>
      <c r="B25" s="1068"/>
      <c r="C25" s="1068"/>
      <c r="D25" s="1068"/>
      <c r="E25" s="1068"/>
      <c r="F25" s="1068"/>
      <c r="G25" s="1068"/>
      <c r="H25" s="1068"/>
      <c r="I25" s="1068"/>
      <c r="J25" s="1068"/>
      <c r="K25" s="1068"/>
      <c r="L25" s="1068"/>
      <c r="M25" s="1069"/>
      <c r="N25" s="1063"/>
      <c r="O25" s="1070"/>
      <c r="P25" s="1067"/>
      <c r="Q25" s="1067"/>
      <c r="R25" s="1067"/>
      <c r="S25" s="1067"/>
      <c r="T25" s="1067"/>
      <c r="U25" s="1067"/>
      <c r="V25" s="1067"/>
      <c r="W25" s="1067"/>
    </row>
    <row r="26" spans="1:23" ht="18" customHeight="1">
      <c r="A26" s="1427" t="s">
        <v>367</v>
      </c>
      <c r="B26" s="1428"/>
      <c r="C26" s="1428"/>
      <c r="D26" s="1428"/>
      <c r="E26" s="1428"/>
      <c r="F26" s="1428"/>
      <c r="G26" s="1428"/>
      <c r="H26" s="1428"/>
      <c r="I26" s="1068"/>
      <c r="J26" s="1068"/>
      <c r="K26" s="1068"/>
      <c r="L26" s="1068"/>
      <c r="M26" s="1069"/>
      <c r="N26" s="1063"/>
      <c r="O26" s="1070"/>
      <c r="P26" s="1067"/>
      <c r="Q26" s="1067"/>
      <c r="R26" s="1067"/>
      <c r="S26" s="1067"/>
      <c r="T26" s="1067"/>
      <c r="U26" s="1067"/>
      <c r="V26" s="1067"/>
      <c r="W26" s="1067"/>
    </row>
    <row r="27" spans="1:23" ht="18" customHeight="1">
      <c r="A27" s="1427"/>
      <c r="B27" s="1428"/>
      <c r="C27" s="1428"/>
      <c r="D27" s="1428"/>
      <c r="E27" s="1428"/>
      <c r="F27" s="1428"/>
      <c r="G27" s="1428"/>
      <c r="H27" s="1428"/>
      <c r="I27" s="1068"/>
      <c r="J27" s="1068"/>
      <c r="K27" s="1068"/>
      <c r="L27" s="1068"/>
      <c r="M27" s="1069"/>
      <c r="N27" s="1063"/>
      <c r="O27" s="1070"/>
      <c r="P27" s="1067"/>
      <c r="Q27" s="1067"/>
      <c r="R27" s="1067"/>
      <c r="S27" s="1067"/>
      <c r="T27" s="1067"/>
      <c r="U27" s="1067"/>
      <c r="V27" s="1067"/>
      <c r="W27" s="1067"/>
    </row>
    <row r="28" spans="1:23" ht="35.1" customHeight="1">
      <c r="A28" s="1062"/>
      <c r="B28" s="1068"/>
      <c r="C28" s="1068"/>
      <c r="D28" s="1068"/>
      <c r="E28" s="1068"/>
      <c r="F28" s="1068"/>
      <c r="G28" s="1068"/>
      <c r="H28" s="1068"/>
      <c r="I28" s="1068"/>
      <c r="J28" s="1068"/>
      <c r="K28" s="1068"/>
      <c r="L28" s="1068"/>
      <c r="M28" s="1069"/>
      <c r="N28" s="1063" t="s">
        <v>368</v>
      </c>
      <c r="O28" s="1070"/>
      <c r="P28" s="1067"/>
      <c r="Q28" s="1067"/>
      <c r="R28" s="1067"/>
      <c r="S28" s="1067"/>
      <c r="T28" s="1067"/>
      <c r="U28" s="1067"/>
      <c r="V28" s="1067"/>
      <c r="W28" s="1067"/>
    </row>
    <row r="29" spans="1:23" ht="35.1" customHeight="1">
      <c r="A29" s="1429" t="s">
        <v>369</v>
      </c>
      <c r="B29" s="1430"/>
      <c r="C29" s="1431" t="s">
        <v>370</v>
      </c>
      <c r="D29" s="1431"/>
      <c r="E29" s="1431"/>
      <c r="F29" s="1431"/>
      <c r="G29" s="1431"/>
      <c r="H29" s="1431"/>
      <c r="I29" s="1431"/>
      <c r="J29" s="1431"/>
      <c r="K29" s="1431"/>
      <c r="L29" s="1431"/>
      <c r="M29" s="1431"/>
      <c r="N29" s="1429" t="s">
        <v>371</v>
      </c>
      <c r="O29" s="1433"/>
      <c r="P29" s="1067"/>
      <c r="Q29" s="1067"/>
      <c r="R29" s="1067"/>
      <c r="S29" s="1067"/>
      <c r="T29" s="1067"/>
      <c r="U29" s="1067"/>
      <c r="V29" s="1067"/>
      <c r="W29" s="1067"/>
    </row>
    <row r="30" spans="1:23" ht="20.100000000000001" customHeight="1">
      <c r="A30" s="1434" t="s">
        <v>372</v>
      </c>
      <c r="B30" s="1071" t="s">
        <v>373</v>
      </c>
      <c r="C30" s="1072"/>
      <c r="D30" s="1073"/>
      <c r="E30" s="1073"/>
      <c r="F30" s="1073"/>
      <c r="G30" s="1074"/>
      <c r="H30" s="1074"/>
      <c r="I30" s="1073"/>
      <c r="J30" s="1073"/>
      <c r="K30" s="1075"/>
      <c r="L30" s="1076"/>
      <c r="M30" s="1077"/>
      <c r="N30" s="1437" t="s">
        <v>374</v>
      </c>
      <c r="O30" s="1438"/>
      <c r="P30" s="1067"/>
      <c r="Q30" s="1067"/>
      <c r="R30" s="1067"/>
      <c r="S30" s="1067"/>
      <c r="T30" s="1067"/>
      <c r="U30" s="1067"/>
      <c r="V30" s="1067"/>
      <c r="W30" s="1067"/>
    </row>
    <row r="31" spans="1:23" ht="20.100000000000001" customHeight="1">
      <c r="A31" s="1435"/>
      <c r="B31" s="1071" t="s">
        <v>375</v>
      </c>
      <c r="C31" s="1072"/>
      <c r="D31" s="1073"/>
      <c r="E31" s="1073"/>
      <c r="F31" s="1073"/>
      <c r="G31" s="1078"/>
      <c r="H31" s="1078"/>
      <c r="I31" s="1073"/>
      <c r="J31" s="1073"/>
      <c r="K31" s="1075"/>
      <c r="L31" s="1076"/>
      <c r="M31" s="1077"/>
      <c r="N31" s="1439"/>
      <c r="O31" s="1440"/>
      <c r="P31" s="1079"/>
      <c r="Q31" s="1067"/>
      <c r="R31" s="1067"/>
      <c r="S31" s="1067"/>
      <c r="T31" s="1067"/>
      <c r="U31" s="1067"/>
      <c r="V31" s="1067"/>
      <c r="W31" s="1067"/>
    </row>
    <row r="32" spans="1:23" ht="20.100000000000001" customHeight="1">
      <c r="A32" s="1436"/>
      <c r="B32" s="1071" t="s">
        <v>376</v>
      </c>
      <c r="C32" s="1072"/>
      <c r="D32" s="1073"/>
      <c r="E32" s="1073"/>
      <c r="F32" s="1073"/>
      <c r="G32" s="1078"/>
      <c r="H32" s="1078"/>
      <c r="I32" s="1073"/>
      <c r="J32" s="1073"/>
      <c r="K32" s="1075"/>
      <c r="L32" s="1076"/>
      <c r="M32" s="1077"/>
      <c r="N32" s="1441"/>
      <c r="O32" s="1442"/>
      <c r="P32" s="1079"/>
      <c r="Q32" s="1067"/>
      <c r="R32" s="1067"/>
      <c r="S32" s="1067"/>
      <c r="T32" s="1067"/>
      <c r="U32" s="1067"/>
      <c r="V32" s="1067"/>
      <c r="W32" s="1067"/>
    </row>
    <row r="33" spans="1:23" ht="44.25" customHeight="1">
      <c r="A33" s="1080" t="s">
        <v>377</v>
      </c>
      <c r="B33" s="1081" t="s">
        <v>378</v>
      </c>
      <c r="C33" s="1421" t="s">
        <v>890</v>
      </c>
      <c r="D33" s="1422"/>
      <c r="E33" s="1422"/>
      <c r="F33" s="1422"/>
      <c r="G33" s="1422"/>
      <c r="H33" s="1422"/>
      <c r="I33" s="1422"/>
      <c r="J33" s="1422"/>
      <c r="K33" s="1423"/>
      <c r="L33" s="1082" t="s">
        <v>379</v>
      </c>
      <c r="M33" s="1083">
        <f>(((PI()*0.82^2)-(PI()*0.698^2))/4*0.072)/2+(((PI()*1^2)-(PI()*0.82^2))/4*0.07)+(((PI()*1^2)-(PI()*0.6^2))/4*0.1)</f>
        <v>7.3512526678134932E-2</v>
      </c>
      <c r="N33" s="1084">
        <f>M33</f>
        <v>7.3512526678134932E-2</v>
      </c>
      <c r="O33" s="1085" t="s">
        <v>380</v>
      </c>
      <c r="P33" s="1079"/>
      <c r="Q33" s="1086"/>
      <c r="R33" s="1086"/>
      <c r="S33" s="1067"/>
      <c r="T33" s="1067"/>
      <c r="U33" s="1086"/>
      <c r="V33" s="1086"/>
      <c r="W33" s="1086"/>
    </row>
    <row r="34" spans="1:23" ht="35.1" customHeight="1">
      <c r="A34" s="1080" t="s">
        <v>381</v>
      </c>
      <c r="B34" s="1071" t="s">
        <v>1069</v>
      </c>
      <c r="C34" s="1422" t="s">
        <v>637</v>
      </c>
      <c r="D34" s="1422"/>
      <c r="E34" s="1422"/>
      <c r="F34" s="1422"/>
      <c r="G34" s="1422"/>
      <c r="H34" s="1422"/>
      <c r="I34" s="1422"/>
      <c r="J34" s="1422"/>
      <c r="K34" s="1423"/>
      <c r="L34" s="1082" t="s">
        <v>379</v>
      </c>
      <c r="M34" s="1087">
        <v>1</v>
      </c>
      <c r="N34" s="1090">
        <v>1</v>
      </c>
      <c r="O34" s="1085" t="s">
        <v>382</v>
      </c>
      <c r="P34" s="1060"/>
      <c r="Q34" s="1086"/>
      <c r="R34" s="1086"/>
      <c r="S34" s="1086"/>
      <c r="T34" s="1086"/>
      <c r="U34" s="1086"/>
      <c r="V34" s="1086"/>
      <c r="W34" s="1086"/>
    </row>
    <row r="35" spans="1:23" s="1093" customFormat="1" ht="35.1" customHeight="1">
      <c r="A35" s="1088" t="s">
        <v>964</v>
      </c>
      <c r="B35" s="1089" t="s">
        <v>965</v>
      </c>
      <c r="C35" s="1422" t="s">
        <v>967</v>
      </c>
      <c r="D35" s="1422"/>
      <c r="E35" s="1422"/>
      <c r="F35" s="1422"/>
      <c r="G35" s="1422"/>
      <c r="H35" s="1422"/>
      <c r="I35" s="1422"/>
      <c r="J35" s="1422"/>
      <c r="K35" s="1423"/>
      <c r="L35" s="1076" t="s">
        <v>379</v>
      </c>
      <c r="M35" s="1077">
        <v>3</v>
      </c>
      <c r="N35" s="1090">
        <f>M35</f>
        <v>3</v>
      </c>
      <c r="O35" s="1085" t="s">
        <v>966</v>
      </c>
      <c r="P35" s="1091"/>
      <c r="Q35" s="1092"/>
      <c r="R35" s="1092"/>
      <c r="S35" s="1092"/>
      <c r="T35" s="1092"/>
      <c r="U35" s="1092"/>
      <c r="V35" s="1092"/>
      <c r="W35" s="1092"/>
    </row>
    <row r="36" spans="1:23" s="1093" customFormat="1" ht="35.1" customHeight="1">
      <c r="A36" s="1088" t="s">
        <v>1075</v>
      </c>
      <c r="B36" s="1089" t="s">
        <v>1066</v>
      </c>
      <c r="C36" s="1432" t="s">
        <v>1071</v>
      </c>
      <c r="D36" s="1422"/>
      <c r="E36" s="1422"/>
      <c r="F36" s="1422"/>
      <c r="G36" s="1422"/>
      <c r="H36" s="1422"/>
      <c r="I36" s="1422"/>
      <c r="J36" s="1422"/>
      <c r="K36" s="1423"/>
      <c r="L36" s="1076" t="s">
        <v>1067</v>
      </c>
      <c r="M36" s="1094">
        <f>ROUND(((648+20+20)/1000)*PI(),3)</f>
        <v>2.161</v>
      </c>
      <c r="N36" s="1084">
        <f>M36</f>
        <v>2.161</v>
      </c>
      <c r="O36" s="1085" t="s">
        <v>1068</v>
      </c>
      <c r="P36" s="1091"/>
      <c r="Q36" s="1092"/>
      <c r="R36" s="1092"/>
      <c r="S36" s="1092"/>
      <c r="T36" s="1092"/>
      <c r="U36" s="1092"/>
      <c r="V36" s="1092"/>
      <c r="W36" s="1092"/>
    </row>
    <row r="37" spans="1:23" s="1093" customFormat="1" ht="35.1" customHeight="1">
      <c r="A37" s="1095" t="s">
        <v>955</v>
      </c>
      <c r="B37" s="1089" t="s">
        <v>956</v>
      </c>
      <c r="C37" s="1422" t="s">
        <v>1070</v>
      </c>
      <c r="D37" s="1422"/>
      <c r="E37" s="1422"/>
      <c r="F37" s="1422"/>
      <c r="G37" s="1422"/>
      <c r="H37" s="1422"/>
      <c r="I37" s="1422"/>
      <c r="J37" s="1422"/>
      <c r="K37" s="1423"/>
      <c r="L37" s="1076" t="s">
        <v>379</v>
      </c>
      <c r="M37" s="1094">
        <f>ROUND(PI()*1.3^2/4*0.2,2)</f>
        <v>0.27</v>
      </c>
      <c r="N37" s="1084">
        <f>M37</f>
        <v>0.27</v>
      </c>
      <c r="O37" s="1085" t="s">
        <v>957</v>
      </c>
      <c r="P37" s="1091"/>
      <c r="Q37" s="1092"/>
      <c r="R37" s="1092"/>
      <c r="S37" s="1092"/>
      <c r="T37" s="1092"/>
      <c r="U37" s="1092"/>
      <c r="V37" s="1092"/>
      <c r="W37" s="1092"/>
    </row>
    <row r="38" spans="1:23" ht="35.1" customHeight="1">
      <c r="A38" s="1096" t="s">
        <v>388</v>
      </c>
      <c r="B38" s="1097" t="s">
        <v>389</v>
      </c>
      <c r="C38" s="1424" t="s">
        <v>891</v>
      </c>
      <c r="D38" s="1425"/>
      <c r="E38" s="1425"/>
      <c r="F38" s="1425"/>
      <c r="G38" s="1425"/>
      <c r="H38" s="1425"/>
      <c r="I38" s="1425"/>
      <c r="J38" s="1425"/>
      <c r="K38" s="1426"/>
      <c r="L38" s="1098" t="s">
        <v>17</v>
      </c>
      <c r="M38" s="1099">
        <f>ROUND((((PI()*1)+(PI()*0.6)))*0.1,2)</f>
        <v>0.5</v>
      </c>
      <c r="N38" s="1100">
        <f>M38</f>
        <v>0.5</v>
      </c>
      <c r="O38" s="1101" t="s">
        <v>19</v>
      </c>
      <c r="P38" s="1079"/>
      <c r="Q38" s="1086"/>
      <c r="R38" s="1086"/>
      <c r="S38" s="1086"/>
      <c r="T38" s="1086"/>
      <c r="U38" s="1086"/>
      <c r="V38" s="1086"/>
      <c r="W38" s="1086"/>
    </row>
    <row r="39" spans="1:23" ht="50.1" customHeight="1">
      <c r="A39" s="1443" t="s">
        <v>816</v>
      </c>
      <c r="B39" s="1443"/>
      <c r="C39" s="1443"/>
      <c r="D39" s="1443"/>
      <c r="E39" s="1443"/>
      <c r="F39" s="1443"/>
      <c r="G39" s="1443"/>
      <c r="H39" s="1443"/>
      <c r="I39" s="1443"/>
      <c r="J39" s="1443"/>
      <c r="K39" s="1443"/>
      <c r="L39" s="1443"/>
      <c r="M39" s="1443"/>
      <c r="N39" s="1443"/>
      <c r="O39" s="1443"/>
      <c r="P39" s="1067"/>
      <c r="Q39" s="1067"/>
      <c r="R39" s="1067"/>
      <c r="S39" s="1067"/>
      <c r="T39" s="1067"/>
      <c r="U39" s="1067"/>
      <c r="V39" s="1067"/>
      <c r="W39" s="1067"/>
    </row>
    <row r="40" spans="1:23" ht="18" customHeight="1">
      <c r="A40" s="1062"/>
      <c r="B40" s="1063"/>
      <c r="C40" s="1063"/>
      <c r="D40" s="1063"/>
      <c r="E40" s="1063"/>
      <c r="F40" s="1063"/>
      <c r="G40" s="1063"/>
      <c r="H40" s="1063"/>
      <c r="I40" s="1063"/>
      <c r="J40" s="1063"/>
      <c r="K40" s="1063"/>
      <c r="L40" s="1063"/>
      <c r="M40" s="1064" t="s">
        <v>365</v>
      </c>
      <c r="N40" s="1065">
        <f>'오수맨홀수량 및 평균높이'!J9</f>
        <v>4.25</v>
      </c>
      <c r="O40" s="1066" t="s">
        <v>366</v>
      </c>
      <c r="P40" s="1067"/>
      <c r="Q40" s="1067"/>
      <c r="R40" s="1067"/>
      <c r="S40" s="1067"/>
      <c r="T40" s="1067"/>
      <c r="U40" s="1067"/>
      <c r="V40" s="1067"/>
      <c r="W40" s="1067"/>
    </row>
    <row r="41" spans="1:23" ht="18" customHeight="1">
      <c r="A41" s="1062"/>
      <c r="B41" s="1063"/>
      <c r="C41" s="1068"/>
      <c r="D41" s="1068"/>
      <c r="E41" s="1068"/>
      <c r="F41" s="1068"/>
      <c r="G41" s="1068"/>
      <c r="H41" s="1068"/>
      <c r="I41" s="1068"/>
      <c r="J41" s="1068"/>
      <c r="K41" s="1068"/>
      <c r="L41" s="1068"/>
      <c r="M41" s="1064"/>
      <c r="N41" s="1065"/>
      <c r="O41" s="1066"/>
      <c r="P41" s="1067"/>
      <c r="Q41" s="1067"/>
      <c r="R41" s="1067"/>
      <c r="S41" s="1067"/>
      <c r="T41" s="1067"/>
      <c r="U41" s="1067"/>
      <c r="V41" s="1067"/>
      <c r="W41" s="1067"/>
    </row>
    <row r="42" spans="1:23" ht="18" customHeight="1">
      <c r="A42" s="1062"/>
      <c r="B42" s="1068"/>
      <c r="C42" s="1068"/>
      <c r="D42" s="1068"/>
      <c r="E42" s="1068"/>
      <c r="F42" s="1068"/>
      <c r="G42" s="1068"/>
      <c r="H42" s="1068"/>
      <c r="I42" s="1068"/>
      <c r="J42" s="1068"/>
      <c r="K42" s="1068"/>
      <c r="L42" s="1068"/>
      <c r="M42" s="1069"/>
      <c r="N42" s="1063"/>
      <c r="O42" s="1070"/>
      <c r="P42" s="1067"/>
      <c r="Q42" s="1067"/>
      <c r="R42" s="1067"/>
      <c r="S42" s="1067"/>
      <c r="T42" s="1067"/>
      <c r="U42" s="1067"/>
      <c r="V42" s="1067"/>
      <c r="W42" s="1067"/>
    </row>
    <row r="43" spans="1:23" ht="18" customHeight="1">
      <c r="A43" s="1062"/>
      <c r="B43" s="1068"/>
      <c r="C43" s="1068"/>
      <c r="D43" s="1068"/>
      <c r="E43" s="1068"/>
      <c r="F43" s="1068"/>
      <c r="G43" s="1068"/>
      <c r="H43" s="1068"/>
      <c r="I43" s="1068"/>
      <c r="J43" s="1068"/>
      <c r="K43" s="1068"/>
      <c r="L43" s="1068"/>
      <c r="M43" s="1069"/>
      <c r="N43" s="1063"/>
      <c r="O43" s="1070"/>
      <c r="P43" s="1067"/>
      <c r="Q43" s="1067"/>
      <c r="R43" s="1067"/>
      <c r="S43" s="1067"/>
      <c r="T43" s="1067"/>
      <c r="U43" s="1067"/>
      <c r="V43" s="1067"/>
      <c r="W43" s="1067"/>
    </row>
    <row r="44" spans="1:23" ht="18" customHeight="1">
      <c r="A44" s="1062"/>
      <c r="B44" s="1068"/>
      <c r="C44" s="1068"/>
      <c r="D44" s="1068"/>
      <c r="E44" s="1068"/>
      <c r="F44" s="1068"/>
      <c r="G44" s="1068"/>
      <c r="H44" s="1068"/>
      <c r="I44" s="1068"/>
      <c r="J44" s="1068"/>
      <c r="K44" s="1068"/>
      <c r="L44" s="1068"/>
      <c r="M44" s="1069"/>
      <c r="N44" s="1063"/>
      <c r="O44" s="1070"/>
      <c r="P44" s="1067"/>
      <c r="Q44" s="1067"/>
      <c r="R44" s="1067"/>
      <c r="S44" s="1067"/>
      <c r="T44" s="1067"/>
      <c r="U44" s="1067"/>
      <c r="V44" s="1067"/>
      <c r="W44" s="1067"/>
    </row>
    <row r="45" spans="1:23" ht="18" customHeight="1">
      <c r="A45" s="1062"/>
      <c r="B45" s="1068"/>
      <c r="C45" s="1068"/>
      <c r="D45" s="1068"/>
      <c r="E45" s="1068"/>
      <c r="F45" s="1068"/>
      <c r="G45" s="1068"/>
      <c r="H45" s="1068"/>
      <c r="I45" s="1068"/>
      <c r="J45" s="1068"/>
      <c r="K45" s="1068"/>
      <c r="L45" s="1068"/>
      <c r="M45" s="1069"/>
      <c r="N45" s="1063"/>
      <c r="O45" s="1070"/>
      <c r="P45" s="1067"/>
      <c r="Q45" s="1067"/>
      <c r="R45" s="1067"/>
      <c r="S45" s="1067"/>
      <c r="T45" s="1067"/>
      <c r="U45" s="1067"/>
      <c r="V45" s="1067"/>
      <c r="W45" s="1067"/>
    </row>
    <row r="46" spans="1:23" ht="18" customHeight="1">
      <c r="A46" s="1062"/>
      <c r="B46" s="1068"/>
      <c r="C46" s="1068"/>
      <c r="D46" s="1068"/>
      <c r="E46" s="1068"/>
      <c r="F46" s="1068"/>
      <c r="G46" s="1068"/>
      <c r="H46" s="1068"/>
      <c r="I46" s="1068"/>
      <c r="J46" s="1068"/>
      <c r="K46" s="1068"/>
      <c r="L46" s="1068"/>
      <c r="M46" s="1069"/>
      <c r="N46" s="1063"/>
      <c r="O46" s="1070"/>
      <c r="P46" s="1067"/>
      <c r="Q46" s="1067"/>
      <c r="R46" s="1067"/>
      <c r="S46" s="1067"/>
      <c r="T46" s="1067"/>
      <c r="U46" s="1067"/>
      <c r="V46" s="1067"/>
      <c r="W46" s="1067"/>
    </row>
    <row r="47" spans="1:23" ht="18" customHeight="1">
      <c r="A47" s="1062"/>
      <c r="B47" s="1068"/>
      <c r="C47" s="1068"/>
      <c r="D47" s="1068"/>
      <c r="E47" s="1068"/>
      <c r="F47" s="1068"/>
      <c r="G47" s="1068"/>
      <c r="H47" s="1068"/>
      <c r="I47" s="1068"/>
      <c r="J47" s="1068"/>
      <c r="K47" s="1068"/>
      <c r="L47" s="1068"/>
      <c r="M47" s="1069"/>
      <c r="N47" s="1063"/>
      <c r="O47" s="1070"/>
      <c r="P47" s="1067"/>
      <c r="Q47" s="1067"/>
      <c r="R47" s="1067"/>
      <c r="S47" s="1067"/>
      <c r="T47" s="1067"/>
      <c r="U47" s="1067"/>
      <c r="V47" s="1067"/>
      <c r="W47" s="1067"/>
    </row>
    <row r="48" spans="1:23" ht="18" customHeight="1">
      <c r="A48" s="1062"/>
      <c r="B48" s="1068"/>
      <c r="C48" s="1068"/>
      <c r="D48" s="1068"/>
      <c r="E48" s="1068"/>
      <c r="F48" s="1068"/>
      <c r="G48" s="1068"/>
      <c r="H48" s="1068"/>
      <c r="I48" s="1068"/>
      <c r="J48" s="1068"/>
      <c r="K48" s="1068"/>
      <c r="L48" s="1068"/>
      <c r="M48" s="1069"/>
      <c r="N48" s="1063"/>
      <c r="O48" s="1070"/>
      <c r="P48" s="1067"/>
      <c r="Q48" s="1067"/>
      <c r="R48" s="1067"/>
      <c r="S48" s="1067"/>
      <c r="T48" s="1067"/>
      <c r="U48" s="1067"/>
      <c r="V48" s="1067"/>
      <c r="W48" s="1067"/>
    </row>
    <row r="49" spans="1:23" ht="18" customHeight="1">
      <c r="A49" s="1062"/>
      <c r="B49" s="1068"/>
      <c r="C49" s="1068"/>
      <c r="D49" s="1068"/>
      <c r="E49" s="1068"/>
      <c r="F49" s="1068"/>
      <c r="G49" s="1068"/>
      <c r="H49" s="1068"/>
      <c r="I49" s="1068"/>
      <c r="J49" s="1068"/>
      <c r="K49" s="1068"/>
      <c r="L49" s="1068"/>
      <c r="M49" s="1069"/>
      <c r="N49" s="1063"/>
      <c r="O49" s="1070"/>
      <c r="P49" s="1067"/>
      <c r="Q49" s="1067"/>
      <c r="R49" s="1067"/>
      <c r="S49" s="1067"/>
      <c r="T49" s="1067"/>
      <c r="U49" s="1067"/>
      <c r="V49" s="1067"/>
      <c r="W49" s="1067"/>
    </row>
    <row r="50" spans="1:23" ht="18" customHeight="1">
      <c r="A50" s="1062"/>
      <c r="B50" s="1068"/>
      <c r="C50" s="1068"/>
      <c r="D50" s="1068"/>
      <c r="E50" s="1068"/>
      <c r="F50" s="1068"/>
      <c r="G50" s="1068"/>
      <c r="H50" s="1068"/>
      <c r="I50" s="1068"/>
      <c r="J50" s="1068"/>
      <c r="K50" s="1068"/>
      <c r="L50" s="1068"/>
      <c r="M50" s="1069"/>
      <c r="N50" s="1063"/>
      <c r="O50" s="1070"/>
      <c r="P50" s="1067"/>
      <c r="Q50" s="1067"/>
      <c r="R50" s="1067"/>
      <c r="S50" s="1067"/>
      <c r="T50" s="1067"/>
      <c r="U50" s="1067"/>
      <c r="V50" s="1067"/>
      <c r="W50" s="1067"/>
    </row>
    <row r="51" spans="1:23" ht="18" customHeight="1">
      <c r="A51" s="1062"/>
      <c r="B51" s="1068"/>
      <c r="C51" s="1068"/>
      <c r="D51" s="1068"/>
      <c r="E51" s="1068"/>
      <c r="F51" s="1068"/>
      <c r="G51" s="1068"/>
      <c r="H51" s="1068"/>
      <c r="I51" s="1068"/>
      <c r="J51" s="1068"/>
      <c r="K51" s="1068"/>
      <c r="L51" s="1068"/>
      <c r="M51" s="1069"/>
      <c r="N51" s="1063"/>
      <c r="O51" s="1070"/>
      <c r="P51" s="1067"/>
      <c r="Q51" s="1067"/>
      <c r="R51" s="1067"/>
      <c r="S51" s="1067"/>
      <c r="T51" s="1067"/>
      <c r="U51" s="1067"/>
      <c r="V51" s="1067"/>
      <c r="W51" s="1067"/>
    </row>
    <row r="52" spans="1:23" ht="18" customHeight="1">
      <c r="A52" s="1062"/>
      <c r="B52" s="1068"/>
      <c r="C52" s="1068"/>
      <c r="D52" s="1068"/>
      <c r="E52" s="1068"/>
      <c r="F52" s="1068"/>
      <c r="G52" s="1068"/>
      <c r="H52" s="1068"/>
      <c r="I52" s="1068"/>
      <c r="J52" s="1068"/>
      <c r="K52" s="1068"/>
      <c r="L52" s="1068"/>
      <c r="M52" s="1069"/>
      <c r="N52" s="1063"/>
      <c r="O52" s="1070"/>
      <c r="P52" s="1067"/>
      <c r="Q52" s="1067"/>
      <c r="R52" s="1067"/>
      <c r="S52" s="1067"/>
      <c r="T52" s="1067"/>
      <c r="U52" s="1067"/>
      <c r="V52" s="1067"/>
      <c r="W52" s="1067"/>
    </row>
    <row r="53" spans="1:23" ht="18" customHeight="1">
      <c r="A53" s="1062"/>
      <c r="B53" s="1068"/>
      <c r="C53" s="1068"/>
      <c r="D53" s="1068"/>
      <c r="E53" s="1068"/>
      <c r="F53" s="1068"/>
      <c r="G53" s="1068"/>
      <c r="H53" s="1068"/>
      <c r="I53" s="1068"/>
      <c r="J53" s="1068"/>
      <c r="K53" s="1068"/>
      <c r="L53" s="1068"/>
      <c r="M53" s="1069"/>
      <c r="N53" s="1063"/>
      <c r="O53" s="1070"/>
      <c r="P53" s="1067"/>
      <c r="Q53" s="1067"/>
      <c r="R53" s="1067"/>
      <c r="S53" s="1067"/>
      <c r="T53" s="1067"/>
      <c r="U53" s="1067"/>
      <c r="V53" s="1067"/>
      <c r="W53" s="1067"/>
    </row>
    <row r="54" spans="1:23" ht="18" customHeight="1">
      <c r="A54" s="1062"/>
      <c r="B54" s="1068"/>
      <c r="C54" s="1068"/>
      <c r="D54" s="1068"/>
      <c r="E54" s="1068"/>
      <c r="F54" s="1068"/>
      <c r="G54" s="1068"/>
      <c r="H54" s="1068"/>
      <c r="I54" s="1068"/>
      <c r="J54" s="1068"/>
      <c r="K54" s="1068"/>
      <c r="L54" s="1068"/>
      <c r="M54" s="1069"/>
      <c r="N54" s="1063"/>
      <c r="O54" s="1070"/>
      <c r="P54" s="1067"/>
      <c r="Q54" s="1067"/>
      <c r="R54" s="1067"/>
      <c r="S54" s="1067"/>
      <c r="T54" s="1067"/>
      <c r="U54" s="1067"/>
      <c r="V54" s="1067"/>
      <c r="W54" s="1067"/>
    </row>
    <row r="55" spans="1:23" ht="18" customHeight="1">
      <c r="A55" s="1062"/>
      <c r="B55" s="1068"/>
      <c r="C55" s="1068"/>
      <c r="D55" s="1068"/>
      <c r="E55" s="1068"/>
      <c r="F55" s="1068"/>
      <c r="G55" s="1068"/>
      <c r="H55" s="1068"/>
      <c r="I55" s="1068"/>
      <c r="J55" s="1068"/>
      <c r="K55" s="1068"/>
      <c r="L55" s="1068"/>
      <c r="M55" s="1069"/>
      <c r="N55" s="1063"/>
      <c r="O55" s="1070"/>
      <c r="P55" s="1067"/>
      <c r="Q55" s="1067"/>
      <c r="R55" s="1067"/>
      <c r="S55" s="1067"/>
      <c r="T55" s="1067"/>
      <c r="U55" s="1067"/>
      <c r="V55" s="1067"/>
      <c r="W55" s="1067"/>
    </row>
    <row r="56" spans="1:23" ht="18" customHeight="1">
      <c r="A56" s="1062"/>
      <c r="B56" s="1068"/>
      <c r="C56" s="1068"/>
      <c r="D56" s="1068"/>
      <c r="E56" s="1068"/>
      <c r="F56" s="1068"/>
      <c r="G56" s="1068"/>
      <c r="H56" s="1068"/>
      <c r="I56" s="1068"/>
      <c r="J56" s="1068"/>
      <c r="K56" s="1068"/>
      <c r="L56" s="1068"/>
      <c r="M56" s="1069"/>
      <c r="N56" s="1063"/>
      <c r="O56" s="1070"/>
      <c r="P56" s="1067"/>
      <c r="Q56" s="1067"/>
      <c r="R56" s="1067"/>
      <c r="S56" s="1067"/>
      <c r="T56" s="1067"/>
      <c r="U56" s="1067"/>
      <c r="V56" s="1067"/>
      <c r="W56" s="1067"/>
    </row>
    <row r="57" spans="1:23" ht="18" customHeight="1">
      <c r="A57" s="1062"/>
      <c r="B57" s="1068"/>
      <c r="C57" s="1068"/>
      <c r="D57" s="1068"/>
      <c r="E57" s="1068"/>
      <c r="F57" s="1068"/>
      <c r="G57" s="1068"/>
      <c r="H57" s="1068"/>
      <c r="I57" s="1068"/>
      <c r="J57" s="1068"/>
      <c r="K57" s="1068"/>
      <c r="L57" s="1068"/>
      <c r="M57" s="1069"/>
      <c r="N57" s="1063"/>
      <c r="O57" s="1070"/>
      <c r="P57" s="1067"/>
      <c r="Q57" s="1067"/>
      <c r="R57" s="1067"/>
      <c r="S57" s="1067"/>
      <c r="T57" s="1067"/>
      <c r="U57" s="1067"/>
      <c r="V57" s="1067"/>
      <c r="W57" s="1067"/>
    </row>
    <row r="58" spans="1:23" ht="18" customHeight="1">
      <c r="A58" s="1062"/>
      <c r="B58" s="1068"/>
      <c r="C58" s="1068"/>
      <c r="D58" s="1068"/>
      <c r="E58" s="1068"/>
      <c r="F58" s="1068"/>
      <c r="G58" s="1068"/>
      <c r="H58" s="1068"/>
      <c r="I58" s="1068"/>
      <c r="J58" s="1068"/>
      <c r="K58" s="1068"/>
      <c r="L58" s="1068"/>
      <c r="M58" s="1069"/>
      <c r="N58" s="1063"/>
      <c r="O58" s="1070"/>
      <c r="P58" s="1067"/>
      <c r="Q58" s="1067"/>
      <c r="R58" s="1067"/>
      <c r="S58" s="1067"/>
      <c r="T58" s="1067"/>
      <c r="U58" s="1067"/>
      <c r="V58" s="1067"/>
      <c r="W58" s="1067"/>
    </row>
    <row r="59" spans="1:23" ht="18" customHeight="1">
      <c r="A59" s="1062"/>
      <c r="B59" s="1068"/>
      <c r="C59" s="1068"/>
      <c r="D59" s="1068"/>
      <c r="E59" s="1068"/>
      <c r="F59" s="1068"/>
      <c r="G59" s="1068"/>
      <c r="H59" s="1068"/>
      <c r="I59" s="1068"/>
      <c r="J59" s="1068"/>
      <c r="K59" s="1068"/>
      <c r="L59" s="1068"/>
      <c r="M59" s="1069"/>
      <c r="N59" s="1063"/>
      <c r="O59" s="1070"/>
      <c r="P59" s="1067"/>
      <c r="Q59" s="1067"/>
      <c r="R59" s="1067"/>
      <c r="S59" s="1067"/>
      <c r="T59" s="1067"/>
      <c r="U59" s="1067"/>
      <c r="V59" s="1067"/>
      <c r="W59" s="1067"/>
    </row>
    <row r="60" spans="1:23" ht="18" customHeight="1">
      <c r="A60" s="1427" t="s">
        <v>391</v>
      </c>
      <c r="B60" s="1428"/>
      <c r="C60" s="1428"/>
      <c r="D60" s="1428"/>
      <c r="E60" s="1428"/>
      <c r="F60" s="1428"/>
      <c r="G60" s="1428"/>
      <c r="H60" s="1428"/>
      <c r="I60" s="1068"/>
      <c r="J60" s="1068"/>
      <c r="K60" s="1068"/>
      <c r="L60" s="1068"/>
      <c r="M60" s="1069"/>
      <c r="N60" s="1063"/>
      <c r="O60" s="1070"/>
      <c r="P60" s="1067"/>
      <c r="Q60" s="1067"/>
      <c r="R60" s="1067"/>
      <c r="S60" s="1067"/>
      <c r="T60" s="1067"/>
      <c r="U60" s="1067"/>
      <c r="V60" s="1067"/>
      <c r="W60" s="1067"/>
    </row>
    <row r="61" spans="1:23" ht="18" customHeight="1">
      <c r="A61" s="1427"/>
      <c r="B61" s="1428"/>
      <c r="C61" s="1428"/>
      <c r="D61" s="1428"/>
      <c r="E61" s="1428"/>
      <c r="F61" s="1428"/>
      <c r="G61" s="1428"/>
      <c r="H61" s="1428"/>
      <c r="I61" s="1068"/>
      <c r="J61" s="1068"/>
      <c r="K61" s="1068"/>
      <c r="L61" s="1068"/>
      <c r="M61" s="1069"/>
      <c r="N61" s="1063"/>
      <c r="O61" s="1070"/>
      <c r="P61" s="1067"/>
      <c r="Q61" s="1067"/>
      <c r="R61" s="1067"/>
      <c r="S61" s="1067"/>
      <c r="T61" s="1067"/>
      <c r="U61" s="1067"/>
      <c r="V61" s="1067"/>
      <c r="W61" s="1067"/>
    </row>
    <row r="62" spans="1:23" ht="35.1" customHeight="1">
      <c r="A62" s="1062"/>
      <c r="B62" s="1068"/>
      <c r="C62" s="1068"/>
      <c r="D62" s="1068"/>
      <c r="E62" s="1068"/>
      <c r="F62" s="1068"/>
      <c r="G62" s="1068"/>
      <c r="H62" s="1068"/>
      <c r="I62" s="1068"/>
      <c r="J62" s="1068"/>
      <c r="K62" s="1068"/>
      <c r="L62" s="1068"/>
      <c r="M62" s="1069"/>
      <c r="N62" s="1063" t="s">
        <v>368</v>
      </c>
      <c r="O62" s="1070"/>
      <c r="P62" s="1067"/>
      <c r="Q62" s="1067"/>
      <c r="R62" s="1067"/>
      <c r="S62" s="1067"/>
      <c r="T62" s="1067"/>
      <c r="U62" s="1067"/>
      <c r="V62" s="1067"/>
      <c r="W62" s="1067"/>
    </row>
    <row r="63" spans="1:23" ht="35.1" customHeight="1">
      <c r="A63" s="1429" t="s">
        <v>369</v>
      </c>
      <c r="B63" s="1430"/>
      <c r="C63" s="1431" t="s">
        <v>370</v>
      </c>
      <c r="D63" s="1431"/>
      <c r="E63" s="1431"/>
      <c r="F63" s="1431"/>
      <c r="G63" s="1431"/>
      <c r="H63" s="1431"/>
      <c r="I63" s="1431"/>
      <c r="J63" s="1431"/>
      <c r="K63" s="1431"/>
      <c r="L63" s="1431"/>
      <c r="M63" s="1431"/>
      <c r="N63" s="1429" t="s">
        <v>371</v>
      </c>
      <c r="O63" s="1433"/>
      <c r="P63" s="1067"/>
      <c r="Q63" s="1067"/>
      <c r="R63" s="1067"/>
      <c r="S63" s="1067"/>
      <c r="T63" s="1067"/>
      <c r="U63" s="1067"/>
      <c r="V63" s="1067"/>
      <c r="W63" s="1067"/>
    </row>
    <row r="64" spans="1:23" ht="35.1" customHeight="1">
      <c r="A64" s="1434" t="s">
        <v>392</v>
      </c>
      <c r="B64" s="1071" t="s">
        <v>393</v>
      </c>
      <c r="C64" s="1072"/>
      <c r="D64" s="1073"/>
      <c r="E64" s="1073"/>
      <c r="F64" s="1073"/>
      <c r="G64" s="1074"/>
      <c r="H64" s="1074"/>
      <c r="I64" s="1073"/>
      <c r="J64" s="1073"/>
      <c r="K64" s="1075"/>
      <c r="L64" s="1076"/>
      <c r="M64" s="1077"/>
      <c r="N64" s="1437" t="s">
        <v>394</v>
      </c>
      <c r="O64" s="1438"/>
      <c r="P64" s="1067"/>
      <c r="Q64" s="1067"/>
      <c r="R64" s="1067"/>
      <c r="S64" s="1067"/>
      <c r="T64" s="1067"/>
      <c r="U64" s="1067"/>
      <c r="V64" s="1067"/>
      <c r="W64" s="1067"/>
    </row>
    <row r="65" spans="1:23" ht="35.1" customHeight="1">
      <c r="A65" s="1435"/>
      <c r="B65" s="1102" t="s">
        <v>347</v>
      </c>
      <c r="C65" s="1072"/>
      <c r="D65" s="1073"/>
      <c r="E65" s="1073"/>
      <c r="F65" s="1073"/>
      <c r="G65" s="1078"/>
      <c r="H65" s="1078"/>
      <c r="I65" s="1073"/>
      <c r="J65" s="1073"/>
      <c r="K65" s="1075"/>
      <c r="L65" s="1076"/>
      <c r="M65" s="1077"/>
      <c r="N65" s="1439"/>
      <c r="O65" s="1440"/>
      <c r="P65" s="1079"/>
      <c r="Q65" s="1067"/>
      <c r="R65" s="1067"/>
      <c r="S65" s="1067"/>
      <c r="T65" s="1067"/>
      <c r="U65" s="1067"/>
      <c r="V65" s="1067"/>
      <c r="W65" s="1067"/>
    </row>
    <row r="66" spans="1:23" ht="35.1" customHeight="1">
      <c r="A66" s="1436"/>
      <c r="B66" s="1071" t="s">
        <v>395</v>
      </c>
      <c r="C66" s="1072"/>
      <c r="D66" s="1073"/>
      <c r="E66" s="1073"/>
      <c r="F66" s="1073"/>
      <c r="G66" s="1078"/>
      <c r="H66" s="1078"/>
      <c r="I66" s="1073"/>
      <c r="J66" s="1073"/>
      <c r="K66" s="1075"/>
      <c r="L66" s="1076"/>
      <c r="M66" s="1077"/>
      <c r="N66" s="1441"/>
      <c r="O66" s="1442"/>
      <c r="P66" s="1079"/>
      <c r="Q66" s="1067"/>
      <c r="R66" s="1067"/>
      <c r="S66" s="1067"/>
      <c r="T66" s="1067"/>
      <c r="U66" s="1067"/>
      <c r="V66" s="1067"/>
      <c r="W66" s="1067"/>
    </row>
    <row r="67" spans="1:23" ht="35.1" customHeight="1">
      <c r="A67" s="1080" t="s">
        <v>377</v>
      </c>
      <c r="B67" s="1081" t="s">
        <v>14</v>
      </c>
      <c r="C67" s="1421" t="s">
        <v>892</v>
      </c>
      <c r="D67" s="1422"/>
      <c r="E67" s="1422"/>
      <c r="F67" s="1422"/>
      <c r="G67" s="1422"/>
      <c r="H67" s="1422"/>
      <c r="I67" s="1422"/>
      <c r="J67" s="1422"/>
      <c r="K67" s="1423"/>
      <c r="L67" s="1082" t="s">
        <v>379</v>
      </c>
      <c r="M67" s="1083">
        <f>(PI()*0.82^2-PI()*0.6^2)/4*0.1</f>
        <v>2.4535838624536274E-2</v>
      </c>
      <c r="N67" s="1084">
        <f>M67</f>
        <v>2.4535838624536274E-2</v>
      </c>
      <c r="O67" s="1085" t="s">
        <v>15</v>
      </c>
      <c r="P67" s="1060"/>
      <c r="Q67" s="1086"/>
      <c r="R67" s="1086"/>
      <c r="S67" s="1086"/>
      <c r="T67" s="1086"/>
      <c r="U67" s="1086"/>
      <c r="V67" s="1086"/>
      <c r="W67" s="1086"/>
    </row>
    <row r="68" spans="1:23" ht="35.1" customHeight="1">
      <c r="A68" s="1080" t="s">
        <v>381</v>
      </c>
      <c r="B68" s="1071" t="s">
        <v>634</v>
      </c>
      <c r="C68" s="1422" t="s">
        <v>639</v>
      </c>
      <c r="D68" s="1422"/>
      <c r="E68" s="1422"/>
      <c r="F68" s="1422"/>
      <c r="G68" s="1422"/>
      <c r="H68" s="1422"/>
      <c r="I68" s="1422"/>
      <c r="J68" s="1422"/>
      <c r="K68" s="1423"/>
      <c r="L68" s="1082" t="s">
        <v>379</v>
      </c>
      <c r="M68" s="1087">
        <v>1</v>
      </c>
      <c r="N68" s="1090">
        <v>1</v>
      </c>
      <c r="O68" s="1085" t="s">
        <v>382</v>
      </c>
      <c r="P68" s="1079"/>
      <c r="Q68" s="1086"/>
      <c r="R68" s="1086"/>
      <c r="S68" s="1086"/>
      <c r="T68" s="1086"/>
      <c r="U68" s="1086"/>
      <c r="V68" s="1086"/>
      <c r="W68" s="1086"/>
    </row>
    <row r="69" spans="1:23" ht="35.1" customHeight="1">
      <c r="A69" s="1095" t="s">
        <v>955</v>
      </c>
      <c r="B69" s="1089" t="s">
        <v>956</v>
      </c>
      <c r="C69" s="1422" t="s">
        <v>959</v>
      </c>
      <c r="D69" s="1422"/>
      <c r="E69" s="1422"/>
      <c r="F69" s="1422"/>
      <c r="G69" s="1422"/>
      <c r="H69" s="1422"/>
      <c r="I69" s="1422"/>
      <c r="J69" s="1422"/>
      <c r="K69" s="1423"/>
      <c r="L69" s="1076" t="s">
        <v>379</v>
      </c>
      <c r="M69" s="1094">
        <f>ROUND(PI()*1.3^2/4*0.2,2)</f>
        <v>0.27</v>
      </c>
      <c r="N69" s="1084">
        <f>M69</f>
        <v>0.27</v>
      </c>
      <c r="O69" s="1085" t="s">
        <v>957</v>
      </c>
      <c r="P69" s="1079"/>
      <c r="Q69" s="1086"/>
      <c r="R69" s="1086"/>
      <c r="S69" s="1086"/>
      <c r="T69" s="1086"/>
      <c r="U69" s="1086"/>
      <c r="V69" s="1086"/>
      <c r="W69" s="1086"/>
    </row>
    <row r="70" spans="1:23" ht="35.1" customHeight="1">
      <c r="A70" s="1096" t="s">
        <v>388</v>
      </c>
      <c r="B70" s="1097" t="s">
        <v>389</v>
      </c>
      <c r="C70" s="1424" t="s">
        <v>893</v>
      </c>
      <c r="D70" s="1425"/>
      <c r="E70" s="1425"/>
      <c r="F70" s="1425"/>
      <c r="G70" s="1425"/>
      <c r="H70" s="1425"/>
      <c r="I70" s="1425"/>
      <c r="J70" s="1425"/>
      <c r="K70" s="1426"/>
      <c r="L70" s="1098" t="s">
        <v>17</v>
      </c>
      <c r="M70" s="1099">
        <f>(PI()*0.82*0.1)+(PI()*0.6*0.1)</f>
        <v>0.44610615680975063</v>
      </c>
      <c r="N70" s="1100">
        <f>M70</f>
        <v>0.44610615680975063</v>
      </c>
      <c r="O70" s="1101" t="s">
        <v>19</v>
      </c>
      <c r="P70" s="1079"/>
      <c r="Q70" s="1086"/>
      <c r="R70" s="1086"/>
      <c r="S70" s="1086"/>
      <c r="T70" s="1086"/>
      <c r="U70" s="1086"/>
      <c r="V70" s="1086"/>
      <c r="W70" s="1086"/>
    </row>
  </sheetData>
  <mergeCells count="24">
    <mergeCell ref="N63:O63"/>
    <mergeCell ref="A64:A66"/>
    <mergeCell ref="N64:O66"/>
    <mergeCell ref="A39:O39"/>
    <mergeCell ref="A1:O1"/>
    <mergeCell ref="A26:H27"/>
    <mergeCell ref="A29:B29"/>
    <mergeCell ref="C29:M29"/>
    <mergeCell ref="N29:O29"/>
    <mergeCell ref="A30:A32"/>
    <mergeCell ref="N30:O32"/>
    <mergeCell ref="C33:K33"/>
    <mergeCell ref="C34:K34"/>
    <mergeCell ref="C38:K38"/>
    <mergeCell ref="C37:K37"/>
    <mergeCell ref="C67:K67"/>
    <mergeCell ref="C68:K68"/>
    <mergeCell ref="C70:K70"/>
    <mergeCell ref="C69:K69"/>
    <mergeCell ref="C35:K35"/>
    <mergeCell ref="A60:H61"/>
    <mergeCell ref="A63:B63"/>
    <mergeCell ref="C63:M63"/>
    <mergeCell ref="C36:K36"/>
  </mergeCells>
  <phoneticPr fontId="13" type="noConversion"/>
  <printOptions horizontalCentered="1"/>
  <pageMargins left="0.43307086614173229" right="0.43307086614173229" top="0.62992125984251968" bottom="0.59055118110236227" header="0.51181102362204722" footer="0.51181102362204722"/>
  <pageSetup paperSize="9" scale="85" orientation="portrait" r:id="rId1"/>
  <headerFooter alignWithMargins="0"/>
  <rowBreaks count="1" manualBreakCount="1">
    <brk id="38" max="14" man="1"/>
  </rowBreaks>
  <colBreaks count="1" manualBreakCount="1">
    <brk id="15" max="1048575" man="1"/>
  </colBreaks>
  <drawing r:id="rId2"/>
  <legacyDrawing r:id="rId3"/>
  <oleObjects>
    <mc:AlternateContent xmlns:mc="http://schemas.openxmlformats.org/markup-compatibility/2006">
      <mc:Choice Requires="x14">
        <oleObject progId="AutoCAD.Drawing.14" shapeId="35841" r:id="rId4">
          <objectPr defaultSize="0" autoPict="0" r:id="rId5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AutoCAD.Drawing.14" shapeId="35841" r:id="rId4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rgb="FFFFC000"/>
  </sheetPr>
  <dimension ref="A1:W74"/>
  <sheetViews>
    <sheetView workbookViewId="0">
      <selection activeCell="L74" sqref="L74"/>
    </sheetView>
  </sheetViews>
  <sheetFormatPr defaultRowHeight="14.25"/>
  <cols>
    <col min="1" max="1" width="13" style="1061" customWidth="1"/>
    <col min="2" max="2" width="11.109375" style="1061" customWidth="1"/>
    <col min="3" max="11" width="5.33203125" style="1061" customWidth="1"/>
    <col min="12" max="12" width="2.77734375" style="1061" customWidth="1"/>
    <col min="13" max="13" width="8.44140625" style="1061" customWidth="1"/>
    <col min="14" max="14" width="7.21875" style="1061" customWidth="1"/>
    <col min="15" max="15" width="5" style="1061" customWidth="1"/>
    <col min="16" max="256" width="8.88671875" style="1061"/>
    <col min="257" max="257" width="13" style="1061" customWidth="1"/>
    <col min="258" max="258" width="11.109375" style="1061" customWidth="1"/>
    <col min="259" max="259" width="6.77734375" style="1061" customWidth="1"/>
    <col min="260" max="260" width="4.21875" style="1061" customWidth="1"/>
    <col min="261" max="261" width="6" style="1061" customWidth="1"/>
    <col min="262" max="262" width="3.88671875" style="1061" customWidth="1"/>
    <col min="263" max="263" width="4.6640625" style="1061" customWidth="1"/>
    <col min="264" max="264" width="6.77734375" style="1061" customWidth="1"/>
    <col min="265" max="265" width="5.21875" style="1061" customWidth="1"/>
    <col min="266" max="266" width="3.88671875" style="1061" customWidth="1"/>
    <col min="267" max="267" width="4.88671875" style="1061" customWidth="1"/>
    <col min="268" max="268" width="2.77734375" style="1061" customWidth="1"/>
    <col min="269" max="269" width="8.44140625" style="1061" customWidth="1"/>
    <col min="270" max="270" width="7.21875" style="1061" customWidth="1"/>
    <col min="271" max="271" width="5" style="1061" customWidth="1"/>
    <col min="272" max="512" width="8.88671875" style="1061"/>
    <col min="513" max="513" width="13" style="1061" customWidth="1"/>
    <col min="514" max="514" width="11.109375" style="1061" customWidth="1"/>
    <col min="515" max="515" width="6.77734375" style="1061" customWidth="1"/>
    <col min="516" max="516" width="4.21875" style="1061" customWidth="1"/>
    <col min="517" max="517" width="6" style="1061" customWidth="1"/>
    <col min="518" max="518" width="3.88671875" style="1061" customWidth="1"/>
    <col min="519" max="519" width="4.6640625" style="1061" customWidth="1"/>
    <col min="520" max="520" width="6.77734375" style="1061" customWidth="1"/>
    <col min="521" max="521" width="5.21875" style="1061" customWidth="1"/>
    <col min="522" max="522" width="3.88671875" style="1061" customWidth="1"/>
    <col min="523" max="523" width="4.88671875" style="1061" customWidth="1"/>
    <col min="524" max="524" width="2.77734375" style="1061" customWidth="1"/>
    <col min="525" max="525" width="8.44140625" style="1061" customWidth="1"/>
    <col min="526" max="526" width="7.21875" style="1061" customWidth="1"/>
    <col min="527" max="527" width="5" style="1061" customWidth="1"/>
    <col min="528" max="768" width="8.88671875" style="1061"/>
    <col min="769" max="769" width="13" style="1061" customWidth="1"/>
    <col min="770" max="770" width="11.109375" style="1061" customWidth="1"/>
    <col min="771" max="771" width="6.77734375" style="1061" customWidth="1"/>
    <col min="772" max="772" width="4.21875" style="1061" customWidth="1"/>
    <col min="773" max="773" width="6" style="1061" customWidth="1"/>
    <col min="774" max="774" width="3.88671875" style="1061" customWidth="1"/>
    <col min="775" max="775" width="4.6640625" style="1061" customWidth="1"/>
    <col min="776" max="776" width="6.77734375" style="1061" customWidth="1"/>
    <col min="777" max="777" width="5.21875" style="1061" customWidth="1"/>
    <col min="778" max="778" width="3.88671875" style="1061" customWidth="1"/>
    <col min="779" max="779" width="4.88671875" style="1061" customWidth="1"/>
    <col min="780" max="780" width="2.77734375" style="1061" customWidth="1"/>
    <col min="781" max="781" width="8.44140625" style="1061" customWidth="1"/>
    <col min="782" max="782" width="7.21875" style="1061" customWidth="1"/>
    <col min="783" max="783" width="5" style="1061" customWidth="1"/>
    <col min="784" max="1024" width="8.88671875" style="1061"/>
    <col min="1025" max="1025" width="13" style="1061" customWidth="1"/>
    <col min="1026" max="1026" width="11.109375" style="1061" customWidth="1"/>
    <col min="1027" max="1027" width="6.77734375" style="1061" customWidth="1"/>
    <col min="1028" max="1028" width="4.21875" style="1061" customWidth="1"/>
    <col min="1029" max="1029" width="6" style="1061" customWidth="1"/>
    <col min="1030" max="1030" width="3.88671875" style="1061" customWidth="1"/>
    <col min="1031" max="1031" width="4.6640625" style="1061" customWidth="1"/>
    <col min="1032" max="1032" width="6.77734375" style="1061" customWidth="1"/>
    <col min="1033" max="1033" width="5.21875" style="1061" customWidth="1"/>
    <col min="1034" max="1034" width="3.88671875" style="1061" customWidth="1"/>
    <col min="1035" max="1035" width="4.88671875" style="1061" customWidth="1"/>
    <col min="1036" max="1036" width="2.77734375" style="1061" customWidth="1"/>
    <col min="1037" max="1037" width="8.44140625" style="1061" customWidth="1"/>
    <col min="1038" max="1038" width="7.21875" style="1061" customWidth="1"/>
    <col min="1039" max="1039" width="5" style="1061" customWidth="1"/>
    <col min="1040" max="1280" width="8.88671875" style="1061"/>
    <col min="1281" max="1281" width="13" style="1061" customWidth="1"/>
    <col min="1282" max="1282" width="11.109375" style="1061" customWidth="1"/>
    <col min="1283" max="1283" width="6.77734375" style="1061" customWidth="1"/>
    <col min="1284" max="1284" width="4.21875" style="1061" customWidth="1"/>
    <col min="1285" max="1285" width="6" style="1061" customWidth="1"/>
    <col min="1286" max="1286" width="3.88671875" style="1061" customWidth="1"/>
    <col min="1287" max="1287" width="4.6640625" style="1061" customWidth="1"/>
    <col min="1288" max="1288" width="6.77734375" style="1061" customWidth="1"/>
    <col min="1289" max="1289" width="5.21875" style="1061" customWidth="1"/>
    <col min="1290" max="1290" width="3.88671875" style="1061" customWidth="1"/>
    <col min="1291" max="1291" width="4.88671875" style="1061" customWidth="1"/>
    <col min="1292" max="1292" width="2.77734375" style="1061" customWidth="1"/>
    <col min="1293" max="1293" width="8.44140625" style="1061" customWidth="1"/>
    <col min="1294" max="1294" width="7.21875" style="1061" customWidth="1"/>
    <col min="1295" max="1295" width="5" style="1061" customWidth="1"/>
    <col min="1296" max="1536" width="8.88671875" style="1061"/>
    <col min="1537" max="1537" width="13" style="1061" customWidth="1"/>
    <col min="1538" max="1538" width="11.109375" style="1061" customWidth="1"/>
    <col min="1539" max="1539" width="6.77734375" style="1061" customWidth="1"/>
    <col min="1540" max="1540" width="4.21875" style="1061" customWidth="1"/>
    <col min="1541" max="1541" width="6" style="1061" customWidth="1"/>
    <col min="1542" max="1542" width="3.88671875" style="1061" customWidth="1"/>
    <col min="1543" max="1543" width="4.6640625" style="1061" customWidth="1"/>
    <col min="1544" max="1544" width="6.77734375" style="1061" customWidth="1"/>
    <col min="1545" max="1545" width="5.21875" style="1061" customWidth="1"/>
    <col min="1546" max="1546" width="3.88671875" style="1061" customWidth="1"/>
    <col min="1547" max="1547" width="4.88671875" style="1061" customWidth="1"/>
    <col min="1548" max="1548" width="2.77734375" style="1061" customWidth="1"/>
    <col min="1549" max="1549" width="8.44140625" style="1061" customWidth="1"/>
    <col min="1550" max="1550" width="7.21875" style="1061" customWidth="1"/>
    <col min="1551" max="1551" width="5" style="1061" customWidth="1"/>
    <col min="1552" max="1792" width="8.88671875" style="1061"/>
    <col min="1793" max="1793" width="13" style="1061" customWidth="1"/>
    <col min="1794" max="1794" width="11.109375" style="1061" customWidth="1"/>
    <col min="1795" max="1795" width="6.77734375" style="1061" customWidth="1"/>
    <col min="1796" max="1796" width="4.21875" style="1061" customWidth="1"/>
    <col min="1797" max="1797" width="6" style="1061" customWidth="1"/>
    <col min="1798" max="1798" width="3.88671875" style="1061" customWidth="1"/>
    <col min="1799" max="1799" width="4.6640625" style="1061" customWidth="1"/>
    <col min="1800" max="1800" width="6.77734375" style="1061" customWidth="1"/>
    <col min="1801" max="1801" width="5.21875" style="1061" customWidth="1"/>
    <col min="1802" max="1802" width="3.88671875" style="1061" customWidth="1"/>
    <col min="1803" max="1803" width="4.88671875" style="1061" customWidth="1"/>
    <col min="1804" max="1804" width="2.77734375" style="1061" customWidth="1"/>
    <col min="1805" max="1805" width="8.44140625" style="1061" customWidth="1"/>
    <col min="1806" max="1806" width="7.21875" style="1061" customWidth="1"/>
    <col min="1807" max="1807" width="5" style="1061" customWidth="1"/>
    <col min="1808" max="2048" width="8.88671875" style="1061"/>
    <col min="2049" max="2049" width="13" style="1061" customWidth="1"/>
    <col min="2050" max="2050" width="11.109375" style="1061" customWidth="1"/>
    <col min="2051" max="2051" width="6.77734375" style="1061" customWidth="1"/>
    <col min="2052" max="2052" width="4.21875" style="1061" customWidth="1"/>
    <col min="2053" max="2053" width="6" style="1061" customWidth="1"/>
    <col min="2054" max="2054" width="3.88671875" style="1061" customWidth="1"/>
    <col min="2055" max="2055" width="4.6640625" style="1061" customWidth="1"/>
    <col min="2056" max="2056" width="6.77734375" style="1061" customWidth="1"/>
    <col min="2057" max="2057" width="5.21875" style="1061" customWidth="1"/>
    <col min="2058" max="2058" width="3.88671875" style="1061" customWidth="1"/>
    <col min="2059" max="2059" width="4.88671875" style="1061" customWidth="1"/>
    <col min="2060" max="2060" width="2.77734375" style="1061" customWidth="1"/>
    <col min="2061" max="2061" width="8.44140625" style="1061" customWidth="1"/>
    <col min="2062" max="2062" width="7.21875" style="1061" customWidth="1"/>
    <col min="2063" max="2063" width="5" style="1061" customWidth="1"/>
    <col min="2064" max="2304" width="8.88671875" style="1061"/>
    <col min="2305" max="2305" width="13" style="1061" customWidth="1"/>
    <col min="2306" max="2306" width="11.109375" style="1061" customWidth="1"/>
    <col min="2307" max="2307" width="6.77734375" style="1061" customWidth="1"/>
    <col min="2308" max="2308" width="4.21875" style="1061" customWidth="1"/>
    <col min="2309" max="2309" width="6" style="1061" customWidth="1"/>
    <col min="2310" max="2310" width="3.88671875" style="1061" customWidth="1"/>
    <col min="2311" max="2311" width="4.6640625" style="1061" customWidth="1"/>
    <col min="2312" max="2312" width="6.77734375" style="1061" customWidth="1"/>
    <col min="2313" max="2313" width="5.21875" style="1061" customWidth="1"/>
    <col min="2314" max="2314" width="3.88671875" style="1061" customWidth="1"/>
    <col min="2315" max="2315" width="4.88671875" style="1061" customWidth="1"/>
    <col min="2316" max="2316" width="2.77734375" style="1061" customWidth="1"/>
    <col min="2317" max="2317" width="8.44140625" style="1061" customWidth="1"/>
    <col min="2318" max="2318" width="7.21875" style="1061" customWidth="1"/>
    <col min="2319" max="2319" width="5" style="1061" customWidth="1"/>
    <col min="2320" max="2560" width="8.88671875" style="1061"/>
    <col min="2561" max="2561" width="13" style="1061" customWidth="1"/>
    <col min="2562" max="2562" width="11.109375" style="1061" customWidth="1"/>
    <col min="2563" max="2563" width="6.77734375" style="1061" customWidth="1"/>
    <col min="2564" max="2564" width="4.21875" style="1061" customWidth="1"/>
    <col min="2565" max="2565" width="6" style="1061" customWidth="1"/>
    <col min="2566" max="2566" width="3.88671875" style="1061" customWidth="1"/>
    <col min="2567" max="2567" width="4.6640625" style="1061" customWidth="1"/>
    <col min="2568" max="2568" width="6.77734375" style="1061" customWidth="1"/>
    <col min="2569" max="2569" width="5.21875" style="1061" customWidth="1"/>
    <col min="2570" max="2570" width="3.88671875" style="1061" customWidth="1"/>
    <col min="2571" max="2571" width="4.88671875" style="1061" customWidth="1"/>
    <col min="2572" max="2572" width="2.77734375" style="1061" customWidth="1"/>
    <col min="2573" max="2573" width="8.44140625" style="1061" customWidth="1"/>
    <col min="2574" max="2574" width="7.21875" style="1061" customWidth="1"/>
    <col min="2575" max="2575" width="5" style="1061" customWidth="1"/>
    <col min="2576" max="2816" width="8.88671875" style="1061"/>
    <col min="2817" max="2817" width="13" style="1061" customWidth="1"/>
    <col min="2818" max="2818" width="11.109375" style="1061" customWidth="1"/>
    <col min="2819" max="2819" width="6.77734375" style="1061" customWidth="1"/>
    <col min="2820" max="2820" width="4.21875" style="1061" customWidth="1"/>
    <col min="2821" max="2821" width="6" style="1061" customWidth="1"/>
    <col min="2822" max="2822" width="3.88671875" style="1061" customWidth="1"/>
    <col min="2823" max="2823" width="4.6640625" style="1061" customWidth="1"/>
    <col min="2824" max="2824" width="6.77734375" style="1061" customWidth="1"/>
    <col min="2825" max="2825" width="5.21875" style="1061" customWidth="1"/>
    <col min="2826" max="2826" width="3.88671875" style="1061" customWidth="1"/>
    <col min="2827" max="2827" width="4.88671875" style="1061" customWidth="1"/>
    <col min="2828" max="2828" width="2.77734375" style="1061" customWidth="1"/>
    <col min="2829" max="2829" width="8.44140625" style="1061" customWidth="1"/>
    <col min="2830" max="2830" width="7.21875" style="1061" customWidth="1"/>
    <col min="2831" max="2831" width="5" style="1061" customWidth="1"/>
    <col min="2832" max="3072" width="8.88671875" style="1061"/>
    <col min="3073" max="3073" width="13" style="1061" customWidth="1"/>
    <col min="3074" max="3074" width="11.109375" style="1061" customWidth="1"/>
    <col min="3075" max="3075" width="6.77734375" style="1061" customWidth="1"/>
    <col min="3076" max="3076" width="4.21875" style="1061" customWidth="1"/>
    <col min="3077" max="3077" width="6" style="1061" customWidth="1"/>
    <col min="3078" max="3078" width="3.88671875" style="1061" customWidth="1"/>
    <col min="3079" max="3079" width="4.6640625" style="1061" customWidth="1"/>
    <col min="3080" max="3080" width="6.77734375" style="1061" customWidth="1"/>
    <col min="3081" max="3081" width="5.21875" style="1061" customWidth="1"/>
    <col min="3082" max="3082" width="3.88671875" style="1061" customWidth="1"/>
    <col min="3083" max="3083" width="4.88671875" style="1061" customWidth="1"/>
    <col min="3084" max="3084" width="2.77734375" style="1061" customWidth="1"/>
    <col min="3085" max="3085" width="8.44140625" style="1061" customWidth="1"/>
    <col min="3086" max="3086" width="7.21875" style="1061" customWidth="1"/>
    <col min="3087" max="3087" width="5" style="1061" customWidth="1"/>
    <col min="3088" max="3328" width="8.88671875" style="1061"/>
    <col min="3329" max="3329" width="13" style="1061" customWidth="1"/>
    <col min="3330" max="3330" width="11.109375" style="1061" customWidth="1"/>
    <col min="3331" max="3331" width="6.77734375" style="1061" customWidth="1"/>
    <col min="3332" max="3332" width="4.21875" style="1061" customWidth="1"/>
    <col min="3333" max="3333" width="6" style="1061" customWidth="1"/>
    <col min="3334" max="3334" width="3.88671875" style="1061" customWidth="1"/>
    <col min="3335" max="3335" width="4.6640625" style="1061" customWidth="1"/>
    <col min="3336" max="3336" width="6.77734375" style="1061" customWidth="1"/>
    <col min="3337" max="3337" width="5.21875" style="1061" customWidth="1"/>
    <col min="3338" max="3338" width="3.88671875" style="1061" customWidth="1"/>
    <col min="3339" max="3339" width="4.88671875" style="1061" customWidth="1"/>
    <col min="3340" max="3340" width="2.77734375" style="1061" customWidth="1"/>
    <col min="3341" max="3341" width="8.44140625" style="1061" customWidth="1"/>
    <col min="3342" max="3342" width="7.21875" style="1061" customWidth="1"/>
    <col min="3343" max="3343" width="5" style="1061" customWidth="1"/>
    <col min="3344" max="3584" width="8.88671875" style="1061"/>
    <col min="3585" max="3585" width="13" style="1061" customWidth="1"/>
    <col min="3586" max="3586" width="11.109375" style="1061" customWidth="1"/>
    <col min="3587" max="3587" width="6.77734375" style="1061" customWidth="1"/>
    <col min="3588" max="3588" width="4.21875" style="1061" customWidth="1"/>
    <col min="3589" max="3589" width="6" style="1061" customWidth="1"/>
    <col min="3590" max="3590" width="3.88671875" style="1061" customWidth="1"/>
    <col min="3591" max="3591" width="4.6640625" style="1061" customWidth="1"/>
    <col min="3592" max="3592" width="6.77734375" style="1061" customWidth="1"/>
    <col min="3593" max="3593" width="5.21875" style="1061" customWidth="1"/>
    <col min="3594" max="3594" width="3.88671875" style="1061" customWidth="1"/>
    <col min="3595" max="3595" width="4.88671875" style="1061" customWidth="1"/>
    <col min="3596" max="3596" width="2.77734375" style="1061" customWidth="1"/>
    <col min="3597" max="3597" width="8.44140625" style="1061" customWidth="1"/>
    <col min="3598" max="3598" width="7.21875" style="1061" customWidth="1"/>
    <col min="3599" max="3599" width="5" style="1061" customWidth="1"/>
    <col min="3600" max="3840" width="8.88671875" style="1061"/>
    <col min="3841" max="3841" width="13" style="1061" customWidth="1"/>
    <col min="3842" max="3842" width="11.109375" style="1061" customWidth="1"/>
    <col min="3843" max="3843" width="6.77734375" style="1061" customWidth="1"/>
    <col min="3844" max="3844" width="4.21875" style="1061" customWidth="1"/>
    <col min="3845" max="3845" width="6" style="1061" customWidth="1"/>
    <col min="3846" max="3846" width="3.88671875" style="1061" customWidth="1"/>
    <col min="3847" max="3847" width="4.6640625" style="1061" customWidth="1"/>
    <col min="3848" max="3848" width="6.77734375" style="1061" customWidth="1"/>
    <col min="3849" max="3849" width="5.21875" style="1061" customWidth="1"/>
    <col min="3850" max="3850" width="3.88671875" style="1061" customWidth="1"/>
    <col min="3851" max="3851" width="4.88671875" style="1061" customWidth="1"/>
    <col min="3852" max="3852" width="2.77734375" style="1061" customWidth="1"/>
    <col min="3853" max="3853" width="8.44140625" style="1061" customWidth="1"/>
    <col min="3854" max="3854" width="7.21875" style="1061" customWidth="1"/>
    <col min="3855" max="3855" width="5" style="1061" customWidth="1"/>
    <col min="3856" max="4096" width="8.88671875" style="1061"/>
    <col min="4097" max="4097" width="13" style="1061" customWidth="1"/>
    <col min="4098" max="4098" width="11.109375" style="1061" customWidth="1"/>
    <col min="4099" max="4099" width="6.77734375" style="1061" customWidth="1"/>
    <col min="4100" max="4100" width="4.21875" style="1061" customWidth="1"/>
    <col min="4101" max="4101" width="6" style="1061" customWidth="1"/>
    <col min="4102" max="4102" width="3.88671875" style="1061" customWidth="1"/>
    <col min="4103" max="4103" width="4.6640625" style="1061" customWidth="1"/>
    <col min="4104" max="4104" width="6.77734375" style="1061" customWidth="1"/>
    <col min="4105" max="4105" width="5.21875" style="1061" customWidth="1"/>
    <col min="4106" max="4106" width="3.88671875" style="1061" customWidth="1"/>
    <col min="4107" max="4107" width="4.88671875" style="1061" customWidth="1"/>
    <col min="4108" max="4108" width="2.77734375" style="1061" customWidth="1"/>
    <col min="4109" max="4109" width="8.44140625" style="1061" customWidth="1"/>
    <col min="4110" max="4110" width="7.21875" style="1061" customWidth="1"/>
    <col min="4111" max="4111" width="5" style="1061" customWidth="1"/>
    <col min="4112" max="4352" width="8.88671875" style="1061"/>
    <col min="4353" max="4353" width="13" style="1061" customWidth="1"/>
    <col min="4354" max="4354" width="11.109375" style="1061" customWidth="1"/>
    <col min="4355" max="4355" width="6.77734375" style="1061" customWidth="1"/>
    <col min="4356" max="4356" width="4.21875" style="1061" customWidth="1"/>
    <col min="4357" max="4357" width="6" style="1061" customWidth="1"/>
    <col min="4358" max="4358" width="3.88671875" style="1061" customWidth="1"/>
    <col min="4359" max="4359" width="4.6640625" style="1061" customWidth="1"/>
    <col min="4360" max="4360" width="6.77734375" style="1061" customWidth="1"/>
    <col min="4361" max="4361" width="5.21875" style="1061" customWidth="1"/>
    <col min="4362" max="4362" width="3.88671875" style="1061" customWidth="1"/>
    <col min="4363" max="4363" width="4.88671875" style="1061" customWidth="1"/>
    <col min="4364" max="4364" width="2.77734375" style="1061" customWidth="1"/>
    <col min="4365" max="4365" width="8.44140625" style="1061" customWidth="1"/>
    <col min="4366" max="4366" width="7.21875" style="1061" customWidth="1"/>
    <col min="4367" max="4367" width="5" style="1061" customWidth="1"/>
    <col min="4368" max="4608" width="8.88671875" style="1061"/>
    <col min="4609" max="4609" width="13" style="1061" customWidth="1"/>
    <col min="4610" max="4610" width="11.109375" style="1061" customWidth="1"/>
    <col min="4611" max="4611" width="6.77734375" style="1061" customWidth="1"/>
    <col min="4612" max="4612" width="4.21875" style="1061" customWidth="1"/>
    <col min="4613" max="4613" width="6" style="1061" customWidth="1"/>
    <col min="4614" max="4614" width="3.88671875" style="1061" customWidth="1"/>
    <col min="4615" max="4615" width="4.6640625" style="1061" customWidth="1"/>
    <col min="4616" max="4616" width="6.77734375" style="1061" customWidth="1"/>
    <col min="4617" max="4617" width="5.21875" style="1061" customWidth="1"/>
    <col min="4618" max="4618" width="3.88671875" style="1061" customWidth="1"/>
    <col min="4619" max="4619" width="4.88671875" style="1061" customWidth="1"/>
    <col min="4620" max="4620" width="2.77734375" style="1061" customWidth="1"/>
    <col min="4621" max="4621" width="8.44140625" style="1061" customWidth="1"/>
    <col min="4622" max="4622" width="7.21875" style="1061" customWidth="1"/>
    <col min="4623" max="4623" width="5" style="1061" customWidth="1"/>
    <col min="4624" max="4864" width="8.88671875" style="1061"/>
    <col min="4865" max="4865" width="13" style="1061" customWidth="1"/>
    <col min="4866" max="4866" width="11.109375" style="1061" customWidth="1"/>
    <col min="4867" max="4867" width="6.77734375" style="1061" customWidth="1"/>
    <col min="4868" max="4868" width="4.21875" style="1061" customWidth="1"/>
    <col min="4869" max="4869" width="6" style="1061" customWidth="1"/>
    <col min="4870" max="4870" width="3.88671875" style="1061" customWidth="1"/>
    <col min="4871" max="4871" width="4.6640625" style="1061" customWidth="1"/>
    <col min="4872" max="4872" width="6.77734375" style="1061" customWidth="1"/>
    <col min="4873" max="4873" width="5.21875" style="1061" customWidth="1"/>
    <col min="4874" max="4874" width="3.88671875" style="1061" customWidth="1"/>
    <col min="4875" max="4875" width="4.88671875" style="1061" customWidth="1"/>
    <col min="4876" max="4876" width="2.77734375" style="1061" customWidth="1"/>
    <col min="4877" max="4877" width="8.44140625" style="1061" customWidth="1"/>
    <col min="4878" max="4878" width="7.21875" style="1061" customWidth="1"/>
    <col min="4879" max="4879" width="5" style="1061" customWidth="1"/>
    <col min="4880" max="5120" width="8.88671875" style="1061"/>
    <col min="5121" max="5121" width="13" style="1061" customWidth="1"/>
    <col min="5122" max="5122" width="11.109375" style="1061" customWidth="1"/>
    <col min="5123" max="5123" width="6.77734375" style="1061" customWidth="1"/>
    <col min="5124" max="5124" width="4.21875" style="1061" customWidth="1"/>
    <col min="5125" max="5125" width="6" style="1061" customWidth="1"/>
    <col min="5126" max="5126" width="3.88671875" style="1061" customWidth="1"/>
    <col min="5127" max="5127" width="4.6640625" style="1061" customWidth="1"/>
    <col min="5128" max="5128" width="6.77734375" style="1061" customWidth="1"/>
    <col min="5129" max="5129" width="5.21875" style="1061" customWidth="1"/>
    <col min="5130" max="5130" width="3.88671875" style="1061" customWidth="1"/>
    <col min="5131" max="5131" width="4.88671875" style="1061" customWidth="1"/>
    <col min="5132" max="5132" width="2.77734375" style="1061" customWidth="1"/>
    <col min="5133" max="5133" width="8.44140625" style="1061" customWidth="1"/>
    <col min="5134" max="5134" width="7.21875" style="1061" customWidth="1"/>
    <col min="5135" max="5135" width="5" style="1061" customWidth="1"/>
    <col min="5136" max="5376" width="8.88671875" style="1061"/>
    <col min="5377" max="5377" width="13" style="1061" customWidth="1"/>
    <col min="5378" max="5378" width="11.109375" style="1061" customWidth="1"/>
    <col min="5379" max="5379" width="6.77734375" style="1061" customWidth="1"/>
    <col min="5380" max="5380" width="4.21875" style="1061" customWidth="1"/>
    <col min="5381" max="5381" width="6" style="1061" customWidth="1"/>
    <col min="5382" max="5382" width="3.88671875" style="1061" customWidth="1"/>
    <col min="5383" max="5383" width="4.6640625" style="1061" customWidth="1"/>
    <col min="5384" max="5384" width="6.77734375" style="1061" customWidth="1"/>
    <col min="5385" max="5385" width="5.21875" style="1061" customWidth="1"/>
    <col min="5386" max="5386" width="3.88671875" style="1061" customWidth="1"/>
    <col min="5387" max="5387" width="4.88671875" style="1061" customWidth="1"/>
    <col min="5388" max="5388" width="2.77734375" style="1061" customWidth="1"/>
    <col min="5389" max="5389" width="8.44140625" style="1061" customWidth="1"/>
    <col min="5390" max="5390" width="7.21875" style="1061" customWidth="1"/>
    <col min="5391" max="5391" width="5" style="1061" customWidth="1"/>
    <col min="5392" max="5632" width="8.88671875" style="1061"/>
    <col min="5633" max="5633" width="13" style="1061" customWidth="1"/>
    <col min="5634" max="5634" width="11.109375" style="1061" customWidth="1"/>
    <col min="5635" max="5635" width="6.77734375" style="1061" customWidth="1"/>
    <col min="5636" max="5636" width="4.21875" style="1061" customWidth="1"/>
    <col min="5637" max="5637" width="6" style="1061" customWidth="1"/>
    <col min="5638" max="5638" width="3.88671875" style="1061" customWidth="1"/>
    <col min="5639" max="5639" width="4.6640625" style="1061" customWidth="1"/>
    <col min="5640" max="5640" width="6.77734375" style="1061" customWidth="1"/>
    <col min="5641" max="5641" width="5.21875" style="1061" customWidth="1"/>
    <col min="5642" max="5642" width="3.88671875" style="1061" customWidth="1"/>
    <col min="5643" max="5643" width="4.88671875" style="1061" customWidth="1"/>
    <col min="5644" max="5644" width="2.77734375" style="1061" customWidth="1"/>
    <col min="5645" max="5645" width="8.44140625" style="1061" customWidth="1"/>
    <col min="5646" max="5646" width="7.21875" style="1061" customWidth="1"/>
    <col min="5647" max="5647" width="5" style="1061" customWidth="1"/>
    <col min="5648" max="5888" width="8.88671875" style="1061"/>
    <col min="5889" max="5889" width="13" style="1061" customWidth="1"/>
    <col min="5890" max="5890" width="11.109375" style="1061" customWidth="1"/>
    <col min="5891" max="5891" width="6.77734375" style="1061" customWidth="1"/>
    <col min="5892" max="5892" width="4.21875" style="1061" customWidth="1"/>
    <col min="5893" max="5893" width="6" style="1061" customWidth="1"/>
    <col min="5894" max="5894" width="3.88671875" style="1061" customWidth="1"/>
    <col min="5895" max="5895" width="4.6640625" style="1061" customWidth="1"/>
    <col min="5896" max="5896" width="6.77734375" style="1061" customWidth="1"/>
    <col min="5897" max="5897" width="5.21875" style="1061" customWidth="1"/>
    <col min="5898" max="5898" width="3.88671875" style="1061" customWidth="1"/>
    <col min="5899" max="5899" width="4.88671875" style="1061" customWidth="1"/>
    <col min="5900" max="5900" width="2.77734375" style="1061" customWidth="1"/>
    <col min="5901" max="5901" width="8.44140625" style="1061" customWidth="1"/>
    <col min="5902" max="5902" width="7.21875" style="1061" customWidth="1"/>
    <col min="5903" max="5903" width="5" style="1061" customWidth="1"/>
    <col min="5904" max="6144" width="8.88671875" style="1061"/>
    <col min="6145" max="6145" width="13" style="1061" customWidth="1"/>
    <col min="6146" max="6146" width="11.109375" style="1061" customWidth="1"/>
    <col min="6147" max="6147" width="6.77734375" style="1061" customWidth="1"/>
    <col min="6148" max="6148" width="4.21875" style="1061" customWidth="1"/>
    <col min="6149" max="6149" width="6" style="1061" customWidth="1"/>
    <col min="6150" max="6150" width="3.88671875" style="1061" customWidth="1"/>
    <col min="6151" max="6151" width="4.6640625" style="1061" customWidth="1"/>
    <col min="6152" max="6152" width="6.77734375" style="1061" customWidth="1"/>
    <col min="6153" max="6153" width="5.21875" style="1061" customWidth="1"/>
    <col min="6154" max="6154" width="3.88671875" style="1061" customWidth="1"/>
    <col min="6155" max="6155" width="4.88671875" style="1061" customWidth="1"/>
    <col min="6156" max="6156" width="2.77734375" style="1061" customWidth="1"/>
    <col min="6157" max="6157" width="8.44140625" style="1061" customWidth="1"/>
    <col min="6158" max="6158" width="7.21875" style="1061" customWidth="1"/>
    <col min="6159" max="6159" width="5" style="1061" customWidth="1"/>
    <col min="6160" max="6400" width="8.88671875" style="1061"/>
    <col min="6401" max="6401" width="13" style="1061" customWidth="1"/>
    <col min="6402" max="6402" width="11.109375" style="1061" customWidth="1"/>
    <col min="6403" max="6403" width="6.77734375" style="1061" customWidth="1"/>
    <col min="6404" max="6404" width="4.21875" style="1061" customWidth="1"/>
    <col min="6405" max="6405" width="6" style="1061" customWidth="1"/>
    <col min="6406" max="6406" width="3.88671875" style="1061" customWidth="1"/>
    <col min="6407" max="6407" width="4.6640625" style="1061" customWidth="1"/>
    <col min="6408" max="6408" width="6.77734375" style="1061" customWidth="1"/>
    <col min="6409" max="6409" width="5.21875" style="1061" customWidth="1"/>
    <col min="6410" max="6410" width="3.88671875" style="1061" customWidth="1"/>
    <col min="6411" max="6411" width="4.88671875" style="1061" customWidth="1"/>
    <col min="6412" max="6412" width="2.77734375" style="1061" customWidth="1"/>
    <col min="6413" max="6413" width="8.44140625" style="1061" customWidth="1"/>
    <col min="6414" max="6414" width="7.21875" style="1061" customWidth="1"/>
    <col min="6415" max="6415" width="5" style="1061" customWidth="1"/>
    <col min="6416" max="6656" width="8.88671875" style="1061"/>
    <col min="6657" max="6657" width="13" style="1061" customWidth="1"/>
    <col min="6658" max="6658" width="11.109375" style="1061" customWidth="1"/>
    <col min="6659" max="6659" width="6.77734375" style="1061" customWidth="1"/>
    <col min="6660" max="6660" width="4.21875" style="1061" customWidth="1"/>
    <col min="6661" max="6661" width="6" style="1061" customWidth="1"/>
    <col min="6662" max="6662" width="3.88671875" style="1061" customWidth="1"/>
    <col min="6663" max="6663" width="4.6640625" style="1061" customWidth="1"/>
    <col min="6664" max="6664" width="6.77734375" style="1061" customWidth="1"/>
    <col min="6665" max="6665" width="5.21875" style="1061" customWidth="1"/>
    <col min="6666" max="6666" width="3.88671875" style="1061" customWidth="1"/>
    <col min="6667" max="6667" width="4.88671875" style="1061" customWidth="1"/>
    <col min="6668" max="6668" width="2.77734375" style="1061" customWidth="1"/>
    <col min="6669" max="6669" width="8.44140625" style="1061" customWidth="1"/>
    <col min="6670" max="6670" width="7.21875" style="1061" customWidth="1"/>
    <col min="6671" max="6671" width="5" style="1061" customWidth="1"/>
    <col min="6672" max="6912" width="8.88671875" style="1061"/>
    <col min="6913" max="6913" width="13" style="1061" customWidth="1"/>
    <col min="6914" max="6914" width="11.109375" style="1061" customWidth="1"/>
    <col min="6915" max="6915" width="6.77734375" style="1061" customWidth="1"/>
    <col min="6916" max="6916" width="4.21875" style="1061" customWidth="1"/>
    <col min="6917" max="6917" width="6" style="1061" customWidth="1"/>
    <col min="6918" max="6918" width="3.88671875" style="1061" customWidth="1"/>
    <col min="6919" max="6919" width="4.6640625" style="1061" customWidth="1"/>
    <col min="6920" max="6920" width="6.77734375" style="1061" customWidth="1"/>
    <col min="6921" max="6921" width="5.21875" style="1061" customWidth="1"/>
    <col min="6922" max="6922" width="3.88671875" style="1061" customWidth="1"/>
    <col min="6923" max="6923" width="4.88671875" style="1061" customWidth="1"/>
    <col min="6924" max="6924" width="2.77734375" style="1061" customWidth="1"/>
    <col min="6925" max="6925" width="8.44140625" style="1061" customWidth="1"/>
    <col min="6926" max="6926" width="7.21875" style="1061" customWidth="1"/>
    <col min="6927" max="6927" width="5" style="1061" customWidth="1"/>
    <col min="6928" max="7168" width="8.88671875" style="1061"/>
    <col min="7169" max="7169" width="13" style="1061" customWidth="1"/>
    <col min="7170" max="7170" width="11.109375" style="1061" customWidth="1"/>
    <col min="7171" max="7171" width="6.77734375" style="1061" customWidth="1"/>
    <col min="7172" max="7172" width="4.21875" style="1061" customWidth="1"/>
    <col min="7173" max="7173" width="6" style="1061" customWidth="1"/>
    <col min="7174" max="7174" width="3.88671875" style="1061" customWidth="1"/>
    <col min="7175" max="7175" width="4.6640625" style="1061" customWidth="1"/>
    <col min="7176" max="7176" width="6.77734375" style="1061" customWidth="1"/>
    <col min="7177" max="7177" width="5.21875" style="1061" customWidth="1"/>
    <col min="7178" max="7178" width="3.88671875" style="1061" customWidth="1"/>
    <col min="7179" max="7179" width="4.88671875" style="1061" customWidth="1"/>
    <col min="7180" max="7180" width="2.77734375" style="1061" customWidth="1"/>
    <col min="7181" max="7181" width="8.44140625" style="1061" customWidth="1"/>
    <col min="7182" max="7182" width="7.21875" style="1061" customWidth="1"/>
    <col min="7183" max="7183" width="5" style="1061" customWidth="1"/>
    <col min="7184" max="7424" width="8.88671875" style="1061"/>
    <col min="7425" max="7425" width="13" style="1061" customWidth="1"/>
    <col min="7426" max="7426" width="11.109375" style="1061" customWidth="1"/>
    <col min="7427" max="7427" width="6.77734375" style="1061" customWidth="1"/>
    <col min="7428" max="7428" width="4.21875" style="1061" customWidth="1"/>
    <col min="7429" max="7429" width="6" style="1061" customWidth="1"/>
    <col min="7430" max="7430" width="3.88671875" style="1061" customWidth="1"/>
    <col min="7431" max="7431" width="4.6640625" style="1061" customWidth="1"/>
    <col min="7432" max="7432" width="6.77734375" style="1061" customWidth="1"/>
    <col min="7433" max="7433" width="5.21875" style="1061" customWidth="1"/>
    <col min="7434" max="7434" width="3.88671875" style="1061" customWidth="1"/>
    <col min="7435" max="7435" width="4.88671875" style="1061" customWidth="1"/>
    <col min="7436" max="7436" width="2.77734375" style="1061" customWidth="1"/>
    <col min="7437" max="7437" width="8.44140625" style="1061" customWidth="1"/>
    <col min="7438" max="7438" width="7.21875" style="1061" customWidth="1"/>
    <col min="7439" max="7439" width="5" style="1061" customWidth="1"/>
    <col min="7440" max="7680" width="8.88671875" style="1061"/>
    <col min="7681" max="7681" width="13" style="1061" customWidth="1"/>
    <col min="7682" max="7682" width="11.109375" style="1061" customWidth="1"/>
    <col min="7683" max="7683" width="6.77734375" style="1061" customWidth="1"/>
    <col min="7684" max="7684" width="4.21875" style="1061" customWidth="1"/>
    <col min="7685" max="7685" width="6" style="1061" customWidth="1"/>
    <col min="7686" max="7686" width="3.88671875" style="1061" customWidth="1"/>
    <col min="7687" max="7687" width="4.6640625" style="1061" customWidth="1"/>
    <col min="7688" max="7688" width="6.77734375" style="1061" customWidth="1"/>
    <col min="7689" max="7689" width="5.21875" style="1061" customWidth="1"/>
    <col min="7690" max="7690" width="3.88671875" style="1061" customWidth="1"/>
    <col min="7691" max="7691" width="4.88671875" style="1061" customWidth="1"/>
    <col min="7692" max="7692" width="2.77734375" style="1061" customWidth="1"/>
    <col min="7693" max="7693" width="8.44140625" style="1061" customWidth="1"/>
    <col min="7694" max="7694" width="7.21875" style="1061" customWidth="1"/>
    <col min="7695" max="7695" width="5" style="1061" customWidth="1"/>
    <col min="7696" max="7936" width="8.88671875" style="1061"/>
    <col min="7937" max="7937" width="13" style="1061" customWidth="1"/>
    <col min="7938" max="7938" width="11.109375" style="1061" customWidth="1"/>
    <col min="7939" max="7939" width="6.77734375" style="1061" customWidth="1"/>
    <col min="7940" max="7940" width="4.21875" style="1061" customWidth="1"/>
    <col min="7941" max="7941" width="6" style="1061" customWidth="1"/>
    <col min="7942" max="7942" width="3.88671875" style="1061" customWidth="1"/>
    <col min="7943" max="7943" width="4.6640625" style="1061" customWidth="1"/>
    <col min="7944" max="7944" width="6.77734375" style="1061" customWidth="1"/>
    <col min="7945" max="7945" width="5.21875" style="1061" customWidth="1"/>
    <col min="7946" max="7946" width="3.88671875" style="1061" customWidth="1"/>
    <col min="7947" max="7947" width="4.88671875" style="1061" customWidth="1"/>
    <col min="7948" max="7948" width="2.77734375" style="1061" customWidth="1"/>
    <col min="7949" max="7949" width="8.44140625" style="1061" customWidth="1"/>
    <col min="7950" max="7950" width="7.21875" style="1061" customWidth="1"/>
    <col min="7951" max="7951" width="5" style="1061" customWidth="1"/>
    <col min="7952" max="8192" width="8.88671875" style="1061"/>
    <col min="8193" max="8193" width="13" style="1061" customWidth="1"/>
    <col min="8194" max="8194" width="11.109375" style="1061" customWidth="1"/>
    <col min="8195" max="8195" width="6.77734375" style="1061" customWidth="1"/>
    <col min="8196" max="8196" width="4.21875" style="1061" customWidth="1"/>
    <col min="8197" max="8197" width="6" style="1061" customWidth="1"/>
    <col min="8198" max="8198" width="3.88671875" style="1061" customWidth="1"/>
    <col min="8199" max="8199" width="4.6640625" style="1061" customWidth="1"/>
    <col min="8200" max="8200" width="6.77734375" style="1061" customWidth="1"/>
    <col min="8201" max="8201" width="5.21875" style="1061" customWidth="1"/>
    <col min="8202" max="8202" width="3.88671875" style="1061" customWidth="1"/>
    <col min="8203" max="8203" width="4.88671875" style="1061" customWidth="1"/>
    <col min="8204" max="8204" width="2.77734375" style="1061" customWidth="1"/>
    <col min="8205" max="8205" width="8.44140625" style="1061" customWidth="1"/>
    <col min="8206" max="8206" width="7.21875" style="1061" customWidth="1"/>
    <col min="8207" max="8207" width="5" style="1061" customWidth="1"/>
    <col min="8208" max="8448" width="8.88671875" style="1061"/>
    <col min="8449" max="8449" width="13" style="1061" customWidth="1"/>
    <col min="8450" max="8450" width="11.109375" style="1061" customWidth="1"/>
    <col min="8451" max="8451" width="6.77734375" style="1061" customWidth="1"/>
    <col min="8452" max="8452" width="4.21875" style="1061" customWidth="1"/>
    <col min="8453" max="8453" width="6" style="1061" customWidth="1"/>
    <col min="8454" max="8454" width="3.88671875" style="1061" customWidth="1"/>
    <col min="8455" max="8455" width="4.6640625" style="1061" customWidth="1"/>
    <col min="8456" max="8456" width="6.77734375" style="1061" customWidth="1"/>
    <col min="8457" max="8457" width="5.21875" style="1061" customWidth="1"/>
    <col min="8458" max="8458" width="3.88671875" style="1061" customWidth="1"/>
    <col min="8459" max="8459" width="4.88671875" style="1061" customWidth="1"/>
    <col min="8460" max="8460" width="2.77734375" style="1061" customWidth="1"/>
    <col min="8461" max="8461" width="8.44140625" style="1061" customWidth="1"/>
    <col min="8462" max="8462" width="7.21875" style="1061" customWidth="1"/>
    <col min="8463" max="8463" width="5" style="1061" customWidth="1"/>
    <col min="8464" max="8704" width="8.88671875" style="1061"/>
    <col min="8705" max="8705" width="13" style="1061" customWidth="1"/>
    <col min="8706" max="8706" width="11.109375" style="1061" customWidth="1"/>
    <col min="8707" max="8707" width="6.77734375" style="1061" customWidth="1"/>
    <col min="8708" max="8708" width="4.21875" style="1061" customWidth="1"/>
    <col min="8709" max="8709" width="6" style="1061" customWidth="1"/>
    <col min="8710" max="8710" width="3.88671875" style="1061" customWidth="1"/>
    <col min="8711" max="8711" width="4.6640625" style="1061" customWidth="1"/>
    <col min="8712" max="8712" width="6.77734375" style="1061" customWidth="1"/>
    <col min="8713" max="8713" width="5.21875" style="1061" customWidth="1"/>
    <col min="8714" max="8714" width="3.88671875" style="1061" customWidth="1"/>
    <col min="8715" max="8715" width="4.88671875" style="1061" customWidth="1"/>
    <col min="8716" max="8716" width="2.77734375" style="1061" customWidth="1"/>
    <col min="8717" max="8717" width="8.44140625" style="1061" customWidth="1"/>
    <col min="8718" max="8718" width="7.21875" style="1061" customWidth="1"/>
    <col min="8719" max="8719" width="5" style="1061" customWidth="1"/>
    <col min="8720" max="8960" width="8.88671875" style="1061"/>
    <col min="8961" max="8961" width="13" style="1061" customWidth="1"/>
    <col min="8962" max="8962" width="11.109375" style="1061" customWidth="1"/>
    <col min="8963" max="8963" width="6.77734375" style="1061" customWidth="1"/>
    <col min="8964" max="8964" width="4.21875" style="1061" customWidth="1"/>
    <col min="8965" max="8965" width="6" style="1061" customWidth="1"/>
    <col min="8966" max="8966" width="3.88671875" style="1061" customWidth="1"/>
    <col min="8967" max="8967" width="4.6640625" style="1061" customWidth="1"/>
    <col min="8968" max="8968" width="6.77734375" style="1061" customWidth="1"/>
    <col min="8969" max="8969" width="5.21875" style="1061" customWidth="1"/>
    <col min="8970" max="8970" width="3.88671875" style="1061" customWidth="1"/>
    <col min="8971" max="8971" width="4.88671875" style="1061" customWidth="1"/>
    <col min="8972" max="8972" width="2.77734375" style="1061" customWidth="1"/>
    <col min="8973" max="8973" width="8.44140625" style="1061" customWidth="1"/>
    <col min="8974" max="8974" width="7.21875" style="1061" customWidth="1"/>
    <col min="8975" max="8975" width="5" style="1061" customWidth="1"/>
    <col min="8976" max="9216" width="8.88671875" style="1061"/>
    <col min="9217" max="9217" width="13" style="1061" customWidth="1"/>
    <col min="9218" max="9218" width="11.109375" style="1061" customWidth="1"/>
    <col min="9219" max="9219" width="6.77734375" style="1061" customWidth="1"/>
    <col min="9220" max="9220" width="4.21875" style="1061" customWidth="1"/>
    <col min="9221" max="9221" width="6" style="1061" customWidth="1"/>
    <col min="9222" max="9222" width="3.88671875" style="1061" customWidth="1"/>
    <col min="9223" max="9223" width="4.6640625" style="1061" customWidth="1"/>
    <col min="9224" max="9224" width="6.77734375" style="1061" customWidth="1"/>
    <col min="9225" max="9225" width="5.21875" style="1061" customWidth="1"/>
    <col min="9226" max="9226" width="3.88671875" style="1061" customWidth="1"/>
    <col min="9227" max="9227" width="4.88671875" style="1061" customWidth="1"/>
    <col min="9228" max="9228" width="2.77734375" style="1061" customWidth="1"/>
    <col min="9229" max="9229" width="8.44140625" style="1061" customWidth="1"/>
    <col min="9230" max="9230" width="7.21875" style="1061" customWidth="1"/>
    <col min="9231" max="9231" width="5" style="1061" customWidth="1"/>
    <col min="9232" max="9472" width="8.88671875" style="1061"/>
    <col min="9473" max="9473" width="13" style="1061" customWidth="1"/>
    <col min="9474" max="9474" width="11.109375" style="1061" customWidth="1"/>
    <col min="9475" max="9475" width="6.77734375" style="1061" customWidth="1"/>
    <col min="9476" max="9476" width="4.21875" style="1061" customWidth="1"/>
    <col min="9477" max="9477" width="6" style="1061" customWidth="1"/>
    <col min="9478" max="9478" width="3.88671875" style="1061" customWidth="1"/>
    <col min="9479" max="9479" width="4.6640625" style="1061" customWidth="1"/>
    <col min="9480" max="9480" width="6.77734375" style="1061" customWidth="1"/>
    <col min="9481" max="9481" width="5.21875" style="1061" customWidth="1"/>
    <col min="9482" max="9482" width="3.88671875" style="1061" customWidth="1"/>
    <col min="9483" max="9483" width="4.88671875" style="1061" customWidth="1"/>
    <col min="9484" max="9484" width="2.77734375" style="1061" customWidth="1"/>
    <col min="9485" max="9485" width="8.44140625" style="1061" customWidth="1"/>
    <col min="9486" max="9486" width="7.21875" style="1061" customWidth="1"/>
    <col min="9487" max="9487" width="5" style="1061" customWidth="1"/>
    <col min="9488" max="9728" width="8.88671875" style="1061"/>
    <col min="9729" max="9729" width="13" style="1061" customWidth="1"/>
    <col min="9730" max="9730" width="11.109375" style="1061" customWidth="1"/>
    <col min="9731" max="9731" width="6.77734375" style="1061" customWidth="1"/>
    <col min="9732" max="9732" width="4.21875" style="1061" customWidth="1"/>
    <col min="9733" max="9733" width="6" style="1061" customWidth="1"/>
    <col min="9734" max="9734" width="3.88671875" style="1061" customWidth="1"/>
    <col min="9735" max="9735" width="4.6640625" style="1061" customWidth="1"/>
    <col min="9736" max="9736" width="6.77734375" style="1061" customWidth="1"/>
    <col min="9737" max="9737" width="5.21875" style="1061" customWidth="1"/>
    <col min="9738" max="9738" width="3.88671875" style="1061" customWidth="1"/>
    <col min="9739" max="9739" width="4.88671875" style="1061" customWidth="1"/>
    <col min="9740" max="9740" width="2.77734375" style="1061" customWidth="1"/>
    <col min="9741" max="9741" width="8.44140625" style="1061" customWidth="1"/>
    <col min="9742" max="9742" width="7.21875" style="1061" customWidth="1"/>
    <col min="9743" max="9743" width="5" style="1061" customWidth="1"/>
    <col min="9744" max="9984" width="8.88671875" style="1061"/>
    <col min="9985" max="9985" width="13" style="1061" customWidth="1"/>
    <col min="9986" max="9986" width="11.109375" style="1061" customWidth="1"/>
    <col min="9987" max="9987" width="6.77734375" style="1061" customWidth="1"/>
    <col min="9988" max="9988" width="4.21875" style="1061" customWidth="1"/>
    <col min="9989" max="9989" width="6" style="1061" customWidth="1"/>
    <col min="9990" max="9990" width="3.88671875" style="1061" customWidth="1"/>
    <col min="9991" max="9991" width="4.6640625" style="1061" customWidth="1"/>
    <col min="9992" max="9992" width="6.77734375" style="1061" customWidth="1"/>
    <col min="9993" max="9993" width="5.21875" style="1061" customWidth="1"/>
    <col min="9994" max="9994" width="3.88671875" style="1061" customWidth="1"/>
    <col min="9995" max="9995" width="4.88671875" style="1061" customWidth="1"/>
    <col min="9996" max="9996" width="2.77734375" style="1061" customWidth="1"/>
    <col min="9997" max="9997" width="8.44140625" style="1061" customWidth="1"/>
    <col min="9998" max="9998" width="7.21875" style="1061" customWidth="1"/>
    <col min="9999" max="9999" width="5" style="1061" customWidth="1"/>
    <col min="10000" max="10240" width="8.88671875" style="1061"/>
    <col min="10241" max="10241" width="13" style="1061" customWidth="1"/>
    <col min="10242" max="10242" width="11.109375" style="1061" customWidth="1"/>
    <col min="10243" max="10243" width="6.77734375" style="1061" customWidth="1"/>
    <col min="10244" max="10244" width="4.21875" style="1061" customWidth="1"/>
    <col min="10245" max="10245" width="6" style="1061" customWidth="1"/>
    <col min="10246" max="10246" width="3.88671875" style="1061" customWidth="1"/>
    <col min="10247" max="10247" width="4.6640625" style="1061" customWidth="1"/>
    <col min="10248" max="10248" width="6.77734375" style="1061" customWidth="1"/>
    <col min="10249" max="10249" width="5.21875" style="1061" customWidth="1"/>
    <col min="10250" max="10250" width="3.88671875" style="1061" customWidth="1"/>
    <col min="10251" max="10251" width="4.88671875" style="1061" customWidth="1"/>
    <col min="10252" max="10252" width="2.77734375" style="1061" customWidth="1"/>
    <col min="10253" max="10253" width="8.44140625" style="1061" customWidth="1"/>
    <col min="10254" max="10254" width="7.21875" style="1061" customWidth="1"/>
    <col min="10255" max="10255" width="5" style="1061" customWidth="1"/>
    <col min="10256" max="10496" width="8.88671875" style="1061"/>
    <col min="10497" max="10497" width="13" style="1061" customWidth="1"/>
    <col min="10498" max="10498" width="11.109375" style="1061" customWidth="1"/>
    <col min="10499" max="10499" width="6.77734375" style="1061" customWidth="1"/>
    <col min="10500" max="10500" width="4.21875" style="1061" customWidth="1"/>
    <col min="10501" max="10501" width="6" style="1061" customWidth="1"/>
    <col min="10502" max="10502" width="3.88671875" style="1061" customWidth="1"/>
    <col min="10503" max="10503" width="4.6640625" style="1061" customWidth="1"/>
    <col min="10504" max="10504" width="6.77734375" style="1061" customWidth="1"/>
    <col min="10505" max="10505" width="5.21875" style="1061" customWidth="1"/>
    <col min="10506" max="10506" width="3.88671875" style="1061" customWidth="1"/>
    <col min="10507" max="10507" width="4.88671875" style="1061" customWidth="1"/>
    <col min="10508" max="10508" width="2.77734375" style="1061" customWidth="1"/>
    <col min="10509" max="10509" width="8.44140625" style="1061" customWidth="1"/>
    <col min="10510" max="10510" width="7.21875" style="1061" customWidth="1"/>
    <col min="10511" max="10511" width="5" style="1061" customWidth="1"/>
    <col min="10512" max="10752" width="8.88671875" style="1061"/>
    <col min="10753" max="10753" width="13" style="1061" customWidth="1"/>
    <col min="10754" max="10754" width="11.109375" style="1061" customWidth="1"/>
    <col min="10755" max="10755" width="6.77734375" style="1061" customWidth="1"/>
    <col min="10756" max="10756" width="4.21875" style="1061" customWidth="1"/>
    <col min="10757" max="10757" width="6" style="1061" customWidth="1"/>
    <col min="10758" max="10758" width="3.88671875" style="1061" customWidth="1"/>
    <col min="10759" max="10759" width="4.6640625" style="1061" customWidth="1"/>
    <col min="10760" max="10760" width="6.77734375" style="1061" customWidth="1"/>
    <col min="10761" max="10761" width="5.21875" style="1061" customWidth="1"/>
    <col min="10762" max="10762" width="3.88671875" style="1061" customWidth="1"/>
    <col min="10763" max="10763" width="4.88671875" style="1061" customWidth="1"/>
    <col min="10764" max="10764" width="2.77734375" style="1061" customWidth="1"/>
    <col min="10765" max="10765" width="8.44140625" style="1061" customWidth="1"/>
    <col min="10766" max="10766" width="7.21875" style="1061" customWidth="1"/>
    <col min="10767" max="10767" width="5" style="1061" customWidth="1"/>
    <col min="10768" max="11008" width="8.88671875" style="1061"/>
    <col min="11009" max="11009" width="13" style="1061" customWidth="1"/>
    <col min="11010" max="11010" width="11.109375" style="1061" customWidth="1"/>
    <col min="11011" max="11011" width="6.77734375" style="1061" customWidth="1"/>
    <col min="11012" max="11012" width="4.21875" style="1061" customWidth="1"/>
    <col min="11013" max="11013" width="6" style="1061" customWidth="1"/>
    <col min="11014" max="11014" width="3.88671875" style="1061" customWidth="1"/>
    <col min="11015" max="11015" width="4.6640625" style="1061" customWidth="1"/>
    <col min="11016" max="11016" width="6.77734375" style="1061" customWidth="1"/>
    <col min="11017" max="11017" width="5.21875" style="1061" customWidth="1"/>
    <col min="11018" max="11018" width="3.88671875" style="1061" customWidth="1"/>
    <col min="11019" max="11019" width="4.88671875" style="1061" customWidth="1"/>
    <col min="11020" max="11020" width="2.77734375" style="1061" customWidth="1"/>
    <col min="11021" max="11021" width="8.44140625" style="1061" customWidth="1"/>
    <col min="11022" max="11022" width="7.21875" style="1061" customWidth="1"/>
    <col min="11023" max="11023" width="5" style="1061" customWidth="1"/>
    <col min="11024" max="11264" width="8.88671875" style="1061"/>
    <col min="11265" max="11265" width="13" style="1061" customWidth="1"/>
    <col min="11266" max="11266" width="11.109375" style="1061" customWidth="1"/>
    <col min="11267" max="11267" width="6.77734375" style="1061" customWidth="1"/>
    <col min="11268" max="11268" width="4.21875" style="1061" customWidth="1"/>
    <col min="11269" max="11269" width="6" style="1061" customWidth="1"/>
    <col min="11270" max="11270" width="3.88671875" style="1061" customWidth="1"/>
    <col min="11271" max="11271" width="4.6640625" style="1061" customWidth="1"/>
    <col min="11272" max="11272" width="6.77734375" style="1061" customWidth="1"/>
    <col min="11273" max="11273" width="5.21875" style="1061" customWidth="1"/>
    <col min="11274" max="11274" width="3.88671875" style="1061" customWidth="1"/>
    <col min="11275" max="11275" width="4.88671875" style="1061" customWidth="1"/>
    <col min="11276" max="11276" width="2.77734375" style="1061" customWidth="1"/>
    <col min="11277" max="11277" width="8.44140625" style="1061" customWidth="1"/>
    <col min="11278" max="11278" width="7.21875" style="1061" customWidth="1"/>
    <col min="11279" max="11279" width="5" style="1061" customWidth="1"/>
    <col min="11280" max="11520" width="8.88671875" style="1061"/>
    <col min="11521" max="11521" width="13" style="1061" customWidth="1"/>
    <col min="11522" max="11522" width="11.109375" style="1061" customWidth="1"/>
    <col min="11523" max="11523" width="6.77734375" style="1061" customWidth="1"/>
    <col min="11524" max="11524" width="4.21875" style="1061" customWidth="1"/>
    <col min="11525" max="11525" width="6" style="1061" customWidth="1"/>
    <col min="11526" max="11526" width="3.88671875" style="1061" customWidth="1"/>
    <col min="11527" max="11527" width="4.6640625" style="1061" customWidth="1"/>
    <col min="11528" max="11528" width="6.77734375" style="1061" customWidth="1"/>
    <col min="11529" max="11529" width="5.21875" style="1061" customWidth="1"/>
    <col min="11530" max="11530" width="3.88671875" style="1061" customWidth="1"/>
    <col min="11531" max="11531" width="4.88671875" style="1061" customWidth="1"/>
    <col min="11532" max="11532" width="2.77734375" style="1061" customWidth="1"/>
    <col min="11533" max="11533" width="8.44140625" style="1061" customWidth="1"/>
    <col min="11534" max="11534" width="7.21875" style="1061" customWidth="1"/>
    <col min="11535" max="11535" width="5" style="1061" customWidth="1"/>
    <col min="11536" max="11776" width="8.88671875" style="1061"/>
    <col min="11777" max="11777" width="13" style="1061" customWidth="1"/>
    <col min="11778" max="11778" width="11.109375" style="1061" customWidth="1"/>
    <col min="11779" max="11779" width="6.77734375" style="1061" customWidth="1"/>
    <col min="11780" max="11780" width="4.21875" style="1061" customWidth="1"/>
    <col min="11781" max="11781" width="6" style="1061" customWidth="1"/>
    <col min="11782" max="11782" width="3.88671875" style="1061" customWidth="1"/>
    <col min="11783" max="11783" width="4.6640625" style="1061" customWidth="1"/>
    <col min="11784" max="11784" width="6.77734375" style="1061" customWidth="1"/>
    <col min="11785" max="11785" width="5.21875" style="1061" customWidth="1"/>
    <col min="11786" max="11786" width="3.88671875" style="1061" customWidth="1"/>
    <col min="11787" max="11787" width="4.88671875" style="1061" customWidth="1"/>
    <col min="11788" max="11788" width="2.77734375" style="1061" customWidth="1"/>
    <col min="11789" max="11789" width="8.44140625" style="1061" customWidth="1"/>
    <col min="11790" max="11790" width="7.21875" style="1061" customWidth="1"/>
    <col min="11791" max="11791" width="5" style="1061" customWidth="1"/>
    <col min="11792" max="12032" width="8.88671875" style="1061"/>
    <col min="12033" max="12033" width="13" style="1061" customWidth="1"/>
    <col min="12034" max="12034" width="11.109375" style="1061" customWidth="1"/>
    <col min="12035" max="12035" width="6.77734375" style="1061" customWidth="1"/>
    <col min="12036" max="12036" width="4.21875" style="1061" customWidth="1"/>
    <col min="12037" max="12037" width="6" style="1061" customWidth="1"/>
    <col min="12038" max="12038" width="3.88671875" style="1061" customWidth="1"/>
    <col min="12039" max="12039" width="4.6640625" style="1061" customWidth="1"/>
    <col min="12040" max="12040" width="6.77734375" style="1061" customWidth="1"/>
    <col min="12041" max="12041" width="5.21875" style="1061" customWidth="1"/>
    <col min="12042" max="12042" width="3.88671875" style="1061" customWidth="1"/>
    <col min="12043" max="12043" width="4.88671875" style="1061" customWidth="1"/>
    <col min="12044" max="12044" width="2.77734375" style="1061" customWidth="1"/>
    <col min="12045" max="12045" width="8.44140625" style="1061" customWidth="1"/>
    <col min="12046" max="12046" width="7.21875" style="1061" customWidth="1"/>
    <col min="12047" max="12047" width="5" style="1061" customWidth="1"/>
    <col min="12048" max="12288" width="8.88671875" style="1061"/>
    <col min="12289" max="12289" width="13" style="1061" customWidth="1"/>
    <col min="12290" max="12290" width="11.109375" style="1061" customWidth="1"/>
    <col min="12291" max="12291" width="6.77734375" style="1061" customWidth="1"/>
    <col min="12292" max="12292" width="4.21875" style="1061" customWidth="1"/>
    <col min="12293" max="12293" width="6" style="1061" customWidth="1"/>
    <col min="12294" max="12294" width="3.88671875" style="1061" customWidth="1"/>
    <col min="12295" max="12295" width="4.6640625" style="1061" customWidth="1"/>
    <col min="12296" max="12296" width="6.77734375" style="1061" customWidth="1"/>
    <col min="12297" max="12297" width="5.21875" style="1061" customWidth="1"/>
    <col min="12298" max="12298" width="3.88671875" style="1061" customWidth="1"/>
    <col min="12299" max="12299" width="4.88671875" style="1061" customWidth="1"/>
    <col min="12300" max="12300" width="2.77734375" style="1061" customWidth="1"/>
    <col min="12301" max="12301" width="8.44140625" style="1061" customWidth="1"/>
    <col min="12302" max="12302" width="7.21875" style="1061" customWidth="1"/>
    <col min="12303" max="12303" width="5" style="1061" customWidth="1"/>
    <col min="12304" max="12544" width="8.88671875" style="1061"/>
    <col min="12545" max="12545" width="13" style="1061" customWidth="1"/>
    <col min="12546" max="12546" width="11.109375" style="1061" customWidth="1"/>
    <col min="12547" max="12547" width="6.77734375" style="1061" customWidth="1"/>
    <col min="12548" max="12548" width="4.21875" style="1061" customWidth="1"/>
    <col min="12549" max="12549" width="6" style="1061" customWidth="1"/>
    <col min="12550" max="12550" width="3.88671875" style="1061" customWidth="1"/>
    <col min="12551" max="12551" width="4.6640625" style="1061" customWidth="1"/>
    <col min="12552" max="12552" width="6.77734375" style="1061" customWidth="1"/>
    <col min="12553" max="12553" width="5.21875" style="1061" customWidth="1"/>
    <col min="12554" max="12554" width="3.88671875" style="1061" customWidth="1"/>
    <col min="12555" max="12555" width="4.88671875" style="1061" customWidth="1"/>
    <col min="12556" max="12556" width="2.77734375" style="1061" customWidth="1"/>
    <col min="12557" max="12557" width="8.44140625" style="1061" customWidth="1"/>
    <col min="12558" max="12558" width="7.21875" style="1061" customWidth="1"/>
    <col min="12559" max="12559" width="5" style="1061" customWidth="1"/>
    <col min="12560" max="12800" width="8.88671875" style="1061"/>
    <col min="12801" max="12801" width="13" style="1061" customWidth="1"/>
    <col min="12802" max="12802" width="11.109375" style="1061" customWidth="1"/>
    <col min="12803" max="12803" width="6.77734375" style="1061" customWidth="1"/>
    <col min="12804" max="12804" width="4.21875" style="1061" customWidth="1"/>
    <col min="12805" max="12805" width="6" style="1061" customWidth="1"/>
    <col min="12806" max="12806" width="3.88671875" style="1061" customWidth="1"/>
    <col min="12807" max="12807" width="4.6640625" style="1061" customWidth="1"/>
    <col min="12808" max="12808" width="6.77734375" style="1061" customWidth="1"/>
    <col min="12809" max="12809" width="5.21875" style="1061" customWidth="1"/>
    <col min="12810" max="12810" width="3.88671875" style="1061" customWidth="1"/>
    <col min="12811" max="12811" width="4.88671875" style="1061" customWidth="1"/>
    <col min="12812" max="12812" width="2.77734375" style="1061" customWidth="1"/>
    <col min="12813" max="12813" width="8.44140625" style="1061" customWidth="1"/>
    <col min="12814" max="12814" width="7.21875" style="1061" customWidth="1"/>
    <col min="12815" max="12815" width="5" style="1061" customWidth="1"/>
    <col min="12816" max="13056" width="8.88671875" style="1061"/>
    <col min="13057" max="13057" width="13" style="1061" customWidth="1"/>
    <col min="13058" max="13058" width="11.109375" style="1061" customWidth="1"/>
    <col min="13059" max="13059" width="6.77734375" style="1061" customWidth="1"/>
    <col min="13060" max="13060" width="4.21875" style="1061" customWidth="1"/>
    <col min="13061" max="13061" width="6" style="1061" customWidth="1"/>
    <col min="13062" max="13062" width="3.88671875" style="1061" customWidth="1"/>
    <col min="13063" max="13063" width="4.6640625" style="1061" customWidth="1"/>
    <col min="13064" max="13064" width="6.77734375" style="1061" customWidth="1"/>
    <col min="13065" max="13065" width="5.21875" style="1061" customWidth="1"/>
    <col min="13066" max="13066" width="3.88671875" style="1061" customWidth="1"/>
    <col min="13067" max="13067" width="4.88671875" style="1061" customWidth="1"/>
    <col min="13068" max="13068" width="2.77734375" style="1061" customWidth="1"/>
    <col min="13069" max="13069" width="8.44140625" style="1061" customWidth="1"/>
    <col min="13070" max="13070" width="7.21875" style="1061" customWidth="1"/>
    <col min="13071" max="13071" width="5" style="1061" customWidth="1"/>
    <col min="13072" max="13312" width="8.88671875" style="1061"/>
    <col min="13313" max="13313" width="13" style="1061" customWidth="1"/>
    <col min="13314" max="13314" width="11.109375" style="1061" customWidth="1"/>
    <col min="13315" max="13315" width="6.77734375" style="1061" customWidth="1"/>
    <col min="13316" max="13316" width="4.21875" style="1061" customWidth="1"/>
    <col min="13317" max="13317" width="6" style="1061" customWidth="1"/>
    <col min="13318" max="13318" width="3.88671875" style="1061" customWidth="1"/>
    <col min="13319" max="13319" width="4.6640625" style="1061" customWidth="1"/>
    <col min="13320" max="13320" width="6.77734375" style="1061" customWidth="1"/>
    <col min="13321" max="13321" width="5.21875" style="1061" customWidth="1"/>
    <col min="13322" max="13322" width="3.88671875" style="1061" customWidth="1"/>
    <col min="13323" max="13323" width="4.88671875" style="1061" customWidth="1"/>
    <col min="13324" max="13324" width="2.77734375" style="1061" customWidth="1"/>
    <col min="13325" max="13325" width="8.44140625" style="1061" customWidth="1"/>
    <col min="13326" max="13326" width="7.21875" style="1061" customWidth="1"/>
    <col min="13327" max="13327" width="5" style="1061" customWidth="1"/>
    <col min="13328" max="13568" width="8.88671875" style="1061"/>
    <col min="13569" max="13569" width="13" style="1061" customWidth="1"/>
    <col min="13570" max="13570" width="11.109375" style="1061" customWidth="1"/>
    <col min="13571" max="13571" width="6.77734375" style="1061" customWidth="1"/>
    <col min="13572" max="13572" width="4.21875" style="1061" customWidth="1"/>
    <col min="13573" max="13573" width="6" style="1061" customWidth="1"/>
    <col min="13574" max="13574" width="3.88671875" style="1061" customWidth="1"/>
    <col min="13575" max="13575" width="4.6640625" style="1061" customWidth="1"/>
    <col min="13576" max="13576" width="6.77734375" style="1061" customWidth="1"/>
    <col min="13577" max="13577" width="5.21875" style="1061" customWidth="1"/>
    <col min="13578" max="13578" width="3.88671875" style="1061" customWidth="1"/>
    <col min="13579" max="13579" width="4.88671875" style="1061" customWidth="1"/>
    <col min="13580" max="13580" width="2.77734375" style="1061" customWidth="1"/>
    <col min="13581" max="13581" width="8.44140625" style="1061" customWidth="1"/>
    <col min="13582" max="13582" width="7.21875" style="1061" customWidth="1"/>
    <col min="13583" max="13583" width="5" style="1061" customWidth="1"/>
    <col min="13584" max="13824" width="8.88671875" style="1061"/>
    <col min="13825" max="13825" width="13" style="1061" customWidth="1"/>
    <col min="13826" max="13826" width="11.109375" style="1061" customWidth="1"/>
    <col min="13827" max="13827" width="6.77734375" style="1061" customWidth="1"/>
    <col min="13828" max="13828" width="4.21875" style="1061" customWidth="1"/>
    <col min="13829" max="13829" width="6" style="1061" customWidth="1"/>
    <col min="13830" max="13830" width="3.88671875" style="1061" customWidth="1"/>
    <col min="13831" max="13831" width="4.6640625" style="1061" customWidth="1"/>
    <col min="13832" max="13832" width="6.77734375" style="1061" customWidth="1"/>
    <col min="13833" max="13833" width="5.21875" style="1061" customWidth="1"/>
    <col min="13834" max="13834" width="3.88671875" style="1061" customWidth="1"/>
    <col min="13835" max="13835" width="4.88671875" style="1061" customWidth="1"/>
    <col min="13836" max="13836" width="2.77734375" style="1061" customWidth="1"/>
    <col min="13837" max="13837" width="8.44140625" style="1061" customWidth="1"/>
    <col min="13838" max="13838" width="7.21875" style="1061" customWidth="1"/>
    <col min="13839" max="13839" width="5" style="1061" customWidth="1"/>
    <col min="13840" max="14080" width="8.88671875" style="1061"/>
    <col min="14081" max="14081" width="13" style="1061" customWidth="1"/>
    <col min="14082" max="14082" width="11.109375" style="1061" customWidth="1"/>
    <col min="14083" max="14083" width="6.77734375" style="1061" customWidth="1"/>
    <col min="14084" max="14084" width="4.21875" style="1061" customWidth="1"/>
    <col min="14085" max="14085" width="6" style="1061" customWidth="1"/>
    <col min="14086" max="14086" width="3.88671875" style="1061" customWidth="1"/>
    <col min="14087" max="14087" width="4.6640625" style="1061" customWidth="1"/>
    <col min="14088" max="14088" width="6.77734375" style="1061" customWidth="1"/>
    <col min="14089" max="14089" width="5.21875" style="1061" customWidth="1"/>
    <col min="14090" max="14090" width="3.88671875" style="1061" customWidth="1"/>
    <col min="14091" max="14091" width="4.88671875" style="1061" customWidth="1"/>
    <col min="14092" max="14092" width="2.77734375" style="1061" customWidth="1"/>
    <col min="14093" max="14093" width="8.44140625" style="1061" customWidth="1"/>
    <col min="14094" max="14094" width="7.21875" style="1061" customWidth="1"/>
    <col min="14095" max="14095" width="5" style="1061" customWidth="1"/>
    <col min="14096" max="14336" width="8.88671875" style="1061"/>
    <col min="14337" max="14337" width="13" style="1061" customWidth="1"/>
    <col min="14338" max="14338" width="11.109375" style="1061" customWidth="1"/>
    <col min="14339" max="14339" width="6.77734375" style="1061" customWidth="1"/>
    <col min="14340" max="14340" width="4.21875" style="1061" customWidth="1"/>
    <col min="14341" max="14341" width="6" style="1061" customWidth="1"/>
    <col min="14342" max="14342" width="3.88671875" style="1061" customWidth="1"/>
    <col min="14343" max="14343" width="4.6640625" style="1061" customWidth="1"/>
    <col min="14344" max="14344" width="6.77734375" style="1061" customWidth="1"/>
    <col min="14345" max="14345" width="5.21875" style="1061" customWidth="1"/>
    <col min="14346" max="14346" width="3.88671875" style="1061" customWidth="1"/>
    <col min="14347" max="14347" width="4.88671875" style="1061" customWidth="1"/>
    <col min="14348" max="14348" width="2.77734375" style="1061" customWidth="1"/>
    <col min="14349" max="14349" width="8.44140625" style="1061" customWidth="1"/>
    <col min="14350" max="14350" width="7.21875" style="1061" customWidth="1"/>
    <col min="14351" max="14351" width="5" style="1061" customWidth="1"/>
    <col min="14352" max="14592" width="8.88671875" style="1061"/>
    <col min="14593" max="14593" width="13" style="1061" customWidth="1"/>
    <col min="14594" max="14594" width="11.109375" style="1061" customWidth="1"/>
    <col min="14595" max="14595" width="6.77734375" style="1061" customWidth="1"/>
    <col min="14596" max="14596" width="4.21875" style="1061" customWidth="1"/>
    <col min="14597" max="14597" width="6" style="1061" customWidth="1"/>
    <col min="14598" max="14598" width="3.88671875" style="1061" customWidth="1"/>
    <col min="14599" max="14599" width="4.6640625" style="1061" customWidth="1"/>
    <col min="14600" max="14600" width="6.77734375" style="1061" customWidth="1"/>
    <col min="14601" max="14601" width="5.21875" style="1061" customWidth="1"/>
    <col min="14602" max="14602" width="3.88671875" style="1061" customWidth="1"/>
    <col min="14603" max="14603" width="4.88671875" style="1061" customWidth="1"/>
    <col min="14604" max="14604" width="2.77734375" style="1061" customWidth="1"/>
    <col min="14605" max="14605" width="8.44140625" style="1061" customWidth="1"/>
    <col min="14606" max="14606" width="7.21875" style="1061" customWidth="1"/>
    <col min="14607" max="14607" width="5" style="1061" customWidth="1"/>
    <col min="14608" max="14848" width="8.88671875" style="1061"/>
    <col min="14849" max="14849" width="13" style="1061" customWidth="1"/>
    <col min="14850" max="14850" width="11.109375" style="1061" customWidth="1"/>
    <col min="14851" max="14851" width="6.77734375" style="1061" customWidth="1"/>
    <col min="14852" max="14852" width="4.21875" style="1061" customWidth="1"/>
    <col min="14853" max="14853" width="6" style="1061" customWidth="1"/>
    <col min="14854" max="14854" width="3.88671875" style="1061" customWidth="1"/>
    <col min="14855" max="14855" width="4.6640625" style="1061" customWidth="1"/>
    <col min="14856" max="14856" width="6.77734375" style="1061" customWidth="1"/>
    <col min="14857" max="14857" width="5.21875" style="1061" customWidth="1"/>
    <col min="14858" max="14858" width="3.88671875" style="1061" customWidth="1"/>
    <col min="14859" max="14859" width="4.88671875" style="1061" customWidth="1"/>
    <col min="14860" max="14860" width="2.77734375" style="1061" customWidth="1"/>
    <col min="14861" max="14861" width="8.44140625" style="1061" customWidth="1"/>
    <col min="14862" max="14862" width="7.21875" style="1061" customWidth="1"/>
    <col min="14863" max="14863" width="5" style="1061" customWidth="1"/>
    <col min="14864" max="15104" width="8.88671875" style="1061"/>
    <col min="15105" max="15105" width="13" style="1061" customWidth="1"/>
    <col min="15106" max="15106" width="11.109375" style="1061" customWidth="1"/>
    <col min="15107" max="15107" width="6.77734375" style="1061" customWidth="1"/>
    <col min="15108" max="15108" width="4.21875" style="1061" customWidth="1"/>
    <col min="15109" max="15109" width="6" style="1061" customWidth="1"/>
    <col min="15110" max="15110" width="3.88671875" style="1061" customWidth="1"/>
    <col min="15111" max="15111" width="4.6640625" style="1061" customWidth="1"/>
    <col min="15112" max="15112" width="6.77734375" style="1061" customWidth="1"/>
    <col min="15113" max="15113" width="5.21875" style="1061" customWidth="1"/>
    <col min="15114" max="15114" width="3.88671875" style="1061" customWidth="1"/>
    <col min="15115" max="15115" width="4.88671875" style="1061" customWidth="1"/>
    <col min="15116" max="15116" width="2.77734375" style="1061" customWidth="1"/>
    <col min="15117" max="15117" width="8.44140625" style="1061" customWidth="1"/>
    <col min="15118" max="15118" width="7.21875" style="1061" customWidth="1"/>
    <col min="15119" max="15119" width="5" style="1061" customWidth="1"/>
    <col min="15120" max="15360" width="8.88671875" style="1061"/>
    <col min="15361" max="15361" width="13" style="1061" customWidth="1"/>
    <col min="15362" max="15362" width="11.109375" style="1061" customWidth="1"/>
    <col min="15363" max="15363" width="6.77734375" style="1061" customWidth="1"/>
    <col min="15364" max="15364" width="4.21875" style="1061" customWidth="1"/>
    <col min="15365" max="15365" width="6" style="1061" customWidth="1"/>
    <col min="15366" max="15366" width="3.88671875" style="1061" customWidth="1"/>
    <col min="15367" max="15367" width="4.6640625" style="1061" customWidth="1"/>
    <col min="15368" max="15368" width="6.77734375" style="1061" customWidth="1"/>
    <col min="15369" max="15369" width="5.21875" style="1061" customWidth="1"/>
    <col min="15370" max="15370" width="3.88671875" style="1061" customWidth="1"/>
    <col min="15371" max="15371" width="4.88671875" style="1061" customWidth="1"/>
    <col min="15372" max="15372" width="2.77734375" style="1061" customWidth="1"/>
    <col min="15373" max="15373" width="8.44140625" style="1061" customWidth="1"/>
    <col min="15374" max="15374" width="7.21875" style="1061" customWidth="1"/>
    <col min="15375" max="15375" width="5" style="1061" customWidth="1"/>
    <col min="15376" max="15616" width="8.88671875" style="1061"/>
    <col min="15617" max="15617" width="13" style="1061" customWidth="1"/>
    <col min="15618" max="15618" width="11.109375" style="1061" customWidth="1"/>
    <col min="15619" max="15619" width="6.77734375" style="1061" customWidth="1"/>
    <col min="15620" max="15620" width="4.21875" style="1061" customWidth="1"/>
    <col min="15621" max="15621" width="6" style="1061" customWidth="1"/>
    <col min="15622" max="15622" width="3.88671875" style="1061" customWidth="1"/>
    <col min="15623" max="15623" width="4.6640625" style="1061" customWidth="1"/>
    <col min="15624" max="15624" width="6.77734375" style="1061" customWidth="1"/>
    <col min="15625" max="15625" width="5.21875" style="1061" customWidth="1"/>
    <col min="15626" max="15626" width="3.88671875" style="1061" customWidth="1"/>
    <col min="15627" max="15627" width="4.88671875" style="1061" customWidth="1"/>
    <col min="15628" max="15628" width="2.77734375" style="1061" customWidth="1"/>
    <col min="15629" max="15629" width="8.44140625" style="1061" customWidth="1"/>
    <col min="15630" max="15630" width="7.21875" style="1061" customWidth="1"/>
    <col min="15631" max="15631" width="5" style="1061" customWidth="1"/>
    <col min="15632" max="15872" width="8.88671875" style="1061"/>
    <col min="15873" max="15873" width="13" style="1061" customWidth="1"/>
    <col min="15874" max="15874" width="11.109375" style="1061" customWidth="1"/>
    <col min="15875" max="15875" width="6.77734375" style="1061" customWidth="1"/>
    <col min="15876" max="15876" width="4.21875" style="1061" customWidth="1"/>
    <col min="15877" max="15877" width="6" style="1061" customWidth="1"/>
    <col min="15878" max="15878" width="3.88671875" style="1061" customWidth="1"/>
    <col min="15879" max="15879" width="4.6640625" style="1061" customWidth="1"/>
    <col min="15880" max="15880" width="6.77734375" style="1061" customWidth="1"/>
    <col min="15881" max="15881" width="5.21875" style="1061" customWidth="1"/>
    <col min="15882" max="15882" width="3.88671875" style="1061" customWidth="1"/>
    <col min="15883" max="15883" width="4.88671875" style="1061" customWidth="1"/>
    <col min="15884" max="15884" width="2.77734375" style="1061" customWidth="1"/>
    <col min="15885" max="15885" width="8.44140625" style="1061" customWidth="1"/>
    <col min="15886" max="15886" width="7.21875" style="1061" customWidth="1"/>
    <col min="15887" max="15887" width="5" style="1061" customWidth="1"/>
    <col min="15888" max="16128" width="8.88671875" style="1061"/>
    <col min="16129" max="16129" width="13" style="1061" customWidth="1"/>
    <col min="16130" max="16130" width="11.109375" style="1061" customWidth="1"/>
    <col min="16131" max="16131" width="6.77734375" style="1061" customWidth="1"/>
    <col min="16132" max="16132" width="4.21875" style="1061" customWidth="1"/>
    <col min="16133" max="16133" width="6" style="1061" customWidth="1"/>
    <col min="16134" max="16134" width="3.88671875" style="1061" customWidth="1"/>
    <col min="16135" max="16135" width="4.6640625" style="1061" customWidth="1"/>
    <col min="16136" max="16136" width="6.77734375" style="1061" customWidth="1"/>
    <col min="16137" max="16137" width="5.21875" style="1061" customWidth="1"/>
    <col min="16138" max="16138" width="3.88671875" style="1061" customWidth="1"/>
    <col min="16139" max="16139" width="4.88671875" style="1061" customWidth="1"/>
    <col min="16140" max="16140" width="2.77734375" style="1061" customWidth="1"/>
    <col min="16141" max="16141" width="8.44140625" style="1061" customWidth="1"/>
    <col min="16142" max="16142" width="7.21875" style="1061" customWidth="1"/>
    <col min="16143" max="16143" width="5" style="1061" customWidth="1"/>
    <col min="16144" max="16384" width="8.88671875" style="1061"/>
  </cols>
  <sheetData>
    <row r="1" spans="1:23" ht="50.1" customHeight="1">
      <c r="A1" s="1443" t="s">
        <v>398</v>
      </c>
      <c r="B1" s="1443"/>
      <c r="C1" s="1443"/>
      <c r="D1" s="1443"/>
      <c r="E1" s="1443"/>
      <c r="F1" s="1443"/>
      <c r="G1" s="1443"/>
      <c r="H1" s="1443"/>
      <c r="I1" s="1443"/>
      <c r="J1" s="1443"/>
      <c r="K1" s="1443"/>
      <c r="L1" s="1443"/>
      <c r="M1" s="1443"/>
      <c r="N1" s="1443"/>
      <c r="O1" s="1443"/>
      <c r="P1" s="1060"/>
      <c r="Q1" s="1060"/>
      <c r="R1" s="1060"/>
      <c r="S1" s="1060"/>
      <c r="T1" s="1060"/>
      <c r="U1" s="1060"/>
      <c r="V1" s="1060"/>
      <c r="W1" s="1060"/>
    </row>
    <row r="2" spans="1:23" ht="18" customHeight="1">
      <c r="A2" s="1062"/>
      <c r="B2" s="1063"/>
      <c r="C2" s="1063"/>
      <c r="D2" s="1063"/>
      <c r="E2" s="1063"/>
      <c r="F2" s="1063"/>
      <c r="G2" s="1063"/>
      <c r="H2" s="1063"/>
      <c r="I2" s="1063"/>
      <c r="J2" s="1063"/>
      <c r="K2" s="1063"/>
      <c r="L2" s="1063"/>
      <c r="M2" s="1064" t="s">
        <v>365</v>
      </c>
      <c r="N2" s="1065">
        <f>'오수맨홀수량 및 평균높이'!J12</f>
        <v>2.93</v>
      </c>
      <c r="O2" s="1066" t="s">
        <v>366</v>
      </c>
      <c r="P2" s="1067"/>
      <c r="Q2" s="1067"/>
      <c r="R2" s="1067"/>
      <c r="S2" s="1067"/>
      <c r="T2" s="1067"/>
      <c r="U2" s="1067"/>
      <c r="V2" s="1067"/>
      <c r="W2" s="1067"/>
    </row>
    <row r="3" spans="1:23" ht="18" customHeight="1">
      <c r="A3" s="1062"/>
      <c r="B3" s="1063"/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4"/>
      <c r="N3" s="1065"/>
      <c r="O3" s="1066"/>
      <c r="P3" s="1067"/>
      <c r="Q3" s="1067"/>
      <c r="R3" s="1067"/>
      <c r="S3" s="1067"/>
      <c r="T3" s="1067"/>
      <c r="U3" s="1067"/>
      <c r="V3" s="1067"/>
      <c r="W3" s="1067"/>
    </row>
    <row r="4" spans="1:23" ht="18" customHeight="1">
      <c r="A4" s="1062"/>
      <c r="B4" s="1068"/>
      <c r="C4" s="1068"/>
      <c r="D4" s="1068"/>
      <c r="E4" s="1068"/>
      <c r="F4" s="1068"/>
      <c r="G4" s="1068"/>
      <c r="H4" s="1068"/>
      <c r="I4" s="1068"/>
      <c r="J4" s="1068"/>
      <c r="K4" s="1068"/>
      <c r="L4" s="1068"/>
      <c r="M4" s="1069"/>
      <c r="N4" s="1063"/>
      <c r="O4" s="1070"/>
      <c r="P4" s="1067"/>
      <c r="Q4" s="1067"/>
      <c r="R4" s="1067"/>
      <c r="S4" s="1067"/>
      <c r="T4" s="1067"/>
      <c r="U4" s="1067"/>
      <c r="V4" s="1067"/>
      <c r="W4" s="1067"/>
    </row>
    <row r="5" spans="1:23" ht="18" customHeight="1">
      <c r="A5" s="1062"/>
      <c r="B5" s="1068"/>
      <c r="C5" s="1068"/>
      <c r="D5" s="1068"/>
      <c r="E5" s="1068"/>
      <c r="F5" s="1068"/>
      <c r="G5" s="1068"/>
      <c r="H5" s="1068"/>
      <c r="I5" s="1068"/>
      <c r="J5" s="1068"/>
      <c r="K5" s="1068"/>
      <c r="L5" s="1068"/>
      <c r="M5" s="1069"/>
      <c r="N5" s="1063"/>
      <c r="O5" s="1070"/>
      <c r="P5" s="1067"/>
      <c r="Q5" s="1067"/>
      <c r="R5" s="1067"/>
      <c r="S5" s="1067"/>
      <c r="T5" s="1067"/>
      <c r="U5" s="1067"/>
      <c r="V5" s="1067"/>
      <c r="W5" s="1067"/>
    </row>
    <row r="6" spans="1:23" ht="18" customHeight="1">
      <c r="A6" s="1062"/>
      <c r="B6" s="1068"/>
      <c r="C6" s="1068"/>
      <c r="D6" s="1068"/>
      <c r="E6" s="1068"/>
      <c r="F6" s="1068"/>
      <c r="G6" s="1068"/>
      <c r="H6" s="1068"/>
      <c r="I6" s="1068"/>
      <c r="J6" s="1068"/>
      <c r="K6" s="1068"/>
      <c r="L6" s="1068"/>
      <c r="M6" s="1069"/>
      <c r="N6" s="1063"/>
      <c r="O6" s="1070"/>
      <c r="P6" s="1067"/>
      <c r="Q6" s="1067"/>
      <c r="R6" s="1067"/>
      <c r="S6" s="1067"/>
      <c r="T6" s="1067"/>
      <c r="U6" s="1067"/>
      <c r="V6" s="1067"/>
      <c r="W6" s="1067"/>
    </row>
    <row r="7" spans="1:23" ht="18" customHeight="1">
      <c r="A7" s="1062"/>
      <c r="B7" s="1068"/>
      <c r="C7" s="1068"/>
      <c r="D7" s="1068"/>
      <c r="E7" s="1068"/>
      <c r="F7" s="1068"/>
      <c r="G7" s="1068"/>
      <c r="H7" s="1068"/>
      <c r="I7" s="1068"/>
      <c r="J7" s="1068"/>
      <c r="K7" s="1068"/>
      <c r="L7" s="1068"/>
      <c r="M7" s="1069"/>
      <c r="N7" s="1063"/>
      <c r="O7" s="1070"/>
      <c r="P7" s="1067"/>
      <c r="Q7" s="1067"/>
      <c r="R7" s="1067"/>
      <c r="S7" s="1067"/>
      <c r="T7" s="1067"/>
      <c r="U7" s="1067"/>
      <c r="V7" s="1067"/>
      <c r="W7" s="1067"/>
    </row>
    <row r="8" spans="1:23" ht="18" customHeight="1">
      <c r="A8" s="1062"/>
      <c r="B8" s="1068"/>
      <c r="C8" s="1068"/>
      <c r="D8" s="1068"/>
      <c r="E8" s="1068"/>
      <c r="F8" s="1068"/>
      <c r="G8" s="1068"/>
      <c r="H8" s="1068"/>
      <c r="I8" s="1068"/>
      <c r="J8" s="1068"/>
      <c r="K8" s="1068"/>
      <c r="L8" s="1068"/>
      <c r="M8" s="1069"/>
      <c r="N8" s="1063"/>
      <c r="O8" s="1070"/>
      <c r="P8" s="1067"/>
      <c r="Q8" s="1067"/>
      <c r="R8" s="1067"/>
      <c r="S8" s="1067"/>
      <c r="T8" s="1067"/>
      <c r="U8" s="1067"/>
      <c r="V8" s="1067"/>
      <c r="W8" s="1067"/>
    </row>
    <row r="9" spans="1:23" ht="18" customHeight="1">
      <c r="A9" s="1062"/>
      <c r="B9" s="1068"/>
      <c r="C9" s="1068"/>
      <c r="D9" s="1068"/>
      <c r="E9" s="1068"/>
      <c r="F9" s="1068"/>
      <c r="G9" s="1068"/>
      <c r="H9" s="1068"/>
      <c r="I9" s="1068"/>
      <c r="J9" s="1068"/>
      <c r="K9" s="1068"/>
      <c r="L9" s="1068"/>
      <c r="M9" s="1069"/>
      <c r="N9" s="1063"/>
      <c r="O9" s="1070"/>
      <c r="P9" s="1067"/>
      <c r="Q9" s="1067"/>
      <c r="R9" s="1067"/>
      <c r="S9" s="1067"/>
      <c r="T9" s="1067"/>
      <c r="U9" s="1067"/>
      <c r="V9" s="1067"/>
      <c r="W9" s="1067"/>
    </row>
    <row r="10" spans="1:23" ht="18" customHeight="1">
      <c r="A10" s="1062"/>
      <c r="B10" s="1068"/>
      <c r="C10" s="1068"/>
      <c r="D10" s="1068"/>
      <c r="E10" s="1068"/>
      <c r="F10" s="1068"/>
      <c r="G10" s="1068"/>
      <c r="H10" s="1068"/>
      <c r="I10" s="1068"/>
      <c r="J10" s="1068"/>
      <c r="K10" s="1068"/>
      <c r="L10" s="1068"/>
      <c r="M10" s="1069"/>
      <c r="N10" s="1063"/>
      <c r="O10" s="1070"/>
      <c r="P10" s="1067"/>
      <c r="Q10" s="1067"/>
      <c r="R10" s="1067"/>
      <c r="S10" s="1067"/>
      <c r="T10" s="1067"/>
      <c r="U10" s="1067"/>
      <c r="V10" s="1067"/>
      <c r="W10" s="1067"/>
    </row>
    <row r="11" spans="1:23" ht="18" customHeight="1">
      <c r="A11" s="1062"/>
      <c r="B11" s="1068"/>
      <c r="C11" s="1068"/>
      <c r="D11" s="1068"/>
      <c r="E11" s="1068"/>
      <c r="F11" s="1068"/>
      <c r="G11" s="1068"/>
      <c r="H11" s="1068"/>
      <c r="I11" s="1068"/>
      <c r="J11" s="1068"/>
      <c r="K11" s="1068"/>
      <c r="L11" s="1068"/>
      <c r="M11" s="1069"/>
      <c r="N11" s="1063"/>
      <c r="O11" s="1070"/>
      <c r="P11" s="1067"/>
      <c r="Q11" s="1067"/>
      <c r="R11" s="1067"/>
      <c r="S11" s="1067"/>
      <c r="T11" s="1067"/>
      <c r="U11" s="1067"/>
      <c r="V11" s="1067"/>
      <c r="W11" s="1067"/>
    </row>
    <row r="12" spans="1:23" ht="18" customHeight="1">
      <c r="A12" s="1062"/>
      <c r="B12" s="1068"/>
      <c r="C12" s="1068"/>
      <c r="D12" s="1068"/>
      <c r="E12" s="1068"/>
      <c r="F12" s="1068"/>
      <c r="G12" s="1068"/>
      <c r="H12" s="1068"/>
      <c r="I12" s="1068"/>
      <c r="J12" s="1068"/>
      <c r="K12" s="1068"/>
      <c r="L12" s="1068"/>
      <c r="M12" s="1069"/>
      <c r="N12" s="1063"/>
      <c r="O12" s="1070"/>
      <c r="P12" s="1067"/>
      <c r="Q12" s="1067"/>
      <c r="R12" s="1067"/>
      <c r="S12" s="1067"/>
      <c r="T12" s="1067"/>
      <c r="U12" s="1067"/>
      <c r="V12" s="1067"/>
      <c r="W12" s="1067"/>
    </row>
    <row r="13" spans="1:23" ht="18" customHeight="1">
      <c r="A13" s="1062"/>
      <c r="B13" s="1068"/>
      <c r="C13" s="1068"/>
      <c r="D13" s="1068"/>
      <c r="E13" s="1068"/>
      <c r="F13" s="1068"/>
      <c r="G13" s="1068"/>
      <c r="H13" s="1068"/>
      <c r="I13" s="1068"/>
      <c r="J13" s="1068"/>
      <c r="K13" s="1068"/>
      <c r="L13" s="1068"/>
      <c r="M13" s="1069"/>
      <c r="N13" s="1063"/>
      <c r="O13" s="1070"/>
      <c r="P13" s="1067"/>
      <c r="Q13" s="1067"/>
      <c r="R13" s="1067"/>
      <c r="S13" s="1067"/>
      <c r="T13" s="1067"/>
      <c r="U13" s="1067"/>
      <c r="V13" s="1067"/>
      <c r="W13" s="1067"/>
    </row>
    <row r="14" spans="1:23" ht="18" customHeight="1">
      <c r="A14" s="1062"/>
      <c r="B14" s="1068"/>
      <c r="C14" s="1068"/>
      <c r="D14" s="1068"/>
      <c r="E14" s="1068"/>
      <c r="F14" s="1068"/>
      <c r="G14" s="1068"/>
      <c r="H14" s="1068"/>
      <c r="I14" s="1068"/>
      <c r="J14" s="1068"/>
      <c r="K14" s="1068"/>
      <c r="L14" s="1068"/>
      <c r="M14" s="1069"/>
      <c r="N14" s="1063"/>
      <c r="O14" s="1070"/>
      <c r="P14" s="1067"/>
      <c r="Q14" s="1067"/>
      <c r="R14" s="1067"/>
      <c r="S14" s="1067"/>
      <c r="T14" s="1067"/>
      <c r="U14" s="1067"/>
      <c r="V14" s="1067"/>
      <c r="W14" s="1067"/>
    </row>
    <row r="15" spans="1:23" ht="18" customHeight="1">
      <c r="A15" s="1062"/>
      <c r="B15" s="1068"/>
      <c r="C15" s="1068"/>
      <c r="D15" s="1068"/>
      <c r="E15" s="1068"/>
      <c r="F15" s="1068"/>
      <c r="G15" s="1068"/>
      <c r="H15" s="1068"/>
      <c r="I15" s="1068"/>
      <c r="J15" s="1068"/>
      <c r="K15" s="1068"/>
      <c r="L15" s="1068"/>
      <c r="M15" s="1069"/>
      <c r="N15" s="1063"/>
      <c r="O15" s="1070"/>
      <c r="P15" s="1067"/>
      <c r="Q15" s="1067"/>
      <c r="R15" s="1067"/>
      <c r="S15" s="1067"/>
      <c r="T15" s="1067"/>
      <c r="U15" s="1067"/>
      <c r="V15" s="1067"/>
      <c r="W15" s="1067"/>
    </row>
    <row r="16" spans="1:23" ht="18" customHeight="1">
      <c r="A16" s="1062"/>
      <c r="B16" s="1068"/>
      <c r="C16" s="1068"/>
      <c r="D16" s="1068"/>
      <c r="E16" s="1068"/>
      <c r="F16" s="1068"/>
      <c r="G16" s="1068"/>
      <c r="H16" s="1068"/>
      <c r="I16" s="1068"/>
      <c r="J16" s="1068"/>
      <c r="K16" s="1068"/>
      <c r="L16" s="1068"/>
      <c r="M16" s="1069"/>
      <c r="N16" s="1063"/>
      <c r="O16" s="1070"/>
      <c r="P16" s="1067"/>
      <c r="Q16" s="1067"/>
      <c r="R16" s="1067"/>
      <c r="S16" s="1067"/>
      <c r="T16" s="1067"/>
      <c r="U16" s="1067"/>
      <c r="V16" s="1067"/>
      <c r="W16" s="1067"/>
    </row>
    <row r="17" spans="1:23" ht="18" customHeight="1">
      <c r="A17" s="1062"/>
      <c r="B17" s="1068"/>
      <c r="C17" s="1068"/>
      <c r="D17" s="1068"/>
      <c r="E17" s="1068"/>
      <c r="F17" s="1068"/>
      <c r="G17" s="1068"/>
      <c r="H17" s="1068"/>
      <c r="I17" s="1068"/>
      <c r="J17" s="1068"/>
      <c r="K17" s="1068"/>
      <c r="L17" s="1068"/>
      <c r="M17" s="1069"/>
      <c r="N17" s="1063"/>
      <c r="O17" s="1070"/>
      <c r="P17" s="1067"/>
      <c r="Q17" s="1067"/>
      <c r="R17" s="1067"/>
      <c r="S17" s="1067"/>
      <c r="T17" s="1067"/>
      <c r="U17" s="1067"/>
      <c r="V17" s="1067"/>
      <c r="W17" s="1067"/>
    </row>
    <row r="18" spans="1:23" ht="18" customHeight="1">
      <c r="A18" s="1062"/>
      <c r="B18" s="1068"/>
      <c r="C18" s="1068"/>
      <c r="D18" s="1068"/>
      <c r="E18" s="1068"/>
      <c r="F18" s="1068"/>
      <c r="G18" s="1068"/>
      <c r="H18" s="1068"/>
      <c r="I18" s="1068"/>
      <c r="J18" s="1068"/>
      <c r="K18" s="1068"/>
      <c r="L18" s="1068"/>
      <c r="M18" s="1069"/>
      <c r="N18" s="1063"/>
      <c r="O18" s="1070"/>
      <c r="P18" s="1067"/>
      <c r="Q18" s="1067"/>
      <c r="R18" s="1067"/>
      <c r="S18" s="1067"/>
      <c r="T18" s="1067"/>
      <c r="U18" s="1067"/>
      <c r="V18" s="1067"/>
      <c r="W18" s="1067"/>
    </row>
    <row r="19" spans="1:23" ht="18" customHeight="1">
      <c r="A19" s="1062"/>
      <c r="B19" s="1068"/>
      <c r="C19" s="1068"/>
      <c r="D19" s="1068"/>
      <c r="E19" s="1068"/>
      <c r="F19" s="1068"/>
      <c r="G19" s="1068"/>
      <c r="H19" s="1068"/>
      <c r="I19" s="1068"/>
      <c r="J19" s="1068"/>
      <c r="K19" s="1068"/>
      <c r="L19" s="1068"/>
      <c r="M19" s="1069"/>
      <c r="N19" s="1063"/>
      <c r="O19" s="1070"/>
      <c r="P19" s="1067"/>
      <c r="Q19" s="1067"/>
      <c r="R19" s="1067"/>
      <c r="S19" s="1067"/>
      <c r="T19" s="1067"/>
      <c r="U19" s="1067"/>
      <c r="V19" s="1067"/>
      <c r="W19" s="1067"/>
    </row>
    <row r="20" spans="1:23" ht="18" customHeight="1">
      <c r="A20" s="1062"/>
      <c r="B20" s="1068"/>
      <c r="C20" s="1068"/>
      <c r="D20" s="1068"/>
      <c r="E20" s="1068"/>
      <c r="F20" s="1068"/>
      <c r="G20" s="1068"/>
      <c r="H20" s="1068"/>
      <c r="I20" s="1068"/>
      <c r="J20" s="1068"/>
      <c r="K20" s="1068"/>
      <c r="L20" s="1068"/>
      <c r="M20" s="1069"/>
      <c r="N20" s="1063"/>
      <c r="O20" s="1070"/>
      <c r="P20" s="1067"/>
      <c r="Q20" s="1067"/>
      <c r="R20" s="1067"/>
      <c r="S20" s="1067"/>
      <c r="T20" s="1067"/>
      <c r="U20" s="1067"/>
      <c r="V20" s="1067"/>
      <c r="W20" s="1067"/>
    </row>
    <row r="21" spans="1:23" ht="18" customHeight="1">
      <c r="A21" s="1062"/>
      <c r="B21" s="1068"/>
      <c r="C21" s="1068"/>
      <c r="D21" s="1068"/>
      <c r="E21" s="1068"/>
      <c r="F21" s="1068"/>
      <c r="G21" s="1068"/>
      <c r="H21" s="1068"/>
      <c r="I21" s="1068"/>
      <c r="J21" s="1068"/>
      <c r="K21" s="1068"/>
      <c r="L21" s="1068"/>
      <c r="M21" s="1069"/>
      <c r="N21" s="1063"/>
      <c r="O21" s="1070"/>
      <c r="P21" s="1067"/>
      <c r="Q21" s="1067"/>
      <c r="R21" s="1067"/>
      <c r="S21" s="1067"/>
      <c r="T21" s="1067"/>
      <c r="U21" s="1067"/>
      <c r="V21" s="1067"/>
      <c r="W21" s="1067"/>
    </row>
    <row r="22" spans="1:23" ht="18" customHeight="1">
      <c r="A22" s="1062"/>
      <c r="B22" s="1068"/>
      <c r="C22" s="1068"/>
      <c r="D22" s="1068"/>
      <c r="E22" s="1068"/>
      <c r="F22" s="1068"/>
      <c r="G22" s="1068"/>
      <c r="H22" s="1068"/>
      <c r="I22" s="1068"/>
      <c r="J22" s="1068"/>
      <c r="K22" s="1068"/>
      <c r="L22" s="1068"/>
      <c r="M22" s="1069"/>
      <c r="N22" s="1063"/>
      <c r="O22" s="1070"/>
      <c r="P22" s="1067"/>
      <c r="Q22" s="1067"/>
      <c r="R22" s="1067"/>
      <c r="S22" s="1067"/>
      <c r="T22" s="1067"/>
      <c r="U22" s="1067"/>
      <c r="V22" s="1067"/>
      <c r="W22" s="1067"/>
    </row>
    <row r="23" spans="1:23" ht="18" customHeight="1">
      <c r="A23" s="1062"/>
      <c r="B23" s="1068"/>
      <c r="C23" s="1068"/>
      <c r="D23" s="1068"/>
      <c r="E23" s="1068"/>
      <c r="F23" s="1068"/>
      <c r="G23" s="1068"/>
      <c r="H23" s="1068"/>
      <c r="I23" s="1068"/>
      <c r="J23" s="1068"/>
      <c r="K23" s="1068"/>
      <c r="L23" s="1068"/>
      <c r="M23" s="1069"/>
      <c r="N23" s="1063"/>
      <c r="O23" s="1070"/>
      <c r="P23" s="1067"/>
      <c r="Q23" s="1067"/>
      <c r="R23" s="1067"/>
      <c r="S23" s="1067"/>
      <c r="T23" s="1067"/>
      <c r="U23" s="1067"/>
      <c r="V23" s="1067"/>
      <c r="W23" s="1067"/>
    </row>
    <row r="24" spans="1:23" ht="18" customHeight="1">
      <c r="A24" s="1062"/>
      <c r="B24" s="1068"/>
      <c r="C24" s="1068"/>
      <c r="D24" s="1068"/>
      <c r="E24" s="1068"/>
      <c r="F24" s="1068"/>
      <c r="G24" s="1068"/>
      <c r="H24" s="1068"/>
      <c r="I24" s="1068"/>
      <c r="J24" s="1068"/>
      <c r="K24" s="1068"/>
      <c r="L24" s="1068"/>
      <c r="M24" s="1069"/>
      <c r="N24" s="1063"/>
      <c r="O24" s="1070"/>
      <c r="P24" s="1067"/>
      <c r="Q24" s="1067"/>
      <c r="R24" s="1067"/>
      <c r="S24" s="1067"/>
      <c r="T24" s="1067"/>
      <c r="U24" s="1067"/>
      <c r="V24" s="1067"/>
      <c r="W24" s="1067"/>
    </row>
    <row r="25" spans="1:23" ht="18.75" customHeight="1">
      <c r="A25" s="1062"/>
      <c r="B25" s="1068"/>
      <c r="C25" s="1068"/>
      <c r="D25" s="1068"/>
      <c r="E25" s="1068"/>
      <c r="F25" s="1068"/>
      <c r="G25" s="1068"/>
      <c r="H25" s="1068"/>
      <c r="I25" s="1068"/>
      <c r="J25" s="1068"/>
      <c r="K25" s="1068"/>
      <c r="L25" s="1068"/>
      <c r="M25" s="1069"/>
      <c r="N25" s="1063"/>
      <c r="O25" s="1070"/>
      <c r="P25" s="1067"/>
      <c r="Q25" s="1067"/>
      <c r="R25" s="1067"/>
      <c r="S25" s="1067"/>
      <c r="T25" s="1067"/>
      <c r="U25" s="1067"/>
      <c r="V25" s="1067"/>
      <c r="W25" s="1067"/>
    </row>
    <row r="26" spans="1:23" ht="18" customHeight="1">
      <c r="A26" s="1427" t="s">
        <v>391</v>
      </c>
      <c r="B26" s="1428"/>
      <c r="C26" s="1428"/>
      <c r="D26" s="1428"/>
      <c r="E26" s="1428"/>
      <c r="F26" s="1428"/>
      <c r="G26" s="1428"/>
      <c r="H26" s="1428"/>
      <c r="I26" s="1068"/>
      <c r="J26" s="1068"/>
      <c r="K26" s="1068"/>
      <c r="L26" s="1068"/>
      <c r="M26" s="1069"/>
      <c r="N26" s="1063"/>
      <c r="O26" s="1070"/>
      <c r="P26" s="1067"/>
      <c r="Q26" s="1067"/>
      <c r="R26" s="1067"/>
      <c r="S26" s="1067"/>
      <c r="T26" s="1067"/>
      <c r="U26" s="1067"/>
      <c r="V26" s="1067"/>
      <c r="W26" s="1067"/>
    </row>
    <row r="27" spans="1:23" ht="18" customHeight="1">
      <c r="A27" s="1427"/>
      <c r="B27" s="1428"/>
      <c r="C27" s="1428"/>
      <c r="D27" s="1428"/>
      <c r="E27" s="1428"/>
      <c r="F27" s="1428"/>
      <c r="G27" s="1428"/>
      <c r="H27" s="1428"/>
      <c r="I27" s="1068"/>
      <c r="J27" s="1068"/>
      <c r="K27" s="1068"/>
      <c r="L27" s="1068"/>
      <c r="M27" s="1069"/>
      <c r="N27" s="1063"/>
      <c r="O27" s="1070"/>
      <c r="P27" s="1067"/>
      <c r="Q27" s="1067"/>
      <c r="R27" s="1067"/>
      <c r="S27" s="1067"/>
      <c r="T27" s="1067"/>
      <c r="U27" s="1067"/>
      <c r="V27" s="1067"/>
      <c r="W27" s="1067"/>
    </row>
    <row r="28" spans="1:23" ht="35.1" customHeight="1">
      <c r="A28" s="1062"/>
      <c r="B28" s="1068"/>
      <c r="C28" s="1068"/>
      <c r="D28" s="1068"/>
      <c r="E28" s="1068"/>
      <c r="F28" s="1068"/>
      <c r="G28" s="1068"/>
      <c r="H28" s="1068"/>
      <c r="I28" s="1068"/>
      <c r="J28" s="1068"/>
      <c r="K28" s="1068"/>
      <c r="L28" s="1068"/>
      <c r="M28" s="1069"/>
      <c r="N28" s="1063" t="s">
        <v>368</v>
      </c>
      <c r="O28" s="1070"/>
      <c r="P28" s="1067"/>
      <c r="Q28" s="1067"/>
      <c r="R28" s="1067"/>
      <c r="S28" s="1067"/>
      <c r="T28" s="1067"/>
      <c r="U28" s="1067"/>
      <c r="V28" s="1067"/>
      <c r="W28" s="1067"/>
    </row>
    <row r="29" spans="1:23" ht="35.1" customHeight="1">
      <c r="A29" s="1429" t="s">
        <v>369</v>
      </c>
      <c r="B29" s="1430"/>
      <c r="C29" s="1431" t="s">
        <v>370</v>
      </c>
      <c r="D29" s="1431"/>
      <c r="E29" s="1431"/>
      <c r="F29" s="1431"/>
      <c r="G29" s="1431"/>
      <c r="H29" s="1431"/>
      <c r="I29" s="1431"/>
      <c r="J29" s="1431"/>
      <c r="K29" s="1431"/>
      <c r="L29" s="1431"/>
      <c r="M29" s="1431"/>
      <c r="N29" s="1429" t="s">
        <v>371</v>
      </c>
      <c r="O29" s="1433"/>
      <c r="P29" s="1067"/>
      <c r="Q29" s="1067"/>
      <c r="R29" s="1067"/>
      <c r="S29" s="1067"/>
      <c r="T29" s="1067"/>
      <c r="U29" s="1067"/>
      <c r="V29" s="1067"/>
      <c r="W29" s="1067"/>
    </row>
    <row r="30" spans="1:23" ht="32.1" customHeight="1">
      <c r="A30" s="1434" t="s">
        <v>392</v>
      </c>
      <c r="B30" s="1071" t="s">
        <v>393</v>
      </c>
      <c r="C30" s="1072"/>
      <c r="D30" s="1073"/>
      <c r="E30" s="1073"/>
      <c r="F30" s="1073"/>
      <c r="G30" s="1074"/>
      <c r="H30" s="1074"/>
      <c r="I30" s="1073"/>
      <c r="J30" s="1073"/>
      <c r="K30" s="1075"/>
      <c r="L30" s="1076"/>
      <c r="M30" s="1077"/>
      <c r="N30" s="1437" t="s">
        <v>399</v>
      </c>
      <c r="O30" s="1438"/>
      <c r="P30" s="1067"/>
      <c r="Q30" s="1067"/>
      <c r="R30" s="1067"/>
      <c r="S30" s="1067"/>
      <c r="T30" s="1067"/>
      <c r="U30" s="1067"/>
      <c r="V30" s="1067"/>
      <c r="W30" s="1067"/>
    </row>
    <row r="31" spans="1:23" ht="32.1" customHeight="1">
      <c r="A31" s="1435"/>
      <c r="B31" s="1071" t="s">
        <v>347</v>
      </c>
      <c r="C31" s="1072"/>
      <c r="D31" s="1073"/>
      <c r="E31" s="1073"/>
      <c r="F31" s="1073"/>
      <c r="G31" s="1078"/>
      <c r="H31" s="1078"/>
      <c r="I31" s="1073"/>
      <c r="J31" s="1073"/>
      <c r="K31" s="1075"/>
      <c r="L31" s="1076"/>
      <c r="M31" s="1077"/>
      <c r="N31" s="1439"/>
      <c r="O31" s="1440"/>
      <c r="P31" s="1079"/>
      <c r="Q31" s="1067"/>
      <c r="R31" s="1067"/>
      <c r="S31" s="1067"/>
      <c r="T31" s="1067"/>
      <c r="U31" s="1067"/>
      <c r="V31" s="1067"/>
      <c r="W31" s="1067"/>
    </row>
    <row r="32" spans="1:23" ht="32.1" customHeight="1">
      <c r="A32" s="1436"/>
      <c r="B32" s="1071" t="s">
        <v>395</v>
      </c>
      <c r="C32" s="1072"/>
      <c r="D32" s="1073"/>
      <c r="E32" s="1073"/>
      <c r="F32" s="1073"/>
      <c r="G32" s="1078"/>
      <c r="H32" s="1078"/>
      <c r="I32" s="1073"/>
      <c r="J32" s="1073"/>
      <c r="K32" s="1075"/>
      <c r="L32" s="1076"/>
      <c r="M32" s="1077"/>
      <c r="N32" s="1441"/>
      <c r="O32" s="1442"/>
      <c r="P32" s="1079"/>
      <c r="Q32" s="1067"/>
      <c r="R32" s="1067"/>
      <c r="S32" s="1067"/>
      <c r="T32" s="1067"/>
      <c r="U32" s="1067"/>
      <c r="V32" s="1067"/>
      <c r="W32" s="1067"/>
    </row>
    <row r="33" spans="1:23" ht="35.1" customHeight="1">
      <c r="A33" s="1080" t="s">
        <v>377</v>
      </c>
      <c r="B33" s="1081" t="s">
        <v>400</v>
      </c>
      <c r="C33" s="1421" t="s">
        <v>894</v>
      </c>
      <c r="D33" s="1422"/>
      <c r="E33" s="1422"/>
      <c r="F33" s="1422"/>
      <c r="G33" s="1422"/>
      <c r="H33" s="1422"/>
      <c r="I33" s="1422"/>
      <c r="J33" s="1422"/>
      <c r="K33" s="1423"/>
      <c r="L33" s="1082" t="s">
        <v>379</v>
      </c>
      <c r="M33" s="1083">
        <f>(((PI()*0.82^2)-(PI()*0.698^2))/4*0.072)/2+(((PI()*1.08^2)-(PI()*0.82^2))/4*0.07)+(((PI()*1.08^2)-(PI()*0.6^2))/4*0.1)</f>
        <v>9.5729869924321948E-2</v>
      </c>
      <c r="N33" s="1084">
        <f>M33</f>
        <v>9.5729869924321948E-2</v>
      </c>
      <c r="O33" s="1085" t="s">
        <v>244</v>
      </c>
      <c r="P33" s="1079"/>
      <c r="Q33" s="1086"/>
      <c r="R33" s="1086"/>
      <c r="S33" s="1067"/>
      <c r="T33" s="1067"/>
      <c r="U33" s="1086"/>
      <c r="V33" s="1086"/>
      <c r="W33" s="1086"/>
    </row>
    <row r="34" spans="1:23" ht="35.1" customHeight="1">
      <c r="A34" s="1080" t="s">
        <v>381</v>
      </c>
      <c r="B34" s="1071" t="s">
        <v>638</v>
      </c>
      <c r="C34" s="1422" t="s">
        <v>637</v>
      </c>
      <c r="D34" s="1422"/>
      <c r="E34" s="1422"/>
      <c r="F34" s="1422"/>
      <c r="G34" s="1422"/>
      <c r="H34" s="1422"/>
      <c r="I34" s="1422"/>
      <c r="J34" s="1422"/>
      <c r="K34" s="1423"/>
      <c r="L34" s="1082" t="s">
        <v>379</v>
      </c>
      <c r="M34" s="1087">
        <v>1</v>
      </c>
      <c r="N34" s="1084">
        <v>1</v>
      </c>
      <c r="O34" s="1085" t="s">
        <v>382</v>
      </c>
      <c r="P34" s="1060"/>
      <c r="Q34" s="1086"/>
      <c r="R34" s="1086"/>
      <c r="S34" s="1086"/>
      <c r="T34" s="1086"/>
      <c r="U34" s="1086"/>
      <c r="V34" s="1086"/>
      <c r="W34" s="1086"/>
    </row>
    <row r="35" spans="1:23" s="1093" customFormat="1" ht="35.1" customHeight="1">
      <c r="A35" s="1088" t="s">
        <v>964</v>
      </c>
      <c r="B35" s="1089" t="s">
        <v>965</v>
      </c>
      <c r="C35" s="1422" t="s">
        <v>967</v>
      </c>
      <c r="D35" s="1422"/>
      <c r="E35" s="1422"/>
      <c r="F35" s="1422"/>
      <c r="G35" s="1422"/>
      <c r="H35" s="1422"/>
      <c r="I35" s="1422"/>
      <c r="J35" s="1422"/>
      <c r="K35" s="1423"/>
      <c r="L35" s="1076" t="s">
        <v>379</v>
      </c>
      <c r="M35" s="1077">
        <v>3</v>
      </c>
      <c r="N35" s="1090">
        <f>M35</f>
        <v>3</v>
      </c>
      <c r="O35" s="1085" t="s">
        <v>966</v>
      </c>
      <c r="P35" s="1091"/>
      <c r="Q35" s="1092"/>
      <c r="R35" s="1092"/>
      <c r="S35" s="1092"/>
      <c r="T35" s="1092"/>
      <c r="U35" s="1092"/>
      <c r="V35" s="1092"/>
      <c r="W35" s="1092"/>
    </row>
    <row r="36" spans="1:23" s="1093" customFormat="1" ht="35.1" customHeight="1">
      <c r="A36" s="1088" t="s">
        <v>1075</v>
      </c>
      <c r="B36" s="1089" t="s">
        <v>1066</v>
      </c>
      <c r="C36" s="1432" t="s">
        <v>1071</v>
      </c>
      <c r="D36" s="1422"/>
      <c r="E36" s="1422"/>
      <c r="F36" s="1422"/>
      <c r="G36" s="1422"/>
      <c r="H36" s="1422"/>
      <c r="I36" s="1422"/>
      <c r="J36" s="1422"/>
      <c r="K36" s="1423"/>
      <c r="L36" s="1076" t="s">
        <v>1067</v>
      </c>
      <c r="M36" s="1094">
        <f>ROUND(((648+20+20)/1000)*PI(),3)</f>
        <v>2.161</v>
      </c>
      <c r="N36" s="1084">
        <f>M36</f>
        <v>2.161</v>
      </c>
      <c r="O36" s="1085" t="s">
        <v>1068</v>
      </c>
      <c r="P36" s="1091"/>
      <c r="Q36" s="1092"/>
      <c r="R36" s="1092"/>
      <c r="S36" s="1092"/>
      <c r="T36" s="1092"/>
      <c r="U36" s="1092"/>
      <c r="V36" s="1092"/>
      <c r="W36" s="1092"/>
    </row>
    <row r="37" spans="1:23" ht="35.1" customHeight="1">
      <c r="A37" s="1095" t="s">
        <v>955</v>
      </c>
      <c r="B37" s="1089" t="s">
        <v>956</v>
      </c>
      <c r="C37" s="1422" t="s">
        <v>958</v>
      </c>
      <c r="D37" s="1422"/>
      <c r="E37" s="1422"/>
      <c r="F37" s="1422"/>
      <c r="G37" s="1422"/>
      <c r="H37" s="1422"/>
      <c r="I37" s="1422"/>
      <c r="J37" s="1422"/>
      <c r="K37" s="1423"/>
      <c r="L37" s="1076" t="s">
        <v>379</v>
      </c>
      <c r="M37" s="1094">
        <f>ROUND(PI()*1.6^2/4*0.2,2)</f>
        <v>0.4</v>
      </c>
      <c r="N37" s="1084">
        <f>M37</f>
        <v>0.4</v>
      </c>
      <c r="O37" s="1085" t="s">
        <v>957</v>
      </c>
      <c r="P37" s="1079"/>
      <c r="Q37" s="1086"/>
      <c r="R37" s="1086"/>
      <c r="S37" s="1086"/>
      <c r="T37" s="1086"/>
      <c r="U37" s="1086"/>
      <c r="V37" s="1086"/>
      <c r="W37" s="1086"/>
    </row>
    <row r="38" spans="1:23" ht="35.1" customHeight="1">
      <c r="A38" s="1096" t="s">
        <v>388</v>
      </c>
      <c r="B38" s="1097" t="s">
        <v>389</v>
      </c>
      <c r="C38" s="1424" t="s">
        <v>895</v>
      </c>
      <c r="D38" s="1425"/>
      <c r="E38" s="1425"/>
      <c r="F38" s="1425"/>
      <c r="G38" s="1425"/>
      <c r="H38" s="1425"/>
      <c r="I38" s="1425"/>
      <c r="J38" s="1425"/>
      <c r="K38" s="1426"/>
      <c r="L38" s="1098" t="s">
        <v>17</v>
      </c>
      <c r="M38" s="1099">
        <f>ROUND((((PI()*1.08)+(PI()*0.6)))*0.1,3)</f>
        <v>0.52800000000000002</v>
      </c>
      <c r="N38" s="1100">
        <f>M38</f>
        <v>0.52800000000000002</v>
      </c>
      <c r="O38" s="1101" t="s">
        <v>19</v>
      </c>
      <c r="P38" s="1079"/>
      <c r="Q38" s="1086"/>
      <c r="R38" s="1086"/>
      <c r="S38" s="1086"/>
      <c r="T38" s="1086"/>
      <c r="U38" s="1086"/>
      <c r="V38" s="1086"/>
      <c r="W38" s="1086"/>
    </row>
    <row r="39" spans="1:23" ht="50.1" customHeight="1">
      <c r="A39" s="1443" t="s">
        <v>419</v>
      </c>
      <c r="B39" s="1443"/>
      <c r="C39" s="1443"/>
      <c r="D39" s="1443"/>
      <c r="E39" s="1443"/>
      <c r="F39" s="1443"/>
      <c r="G39" s="1443"/>
      <c r="H39" s="1443"/>
      <c r="I39" s="1443"/>
      <c r="J39" s="1443"/>
      <c r="K39" s="1443"/>
      <c r="L39" s="1443"/>
      <c r="M39" s="1443"/>
      <c r="N39" s="1443"/>
      <c r="O39" s="1443"/>
      <c r="P39" s="1067"/>
      <c r="Q39" s="1067"/>
      <c r="R39" s="1067"/>
      <c r="S39" s="1067"/>
      <c r="T39" s="1067"/>
      <c r="U39" s="1067"/>
      <c r="V39" s="1067"/>
      <c r="W39" s="1067"/>
    </row>
    <row r="40" spans="1:23" ht="18" customHeight="1">
      <c r="A40" s="1062"/>
      <c r="B40" s="1063"/>
      <c r="C40" s="1063"/>
      <c r="D40" s="1063"/>
      <c r="E40" s="1063"/>
      <c r="F40" s="1063"/>
      <c r="G40" s="1063"/>
      <c r="H40" s="1063"/>
      <c r="I40" s="1063"/>
      <c r="J40" s="1063"/>
      <c r="K40" s="1063"/>
      <c r="L40" s="1063"/>
      <c r="M40" s="1064" t="s">
        <v>365</v>
      </c>
      <c r="N40" s="1065">
        <f>'오수맨홀수량 및 평균높이'!J11</f>
        <v>3.82</v>
      </c>
      <c r="O40" s="1066" t="s">
        <v>366</v>
      </c>
      <c r="P40" s="1067"/>
      <c r="Q40" s="1067"/>
      <c r="R40" s="1067"/>
      <c r="S40" s="1067"/>
      <c r="T40" s="1067"/>
      <c r="U40" s="1067"/>
      <c r="V40" s="1067"/>
      <c r="W40" s="1067"/>
    </row>
    <row r="41" spans="1:23" ht="18" customHeight="1">
      <c r="A41" s="1062"/>
      <c r="B41" s="1063"/>
      <c r="C41" s="1068"/>
      <c r="D41" s="1068"/>
      <c r="E41" s="1068"/>
      <c r="F41" s="1068"/>
      <c r="G41" s="1068"/>
      <c r="H41" s="1068"/>
      <c r="I41" s="1068"/>
      <c r="J41" s="1068"/>
      <c r="K41" s="1068"/>
      <c r="L41" s="1068"/>
      <c r="M41" s="1064"/>
      <c r="N41" s="1065"/>
      <c r="O41" s="1066"/>
      <c r="P41" s="1067"/>
      <c r="Q41" s="1067"/>
      <c r="R41" s="1067"/>
      <c r="S41" s="1067"/>
      <c r="T41" s="1067"/>
      <c r="U41" s="1067"/>
      <c r="V41" s="1067"/>
      <c r="W41" s="1067"/>
    </row>
    <row r="42" spans="1:23" ht="18" customHeight="1">
      <c r="A42" s="1062"/>
      <c r="B42" s="1068"/>
      <c r="C42" s="1068"/>
      <c r="D42" s="1068"/>
      <c r="E42" s="1068"/>
      <c r="F42" s="1068"/>
      <c r="G42" s="1068"/>
      <c r="H42" s="1068"/>
      <c r="I42" s="1068"/>
      <c r="J42" s="1068"/>
      <c r="K42" s="1068"/>
      <c r="L42" s="1068"/>
      <c r="M42" s="1069"/>
      <c r="N42" s="1063"/>
      <c r="O42" s="1070"/>
      <c r="P42" s="1067"/>
      <c r="Q42" s="1067"/>
      <c r="R42" s="1067"/>
      <c r="S42" s="1067"/>
      <c r="T42" s="1067"/>
      <c r="U42" s="1067"/>
      <c r="V42" s="1067"/>
      <c r="W42" s="1067"/>
    </row>
    <row r="43" spans="1:23" ht="18" customHeight="1">
      <c r="A43" s="1062"/>
      <c r="B43" s="1068"/>
      <c r="C43" s="1068"/>
      <c r="D43" s="1068"/>
      <c r="E43" s="1068"/>
      <c r="F43" s="1068"/>
      <c r="G43" s="1068"/>
      <c r="H43" s="1068"/>
      <c r="I43" s="1068"/>
      <c r="J43" s="1068"/>
      <c r="K43" s="1068"/>
      <c r="L43" s="1068"/>
      <c r="M43" s="1069"/>
      <c r="N43" s="1063"/>
      <c r="O43" s="1070"/>
      <c r="P43" s="1067"/>
      <c r="Q43" s="1067"/>
      <c r="R43" s="1067"/>
      <c r="S43" s="1067"/>
      <c r="T43" s="1067"/>
      <c r="U43" s="1067"/>
      <c r="V43" s="1067"/>
      <c r="W43" s="1067"/>
    </row>
    <row r="44" spans="1:23" ht="18" customHeight="1">
      <c r="A44" s="1062"/>
      <c r="B44" s="1068"/>
      <c r="C44" s="1068"/>
      <c r="D44" s="1068"/>
      <c r="E44" s="1068"/>
      <c r="F44" s="1068"/>
      <c r="G44" s="1068"/>
      <c r="H44" s="1068"/>
      <c r="I44" s="1068"/>
      <c r="J44" s="1068"/>
      <c r="K44" s="1068"/>
      <c r="L44" s="1068"/>
      <c r="M44" s="1069"/>
      <c r="N44" s="1063"/>
      <c r="O44" s="1070"/>
      <c r="P44" s="1067"/>
      <c r="Q44" s="1067"/>
      <c r="R44" s="1067"/>
      <c r="S44" s="1067"/>
      <c r="T44" s="1067"/>
      <c r="U44" s="1067"/>
      <c r="V44" s="1067"/>
      <c r="W44" s="1067"/>
    </row>
    <row r="45" spans="1:23" ht="18" customHeight="1">
      <c r="A45" s="1062"/>
      <c r="B45" s="1068"/>
      <c r="C45" s="1068"/>
      <c r="D45" s="1068"/>
      <c r="E45" s="1068"/>
      <c r="F45" s="1068"/>
      <c r="G45" s="1068"/>
      <c r="H45" s="1068"/>
      <c r="I45" s="1068"/>
      <c r="J45" s="1068"/>
      <c r="K45" s="1068"/>
      <c r="L45" s="1068"/>
      <c r="M45" s="1069"/>
      <c r="N45" s="1063"/>
      <c r="O45" s="1070"/>
      <c r="P45" s="1067"/>
      <c r="Q45" s="1067"/>
      <c r="R45" s="1067"/>
      <c r="S45" s="1067"/>
      <c r="T45" s="1067"/>
      <c r="U45" s="1067"/>
      <c r="V45" s="1067"/>
      <c r="W45" s="1067"/>
    </row>
    <row r="46" spans="1:23" ht="18" customHeight="1">
      <c r="A46" s="1062"/>
      <c r="B46" s="1068"/>
      <c r="C46" s="1068"/>
      <c r="D46" s="1068"/>
      <c r="E46" s="1068"/>
      <c r="F46" s="1068"/>
      <c r="G46" s="1068"/>
      <c r="H46" s="1068"/>
      <c r="I46" s="1068"/>
      <c r="J46" s="1068"/>
      <c r="K46" s="1068"/>
      <c r="L46" s="1068"/>
      <c r="M46" s="1069"/>
      <c r="N46" s="1063"/>
      <c r="O46" s="1070"/>
      <c r="P46" s="1067"/>
      <c r="Q46" s="1067"/>
      <c r="R46" s="1067"/>
      <c r="S46" s="1067"/>
      <c r="T46" s="1067"/>
      <c r="U46" s="1067"/>
      <c r="V46" s="1067"/>
      <c r="W46" s="1067"/>
    </row>
    <row r="47" spans="1:23" ht="18" customHeight="1">
      <c r="A47" s="1062"/>
      <c r="B47" s="1068"/>
      <c r="C47" s="1068"/>
      <c r="D47" s="1068"/>
      <c r="E47" s="1068"/>
      <c r="F47" s="1068"/>
      <c r="G47" s="1068"/>
      <c r="H47" s="1068"/>
      <c r="I47" s="1068"/>
      <c r="J47" s="1068"/>
      <c r="K47" s="1068"/>
      <c r="L47" s="1068"/>
      <c r="M47" s="1069"/>
      <c r="N47" s="1063"/>
      <c r="O47" s="1070"/>
      <c r="P47" s="1067"/>
      <c r="Q47" s="1067"/>
      <c r="R47" s="1067"/>
      <c r="S47" s="1067"/>
      <c r="T47" s="1067"/>
      <c r="U47" s="1067"/>
      <c r="V47" s="1067"/>
      <c r="W47" s="1067"/>
    </row>
    <row r="48" spans="1:23" ht="18" customHeight="1">
      <c r="A48" s="1062"/>
      <c r="B48" s="1068"/>
      <c r="C48" s="1068"/>
      <c r="D48" s="1068"/>
      <c r="E48" s="1068"/>
      <c r="F48" s="1068"/>
      <c r="G48" s="1068"/>
      <c r="H48" s="1068"/>
      <c r="I48" s="1068"/>
      <c r="J48" s="1068"/>
      <c r="K48" s="1068"/>
      <c r="L48" s="1068"/>
      <c r="M48" s="1069"/>
      <c r="N48" s="1063"/>
      <c r="O48" s="1070"/>
      <c r="P48" s="1067"/>
      <c r="Q48" s="1067"/>
      <c r="R48" s="1067"/>
      <c r="S48" s="1067"/>
      <c r="T48" s="1067"/>
      <c r="U48" s="1067"/>
      <c r="V48" s="1067"/>
      <c r="W48" s="1067"/>
    </row>
    <row r="49" spans="1:23" ht="18" customHeight="1">
      <c r="A49" s="1062"/>
      <c r="B49" s="1068"/>
      <c r="C49" s="1068"/>
      <c r="D49" s="1068"/>
      <c r="E49" s="1068"/>
      <c r="F49" s="1068"/>
      <c r="G49" s="1068"/>
      <c r="H49" s="1068"/>
      <c r="I49" s="1068"/>
      <c r="J49" s="1068"/>
      <c r="K49" s="1068"/>
      <c r="L49" s="1068"/>
      <c r="M49" s="1069"/>
      <c r="N49" s="1063"/>
      <c r="O49" s="1070"/>
      <c r="P49" s="1067"/>
      <c r="Q49" s="1067"/>
      <c r="R49" s="1067"/>
      <c r="S49" s="1067"/>
      <c r="T49" s="1067"/>
      <c r="U49" s="1067"/>
      <c r="V49" s="1067"/>
      <c r="W49" s="1067"/>
    </row>
    <row r="50" spans="1:23" ht="18" customHeight="1">
      <c r="A50" s="1062"/>
      <c r="B50" s="1068"/>
      <c r="C50" s="1068"/>
      <c r="D50" s="1068"/>
      <c r="E50" s="1068"/>
      <c r="F50" s="1068"/>
      <c r="G50" s="1068"/>
      <c r="H50" s="1068"/>
      <c r="I50" s="1068"/>
      <c r="J50" s="1068"/>
      <c r="K50" s="1068"/>
      <c r="L50" s="1068"/>
      <c r="M50" s="1069"/>
      <c r="N50" s="1063"/>
      <c r="O50" s="1070"/>
      <c r="P50" s="1067"/>
      <c r="Q50" s="1067"/>
      <c r="R50" s="1067"/>
      <c r="S50" s="1067"/>
      <c r="T50" s="1067"/>
      <c r="U50" s="1067"/>
      <c r="V50" s="1067"/>
      <c r="W50" s="1067"/>
    </row>
    <row r="51" spans="1:23" ht="18" customHeight="1">
      <c r="A51" s="1062"/>
      <c r="B51" s="1068"/>
      <c r="C51" s="1068"/>
      <c r="D51" s="1068"/>
      <c r="E51" s="1068"/>
      <c r="F51" s="1068"/>
      <c r="G51" s="1068"/>
      <c r="H51" s="1068"/>
      <c r="I51" s="1068"/>
      <c r="J51" s="1068"/>
      <c r="K51" s="1068"/>
      <c r="L51" s="1068"/>
      <c r="M51" s="1069"/>
      <c r="N51" s="1063"/>
      <c r="O51" s="1070"/>
      <c r="P51" s="1067"/>
      <c r="Q51" s="1067"/>
      <c r="R51" s="1067"/>
      <c r="S51" s="1067"/>
      <c r="T51" s="1067"/>
      <c r="U51" s="1067"/>
      <c r="V51" s="1067"/>
      <c r="W51" s="1067"/>
    </row>
    <row r="52" spans="1:23" ht="18" customHeight="1">
      <c r="A52" s="1062"/>
      <c r="B52" s="1068"/>
      <c r="C52" s="1068"/>
      <c r="D52" s="1068"/>
      <c r="E52" s="1068"/>
      <c r="F52" s="1068"/>
      <c r="G52" s="1068"/>
      <c r="H52" s="1068"/>
      <c r="I52" s="1068"/>
      <c r="J52" s="1068"/>
      <c r="K52" s="1068"/>
      <c r="L52" s="1068"/>
      <c r="M52" s="1069"/>
      <c r="N52" s="1063"/>
      <c r="O52" s="1070"/>
      <c r="P52" s="1067"/>
      <c r="Q52" s="1067"/>
      <c r="R52" s="1067"/>
      <c r="S52" s="1067"/>
      <c r="T52" s="1067"/>
      <c r="U52" s="1067"/>
      <c r="V52" s="1067"/>
      <c r="W52" s="1067"/>
    </row>
    <row r="53" spans="1:23" ht="18" customHeight="1">
      <c r="A53" s="1062"/>
      <c r="B53" s="1068"/>
      <c r="C53" s="1068"/>
      <c r="D53" s="1068"/>
      <c r="E53" s="1068"/>
      <c r="F53" s="1068"/>
      <c r="G53" s="1068"/>
      <c r="H53" s="1068"/>
      <c r="I53" s="1068"/>
      <c r="J53" s="1068"/>
      <c r="K53" s="1068"/>
      <c r="L53" s="1068"/>
      <c r="M53" s="1069"/>
      <c r="N53" s="1063"/>
      <c r="O53" s="1070"/>
      <c r="P53" s="1067"/>
      <c r="Q53" s="1067"/>
      <c r="R53" s="1067"/>
      <c r="S53" s="1067"/>
      <c r="T53" s="1067"/>
      <c r="U53" s="1067"/>
      <c r="V53" s="1067"/>
      <c r="W53" s="1067"/>
    </row>
    <row r="54" spans="1:23" ht="18" customHeight="1">
      <c r="A54" s="1062"/>
      <c r="B54" s="1068"/>
      <c r="C54" s="1068"/>
      <c r="D54" s="1068"/>
      <c r="E54" s="1068"/>
      <c r="F54" s="1068"/>
      <c r="G54" s="1068"/>
      <c r="H54" s="1068"/>
      <c r="I54" s="1068"/>
      <c r="J54" s="1068"/>
      <c r="K54" s="1068"/>
      <c r="L54" s="1068"/>
      <c r="M54" s="1069"/>
      <c r="N54" s="1063"/>
      <c r="O54" s="1070"/>
      <c r="P54" s="1067"/>
      <c r="Q54" s="1067"/>
      <c r="R54" s="1067"/>
      <c r="S54" s="1067"/>
      <c r="T54" s="1067"/>
      <c r="U54" s="1067"/>
      <c r="V54" s="1067"/>
      <c r="W54" s="1067"/>
    </row>
    <row r="55" spans="1:23" ht="18" customHeight="1">
      <c r="A55" s="1062"/>
      <c r="B55" s="1068"/>
      <c r="C55" s="1068"/>
      <c r="D55" s="1068"/>
      <c r="E55" s="1068"/>
      <c r="F55" s="1068"/>
      <c r="G55" s="1068"/>
      <c r="H55" s="1068"/>
      <c r="I55" s="1068"/>
      <c r="J55" s="1068"/>
      <c r="K55" s="1068"/>
      <c r="L55" s="1068"/>
      <c r="M55" s="1069"/>
      <c r="N55" s="1063"/>
      <c r="O55" s="1070"/>
      <c r="P55" s="1067"/>
      <c r="Q55" s="1067"/>
      <c r="R55" s="1067"/>
      <c r="S55" s="1067"/>
      <c r="T55" s="1067"/>
      <c r="U55" s="1067"/>
      <c r="V55" s="1067"/>
      <c r="W55" s="1067"/>
    </row>
    <row r="56" spans="1:23" ht="18" customHeight="1">
      <c r="A56" s="1062"/>
      <c r="B56" s="1068"/>
      <c r="C56" s="1068"/>
      <c r="D56" s="1068"/>
      <c r="E56" s="1068"/>
      <c r="F56" s="1068"/>
      <c r="G56" s="1068"/>
      <c r="H56" s="1068"/>
      <c r="I56" s="1068"/>
      <c r="J56" s="1068"/>
      <c r="K56" s="1068"/>
      <c r="L56" s="1068"/>
      <c r="M56" s="1069"/>
      <c r="N56" s="1063"/>
      <c r="O56" s="1070"/>
      <c r="P56" s="1067"/>
      <c r="Q56" s="1067"/>
      <c r="R56" s="1067"/>
      <c r="S56" s="1067"/>
      <c r="T56" s="1067"/>
      <c r="U56" s="1067"/>
      <c r="V56" s="1067"/>
      <c r="W56" s="1067"/>
    </row>
    <row r="57" spans="1:23" ht="18" customHeight="1">
      <c r="A57" s="1062"/>
      <c r="B57" s="1068"/>
      <c r="C57" s="1068"/>
      <c r="D57" s="1068"/>
      <c r="E57" s="1068"/>
      <c r="F57" s="1068"/>
      <c r="G57" s="1068"/>
      <c r="H57" s="1068"/>
      <c r="I57" s="1068"/>
      <c r="J57" s="1068"/>
      <c r="K57" s="1068"/>
      <c r="L57" s="1068"/>
      <c r="M57" s="1069"/>
      <c r="N57" s="1063"/>
      <c r="O57" s="1070"/>
      <c r="P57" s="1067"/>
      <c r="Q57" s="1067"/>
      <c r="R57" s="1067"/>
      <c r="S57" s="1067"/>
      <c r="T57" s="1067"/>
      <c r="U57" s="1067"/>
      <c r="V57" s="1067"/>
      <c r="W57" s="1067"/>
    </row>
    <row r="58" spans="1:23" ht="18" customHeight="1">
      <c r="A58" s="1062"/>
      <c r="B58" s="1068"/>
      <c r="C58" s="1068"/>
      <c r="D58" s="1068"/>
      <c r="E58" s="1068"/>
      <c r="F58" s="1068"/>
      <c r="G58" s="1068"/>
      <c r="H58" s="1068"/>
      <c r="I58" s="1068"/>
      <c r="J58" s="1068"/>
      <c r="K58" s="1068"/>
      <c r="L58" s="1068"/>
      <c r="M58" s="1069"/>
      <c r="N58" s="1063"/>
      <c r="O58" s="1070"/>
      <c r="P58" s="1067"/>
      <c r="Q58" s="1067"/>
      <c r="R58" s="1067"/>
      <c r="S58" s="1067"/>
      <c r="T58" s="1067"/>
      <c r="U58" s="1067"/>
      <c r="V58" s="1067"/>
      <c r="W58" s="1067"/>
    </row>
    <row r="59" spans="1:23" ht="18" customHeight="1">
      <c r="A59" s="1062"/>
      <c r="B59" s="1068"/>
      <c r="C59" s="1068"/>
      <c r="D59" s="1068"/>
      <c r="E59" s="1068"/>
      <c r="F59" s="1068"/>
      <c r="G59" s="1068"/>
      <c r="H59" s="1068"/>
      <c r="I59" s="1068"/>
      <c r="J59" s="1068"/>
      <c r="K59" s="1068"/>
      <c r="L59" s="1068"/>
      <c r="M59" s="1069"/>
      <c r="N59" s="1063"/>
      <c r="O59" s="1070"/>
      <c r="P59" s="1067"/>
      <c r="Q59" s="1067"/>
      <c r="R59" s="1067"/>
      <c r="S59" s="1067"/>
      <c r="T59" s="1067"/>
      <c r="U59" s="1067"/>
      <c r="V59" s="1067"/>
      <c r="W59" s="1067"/>
    </row>
    <row r="60" spans="1:23" ht="18" customHeight="1">
      <c r="A60" s="1062"/>
      <c r="B60" s="1068"/>
      <c r="C60" s="1068"/>
      <c r="D60" s="1068"/>
      <c r="E60" s="1068"/>
      <c r="F60" s="1068"/>
      <c r="G60" s="1068"/>
      <c r="H60" s="1068"/>
      <c r="I60" s="1068"/>
      <c r="J60" s="1068"/>
      <c r="K60" s="1068"/>
      <c r="L60" s="1068"/>
      <c r="M60" s="1069"/>
      <c r="N60" s="1063"/>
      <c r="O60" s="1070"/>
      <c r="P60" s="1067"/>
      <c r="Q60" s="1067"/>
      <c r="R60" s="1067"/>
      <c r="S60" s="1067"/>
      <c r="T60" s="1067"/>
      <c r="U60" s="1067"/>
      <c r="V60" s="1067"/>
      <c r="W60" s="1067"/>
    </row>
    <row r="61" spans="1:23" ht="18" customHeight="1">
      <c r="A61" s="1062"/>
      <c r="B61" s="1068"/>
      <c r="C61" s="1068"/>
      <c r="D61" s="1068"/>
      <c r="E61" s="1068"/>
      <c r="F61" s="1068"/>
      <c r="G61" s="1068"/>
      <c r="H61" s="1068"/>
      <c r="I61" s="1068"/>
      <c r="J61" s="1068"/>
      <c r="K61" s="1068"/>
      <c r="L61" s="1068"/>
      <c r="M61" s="1069"/>
      <c r="N61" s="1063"/>
      <c r="O61" s="1070"/>
      <c r="P61" s="1067"/>
      <c r="Q61" s="1067"/>
      <c r="R61" s="1067"/>
      <c r="S61" s="1067"/>
      <c r="T61" s="1067"/>
      <c r="U61" s="1067"/>
      <c r="V61" s="1067"/>
      <c r="W61" s="1067"/>
    </row>
    <row r="62" spans="1:23" ht="18" customHeight="1">
      <c r="A62" s="1062"/>
      <c r="B62" s="1068"/>
      <c r="C62" s="1068"/>
      <c r="D62" s="1068"/>
      <c r="E62" s="1068"/>
      <c r="F62" s="1068"/>
      <c r="G62" s="1068"/>
      <c r="H62" s="1068"/>
      <c r="I62" s="1068"/>
      <c r="J62" s="1068"/>
      <c r="K62" s="1068"/>
      <c r="L62" s="1068"/>
      <c r="M62" s="1069"/>
      <c r="N62" s="1063"/>
      <c r="O62" s="1070"/>
      <c r="P62" s="1067"/>
      <c r="Q62" s="1067"/>
      <c r="R62" s="1067"/>
      <c r="S62" s="1067"/>
      <c r="T62" s="1067"/>
      <c r="U62" s="1067"/>
      <c r="V62" s="1067"/>
      <c r="W62" s="1067"/>
    </row>
    <row r="63" spans="1:23" ht="18" customHeight="1">
      <c r="A63" s="1062"/>
      <c r="B63" s="1068"/>
      <c r="C63" s="1068"/>
      <c r="D63" s="1068"/>
      <c r="E63" s="1068"/>
      <c r="F63" s="1068"/>
      <c r="G63" s="1068"/>
      <c r="H63" s="1068"/>
      <c r="I63" s="1068"/>
      <c r="J63" s="1068"/>
      <c r="K63" s="1068"/>
      <c r="L63" s="1068"/>
      <c r="M63" s="1069"/>
      <c r="N63" s="1063"/>
      <c r="O63" s="1070"/>
      <c r="P63" s="1067"/>
      <c r="Q63" s="1067"/>
      <c r="R63" s="1067"/>
      <c r="S63" s="1067"/>
      <c r="T63" s="1067"/>
      <c r="U63" s="1067"/>
      <c r="V63" s="1067"/>
      <c r="W63" s="1067"/>
    </row>
    <row r="64" spans="1:23" ht="18" customHeight="1">
      <c r="A64" s="1427" t="s">
        <v>391</v>
      </c>
      <c r="B64" s="1428"/>
      <c r="C64" s="1428"/>
      <c r="D64" s="1428"/>
      <c r="E64" s="1428"/>
      <c r="F64" s="1428"/>
      <c r="G64" s="1428"/>
      <c r="H64" s="1428"/>
      <c r="I64" s="1068"/>
      <c r="J64" s="1068"/>
      <c r="K64" s="1068"/>
      <c r="L64" s="1068"/>
      <c r="M64" s="1069"/>
      <c r="N64" s="1063"/>
      <c r="O64" s="1070"/>
      <c r="P64" s="1067"/>
      <c r="Q64" s="1067"/>
      <c r="R64" s="1067"/>
      <c r="S64" s="1067"/>
      <c r="T64" s="1067"/>
      <c r="U64" s="1067"/>
      <c r="V64" s="1067"/>
      <c r="W64" s="1067"/>
    </row>
    <row r="65" spans="1:23" ht="18" customHeight="1">
      <c r="A65" s="1427"/>
      <c r="B65" s="1428"/>
      <c r="C65" s="1428"/>
      <c r="D65" s="1428"/>
      <c r="E65" s="1428"/>
      <c r="F65" s="1428"/>
      <c r="G65" s="1428"/>
      <c r="H65" s="1428"/>
      <c r="I65" s="1068"/>
      <c r="J65" s="1068"/>
      <c r="K65" s="1068"/>
      <c r="L65" s="1068"/>
      <c r="M65" s="1069"/>
      <c r="N65" s="1063"/>
      <c r="O65" s="1070"/>
      <c r="P65" s="1067"/>
      <c r="Q65" s="1067"/>
      <c r="R65" s="1067"/>
      <c r="S65" s="1067"/>
      <c r="T65" s="1067"/>
      <c r="U65" s="1067"/>
      <c r="V65" s="1067"/>
      <c r="W65" s="1067"/>
    </row>
    <row r="66" spans="1:23" ht="35.1" customHeight="1">
      <c r="A66" s="1062"/>
      <c r="B66" s="1068"/>
      <c r="C66" s="1068"/>
      <c r="D66" s="1068"/>
      <c r="E66" s="1068"/>
      <c r="F66" s="1068"/>
      <c r="G66" s="1068"/>
      <c r="H66" s="1068"/>
      <c r="I66" s="1068"/>
      <c r="J66" s="1068"/>
      <c r="K66" s="1068"/>
      <c r="L66" s="1068"/>
      <c r="M66" s="1069"/>
      <c r="N66" s="1063" t="s">
        <v>368</v>
      </c>
      <c r="O66" s="1070"/>
      <c r="P66" s="1067"/>
      <c r="Q66" s="1067"/>
      <c r="R66" s="1067"/>
      <c r="S66" s="1067"/>
      <c r="T66" s="1067"/>
      <c r="U66" s="1067"/>
      <c r="V66" s="1067"/>
      <c r="W66" s="1067"/>
    </row>
    <row r="67" spans="1:23" ht="35.1" customHeight="1">
      <c r="A67" s="1429" t="s">
        <v>369</v>
      </c>
      <c r="B67" s="1430"/>
      <c r="C67" s="1431" t="s">
        <v>370</v>
      </c>
      <c r="D67" s="1431"/>
      <c r="E67" s="1431"/>
      <c r="F67" s="1431"/>
      <c r="G67" s="1431"/>
      <c r="H67" s="1431"/>
      <c r="I67" s="1431"/>
      <c r="J67" s="1431"/>
      <c r="K67" s="1431"/>
      <c r="L67" s="1431"/>
      <c r="M67" s="1431"/>
      <c r="N67" s="1429" t="s">
        <v>371</v>
      </c>
      <c r="O67" s="1433"/>
      <c r="P67" s="1067"/>
      <c r="Q67" s="1067"/>
      <c r="R67" s="1067"/>
      <c r="S67" s="1067"/>
      <c r="T67" s="1067"/>
      <c r="U67" s="1067"/>
      <c r="V67" s="1067"/>
      <c r="W67" s="1067"/>
    </row>
    <row r="68" spans="1:23" ht="32.1" customHeight="1">
      <c r="A68" s="1434" t="s">
        <v>392</v>
      </c>
      <c r="B68" s="1071" t="s">
        <v>393</v>
      </c>
      <c r="C68" s="1072"/>
      <c r="D68" s="1073"/>
      <c r="E68" s="1073"/>
      <c r="F68" s="1073"/>
      <c r="G68" s="1074"/>
      <c r="H68" s="1074"/>
      <c r="I68" s="1073"/>
      <c r="J68" s="1073"/>
      <c r="K68" s="1075"/>
      <c r="L68" s="1076"/>
      <c r="M68" s="1077"/>
      <c r="N68" s="1437" t="s">
        <v>394</v>
      </c>
      <c r="O68" s="1438"/>
      <c r="P68" s="1067"/>
      <c r="Q68" s="1067"/>
      <c r="R68" s="1067"/>
      <c r="S68" s="1067"/>
      <c r="T68" s="1067"/>
      <c r="U68" s="1067"/>
      <c r="V68" s="1067"/>
      <c r="W68" s="1067"/>
    </row>
    <row r="69" spans="1:23" ht="32.1" customHeight="1">
      <c r="A69" s="1435"/>
      <c r="B69" s="1102" t="s">
        <v>347</v>
      </c>
      <c r="C69" s="1072"/>
      <c r="D69" s="1073"/>
      <c r="E69" s="1073"/>
      <c r="F69" s="1073"/>
      <c r="G69" s="1078"/>
      <c r="H69" s="1078"/>
      <c r="I69" s="1073"/>
      <c r="J69" s="1073"/>
      <c r="K69" s="1075"/>
      <c r="L69" s="1076"/>
      <c r="M69" s="1077"/>
      <c r="N69" s="1439"/>
      <c r="O69" s="1440"/>
      <c r="P69" s="1079"/>
      <c r="Q69" s="1067"/>
      <c r="R69" s="1067"/>
      <c r="S69" s="1067"/>
      <c r="T69" s="1067"/>
      <c r="U69" s="1067"/>
      <c r="V69" s="1067"/>
      <c r="W69" s="1067"/>
    </row>
    <row r="70" spans="1:23" ht="32.1" customHeight="1">
      <c r="A70" s="1436"/>
      <c r="B70" s="1071" t="s">
        <v>395</v>
      </c>
      <c r="C70" s="1072"/>
      <c r="D70" s="1073"/>
      <c r="E70" s="1073"/>
      <c r="F70" s="1073"/>
      <c r="G70" s="1078"/>
      <c r="H70" s="1078"/>
      <c r="I70" s="1073"/>
      <c r="J70" s="1073"/>
      <c r="K70" s="1075"/>
      <c r="L70" s="1076"/>
      <c r="M70" s="1077"/>
      <c r="N70" s="1441"/>
      <c r="O70" s="1442"/>
      <c r="P70" s="1079"/>
      <c r="Q70" s="1067"/>
      <c r="R70" s="1067"/>
      <c r="S70" s="1067"/>
      <c r="T70" s="1067"/>
      <c r="U70" s="1067"/>
      <c r="V70" s="1067"/>
      <c r="W70" s="1067"/>
    </row>
    <row r="71" spans="1:23" ht="35.1" customHeight="1">
      <c r="A71" s="1080" t="s">
        <v>377</v>
      </c>
      <c r="B71" s="1081" t="s">
        <v>14</v>
      </c>
      <c r="C71" s="1421" t="s">
        <v>892</v>
      </c>
      <c r="D71" s="1422"/>
      <c r="E71" s="1422"/>
      <c r="F71" s="1422"/>
      <c r="G71" s="1422"/>
      <c r="H71" s="1422"/>
      <c r="I71" s="1422"/>
      <c r="J71" s="1422"/>
      <c r="K71" s="1423"/>
      <c r="L71" s="1082" t="s">
        <v>379</v>
      </c>
      <c r="M71" s="1083">
        <f>(PI()*0.82^2-PI()*0.6^2)/4*0.1</f>
        <v>2.4535838624536274E-2</v>
      </c>
      <c r="N71" s="1084">
        <f>M71</f>
        <v>2.4535838624536274E-2</v>
      </c>
      <c r="O71" s="1085" t="s">
        <v>15</v>
      </c>
      <c r="P71" s="1060"/>
      <c r="Q71" s="1086"/>
      <c r="R71" s="1086"/>
      <c r="S71" s="1086"/>
      <c r="T71" s="1086"/>
      <c r="U71" s="1086"/>
      <c r="V71" s="1086"/>
      <c r="W71" s="1086"/>
    </row>
    <row r="72" spans="1:23" ht="35.1" customHeight="1">
      <c r="A72" s="1080" t="s">
        <v>381</v>
      </c>
      <c r="B72" s="1071" t="s">
        <v>634</v>
      </c>
      <c r="C72" s="1422" t="s">
        <v>639</v>
      </c>
      <c r="D72" s="1422"/>
      <c r="E72" s="1422"/>
      <c r="F72" s="1422"/>
      <c r="G72" s="1422"/>
      <c r="H72" s="1422"/>
      <c r="I72" s="1422"/>
      <c r="J72" s="1422"/>
      <c r="K72" s="1423"/>
      <c r="L72" s="1082" t="s">
        <v>379</v>
      </c>
      <c r="M72" s="1087">
        <v>1</v>
      </c>
      <c r="N72" s="1090">
        <v>1</v>
      </c>
      <c r="O72" s="1085" t="s">
        <v>382</v>
      </c>
      <c r="P72" s="1079"/>
      <c r="Q72" s="1086"/>
      <c r="R72" s="1086"/>
      <c r="S72" s="1086"/>
      <c r="T72" s="1086"/>
      <c r="U72" s="1086"/>
      <c r="V72" s="1086"/>
      <c r="W72" s="1086"/>
    </row>
    <row r="73" spans="1:23" ht="35.1" customHeight="1">
      <c r="A73" s="1095" t="s">
        <v>955</v>
      </c>
      <c r="B73" s="1089" t="s">
        <v>956</v>
      </c>
      <c r="C73" s="1422" t="s">
        <v>958</v>
      </c>
      <c r="D73" s="1422"/>
      <c r="E73" s="1422"/>
      <c r="F73" s="1422"/>
      <c r="G73" s="1422"/>
      <c r="H73" s="1422"/>
      <c r="I73" s="1422"/>
      <c r="J73" s="1422"/>
      <c r="K73" s="1423"/>
      <c r="L73" s="1076" t="s">
        <v>379</v>
      </c>
      <c r="M73" s="1094">
        <f>ROUND(PI()*1.6^2/4*0.2,2)</f>
        <v>0.4</v>
      </c>
      <c r="N73" s="1084">
        <f>M73</f>
        <v>0.4</v>
      </c>
      <c r="O73" s="1085" t="s">
        <v>957</v>
      </c>
      <c r="P73" s="1079"/>
      <c r="Q73" s="1086"/>
      <c r="R73" s="1086"/>
      <c r="S73" s="1086"/>
      <c r="T73" s="1086"/>
      <c r="U73" s="1086"/>
      <c r="V73" s="1086"/>
      <c r="W73" s="1086"/>
    </row>
    <row r="74" spans="1:23" ht="35.1" customHeight="1">
      <c r="A74" s="1096" t="s">
        <v>388</v>
      </c>
      <c r="B74" s="1097" t="s">
        <v>389</v>
      </c>
      <c r="C74" s="1424" t="s">
        <v>893</v>
      </c>
      <c r="D74" s="1425"/>
      <c r="E74" s="1425"/>
      <c r="F74" s="1425"/>
      <c r="G74" s="1425"/>
      <c r="H74" s="1425"/>
      <c r="I74" s="1425"/>
      <c r="J74" s="1425"/>
      <c r="K74" s="1426"/>
      <c r="L74" s="1098" t="s">
        <v>17</v>
      </c>
      <c r="M74" s="1099">
        <f>(PI()*0.82*0.1)+(PI()*0.6*0.1)</f>
        <v>0.44610615680975063</v>
      </c>
      <c r="N74" s="1100">
        <f>M74</f>
        <v>0.44610615680975063</v>
      </c>
      <c r="O74" s="1101" t="s">
        <v>19</v>
      </c>
      <c r="P74" s="1079"/>
      <c r="Q74" s="1086"/>
      <c r="R74" s="1086"/>
      <c r="S74" s="1086"/>
      <c r="T74" s="1086"/>
      <c r="U74" s="1086"/>
      <c r="V74" s="1086"/>
      <c r="W74" s="1086"/>
    </row>
  </sheetData>
  <mergeCells count="24">
    <mergeCell ref="N67:O67"/>
    <mergeCell ref="A68:A70"/>
    <mergeCell ref="N68:O70"/>
    <mergeCell ref="A39:O39"/>
    <mergeCell ref="A1:O1"/>
    <mergeCell ref="A26:H27"/>
    <mergeCell ref="A29:B29"/>
    <mergeCell ref="C29:M29"/>
    <mergeCell ref="N29:O29"/>
    <mergeCell ref="A30:A32"/>
    <mergeCell ref="N30:O32"/>
    <mergeCell ref="C33:K33"/>
    <mergeCell ref="C34:K34"/>
    <mergeCell ref="C38:K38"/>
    <mergeCell ref="C37:K37"/>
    <mergeCell ref="C71:K71"/>
    <mergeCell ref="C72:K72"/>
    <mergeCell ref="C74:K74"/>
    <mergeCell ref="C73:K73"/>
    <mergeCell ref="C35:K35"/>
    <mergeCell ref="A64:H65"/>
    <mergeCell ref="A67:B67"/>
    <mergeCell ref="C67:M67"/>
    <mergeCell ref="C36:K36"/>
  </mergeCells>
  <phoneticPr fontId="13" type="noConversion"/>
  <printOptions horizontalCentered="1"/>
  <pageMargins left="0.43307086614173229" right="0.43307086614173229" top="0.62992125984251968" bottom="0.59055118110236227" header="0.51181102362204722" footer="0.51181102362204722"/>
  <pageSetup paperSize="9" scale="83" orientation="portrait" r:id="rId1"/>
  <headerFooter alignWithMargins="0"/>
  <rowBreaks count="1" manualBreakCount="1">
    <brk id="38" max="16383" man="1"/>
  </rowBreaks>
  <colBreaks count="1" manualBreakCount="1">
    <brk id="15" max="1048575" man="1"/>
  </colBreaks>
  <drawing r:id="rId2"/>
  <legacyDrawing r:id="rId3"/>
  <oleObjects>
    <mc:AlternateContent xmlns:mc="http://schemas.openxmlformats.org/markup-compatibility/2006">
      <mc:Choice Requires="x14">
        <oleObject progId="AutoCAD.Drawing.14" shapeId="36865" r:id="rId4">
          <objectPr defaultSize="0" autoPict="0" r:id="rId5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AutoCAD.Drawing.14" shapeId="36865" r:id="rId4"/>
      </mc:Fallback>
    </mc:AlternateContent>
  </oleObjec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W72"/>
  <sheetViews>
    <sheetView workbookViewId="0">
      <selection sqref="A1:O1"/>
    </sheetView>
  </sheetViews>
  <sheetFormatPr defaultRowHeight="16.5"/>
  <cols>
    <col min="1" max="1" width="13" style="254" customWidth="1"/>
    <col min="2" max="2" width="11.109375" style="254" customWidth="1"/>
    <col min="3" max="11" width="5.33203125" style="254" customWidth="1"/>
    <col min="12" max="12" width="2.77734375" style="254" customWidth="1"/>
    <col min="13" max="13" width="8.44140625" style="254" customWidth="1"/>
    <col min="14" max="14" width="7.21875" style="254" customWidth="1"/>
    <col min="15" max="15" width="5" style="254" customWidth="1"/>
    <col min="16" max="256" width="8.88671875" style="254"/>
    <col min="257" max="257" width="13" style="254" customWidth="1"/>
    <col min="258" max="258" width="11.109375" style="254" customWidth="1"/>
    <col min="259" max="259" width="6.77734375" style="254" customWidth="1"/>
    <col min="260" max="260" width="4.21875" style="254" customWidth="1"/>
    <col min="261" max="261" width="6" style="254" customWidth="1"/>
    <col min="262" max="262" width="3.88671875" style="254" customWidth="1"/>
    <col min="263" max="263" width="4.6640625" style="254" customWidth="1"/>
    <col min="264" max="264" width="6.77734375" style="254" customWidth="1"/>
    <col min="265" max="265" width="5.21875" style="254" customWidth="1"/>
    <col min="266" max="266" width="3.88671875" style="254" customWidth="1"/>
    <col min="267" max="267" width="4.88671875" style="254" customWidth="1"/>
    <col min="268" max="268" width="2.77734375" style="254" customWidth="1"/>
    <col min="269" max="269" width="8.44140625" style="254" customWidth="1"/>
    <col min="270" max="270" width="7.21875" style="254" customWidth="1"/>
    <col min="271" max="271" width="5" style="254" customWidth="1"/>
    <col min="272" max="512" width="8.88671875" style="254"/>
    <col min="513" max="513" width="13" style="254" customWidth="1"/>
    <col min="514" max="514" width="11.109375" style="254" customWidth="1"/>
    <col min="515" max="515" width="6.77734375" style="254" customWidth="1"/>
    <col min="516" max="516" width="4.21875" style="254" customWidth="1"/>
    <col min="517" max="517" width="6" style="254" customWidth="1"/>
    <col min="518" max="518" width="3.88671875" style="254" customWidth="1"/>
    <col min="519" max="519" width="4.6640625" style="254" customWidth="1"/>
    <col min="520" max="520" width="6.77734375" style="254" customWidth="1"/>
    <col min="521" max="521" width="5.21875" style="254" customWidth="1"/>
    <col min="522" max="522" width="3.88671875" style="254" customWidth="1"/>
    <col min="523" max="523" width="4.88671875" style="254" customWidth="1"/>
    <col min="524" max="524" width="2.77734375" style="254" customWidth="1"/>
    <col min="525" max="525" width="8.44140625" style="254" customWidth="1"/>
    <col min="526" max="526" width="7.21875" style="254" customWidth="1"/>
    <col min="527" max="527" width="5" style="254" customWidth="1"/>
    <col min="528" max="768" width="8.88671875" style="254"/>
    <col min="769" max="769" width="13" style="254" customWidth="1"/>
    <col min="770" max="770" width="11.109375" style="254" customWidth="1"/>
    <col min="771" max="771" width="6.77734375" style="254" customWidth="1"/>
    <col min="772" max="772" width="4.21875" style="254" customWidth="1"/>
    <col min="773" max="773" width="6" style="254" customWidth="1"/>
    <col min="774" max="774" width="3.88671875" style="254" customWidth="1"/>
    <col min="775" max="775" width="4.6640625" style="254" customWidth="1"/>
    <col min="776" max="776" width="6.77734375" style="254" customWidth="1"/>
    <col min="777" max="777" width="5.21875" style="254" customWidth="1"/>
    <col min="778" max="778" width="3.88671875" style="254" customWidth="1"/>
    <col min="779" max="779" width="4.88671875" style="254" customWidth="1"/>
    <col min="780" max="780" width="2.77734375" style="254" customWidth="1"/>
    <col min="781" max="781" width="8.44140625" style="254" customWidth="1"/>
    <col min="782" max="782" width="7.21875" style="254" customWidth="1"/>
    <col min="783" max="783" width="5" style="254" customWidth="1"/>
    <col min="784" max="1024" width="8.88671875" style="254"/>
    <col min="1025" max="1025" width="13" style="254" customWidth="1"/>
    <col min="1026" max="1026" width="11.109375" style="254" customWidth="1"/>
    <col min="1027" max="1027" width="6.77734375" style="254" customWidth="1"/>
    <col min="1028" max="1028" width="4.21875" style="254" customWidth="1"/>
    <col min="1029" max="1029" width="6" style="254" customWidth="1"/>
    <col min="1030" max="1030" width="3.88671875" style="254" customWidth="1"/>
    <col min="1031" max="1031" width="4.6640625" style="254" customWidth="1"/>
    <col min="1032" max="1032" width="6.77734375" style="254" customWidth="1"/>
    <col min="1033" max="1033" width="5.21875" style="254" customWidth="1"/>
    <col min="1034" max="1034" width="3.88671875" style="254" customWidth="1"/>
    <col min="1035" max="1035" width="4.88671875" style="254" customWidth="1"/>
    <col min="1036" max="1036" width="2.77734375" style="254" customWidth="1"/>
    <col min="1037" max="1037" width="8.44140625" style="254" customWidth="1"/>
    <col min="1038" max="1038" width="7.21875" style="254" customWidth="1"/>
    <col min="1039" max="1039" width="5" style="254" customWidth="1"/>
    <col min="1040" max="1280" width="8.88671875" style="254"/>
    <col min="1281" max="1281" width="13" style="254" customWidth="1"/>
    <col min="1282" max="1282" width="11.109375" style="254" customWidth="1"/>
    <col min="1283" max="1283" width="6.77734375" style="254" customWidth="1"/>
    <col min="1284" max="1284" width="4.21875" style="254" customWidth="1"/>
    <col min="1285" max="1285" width="6" style="254" customWidth="1"/>
    <col min="1286" max="1286" width="3.88671875" style="254" customWidth="1"/>
    <col min="1287" max="1287" width="4.6640625" style="254" customWidth="1"/>
    <col min="1288" max="1288" width="6.77734375" style="254" customWidth="1"/>
    <col min="1289" max="1289" width="5.21875" style="254" customWidth="1"/>
    <col min="1290" max="1290" width="3.88671875" style="254" customWidth="1"/>
    <col min="1291" max="1291" width="4.88671875" style="254" customWidth="1"/>
    <col min="1292" max="1292" width="2.77734375" style="254" customWidth="1"/>
    <col min="1293" max="1293" width="8.44140625" style="254" customWidth="1"/>
    <col min="1294" max="1294" width="7.21875" style="254" customWidth="1"/>
    <col min="1295" max="1295" width="5" style="254" customWidth="1"/>
    <col min="1296" max="1536" width="8.88671875" style="254"/>
    <col min="1537" max="1537" width="13" style="254" customWidth="1"/>
    <col min="1538" max="1538" width="11.109375" style="254" customWidth="1"/>
    <col min="1539" max="1539" width="6.77734375" style="254" customWidth="1"/>
    <col min="1540" max="1540" width="4.21875" style="254" customWidth="1"/>
    <col min="1541" max="1541" width="6" style="254" customWidth="1"/>
    <col min="1542" max="1542" width="3.88671875" style="254" customWidth="1"/>
    <col min="1543" max="1543" width="4.6640625" style="254" customWidth="1"/>
    <col min="1544" max="1544" width="6.77734375" style="254" customWidth="1"/>
    <col min="1545" max="1545" width="5.21875" style="254" customWidth="1"/>
    <col min="1546" max="1546" width="3.88671875" style="254" customWidth="1"/>
    <col min="1547" max="1547" width="4.88671875" style="254" customWidth="1"/>
    <col min="1548" max="1548" width="2.77734375" style="254" customWidth="1"/>
    <col min="1549" max="1549" width="8.44140625" style="254" customWidth="1"/>
    <col min="1550" max="1550" width="7.21875" style="254" customWidth="1"/>
    <col min="1551" max="1551" width="5" style="254" customWidth="1"/>
    <col min="1552" max="1792" width="8.88671875" style="254"/>
    <col min="1793" max="1793" width="13" style="254" customWidth="1"/>
    <col min="1794" max="1794" width="11.109375" style="254" customWidth="1"/>
    <col min="1795" max="1795" width="6.77734375" style="254" customWidth="1"/>
    <col min="1796" max="1796" width="4.21875" style="254" customWidth="1"/>
    <col min="1797" max="1797" width="6" style="254" customWidth="1"/>
    <col min="1798" max="1798" width="3.88671875" style="254" customWidth="1"/>
    <col min="1799" max="1799" width="4.6640625" style="254" customWidth="1"/>
    <col min="1800" max="1800" width="6.77734375" style="254" customWidth="1"/>
    <col min="1801" max="1801" width="5.21875" style="254" customWidth="1"/>
    <col min="1802" max="1802" width="3.88671875" style="254" customWidth="1"/>
    <col min="1803" max="1803" width="4.88671875" style="254" customWidth="1"/>
    <col min="1804" max="1804" width="2.77734375" style="254" customWidth="1"/>
    <col min="1805" max="1805" width="8.44140625" style="254" customWidth="1"/>
    <col min="1806" max="1806" width="7.21875" style="254" customWidth="1"/>
    <col min="1807" max="1807" width="5" style="254" customWidth="1"/>
    <col min="1808" max="2048" width="8.88671875" style="254"/>
    <col min="2049" max="2049" width="13" style="254" customWidth="1"/>
    <col min="2050" max="2050" width="11.109375" style="254" customWidth="1"/>
    <col min="2051" max="2051" width="6.77734375" style="254" customWidth="1"/>
    <col min="2052" max="2052" width="4.21875" style="254" customWidth="1"/>
    <col min="2053" max="2053" width="6" style="254" customWidth="1"/>
    <col min="2054" max="2054" width="3.88671875" style="254" customWidth="1"/>
    <col min="2055" max="2055" width="4.6640625" style="254" customWidth="1"/>
    <col min="2056" max="2056" width="6.77734375" style="254" customWidth="1"/>
    <col min="2057" max="2057" width="5.21875" style="254" customWidth="1"/>
    <col min="2058" max="2058" width="3.88671875" style="254" customWidth="1"/>
    <col min="2059" max="2059" width="4.88671875" style="254" customWidth="1"/>
    <col min="2060" max="2060" width="2.77734375" style="254" customWidth="1"/>
    <col min="2061" max="2061" width="8.44140625" style="254" customWidth="1"/>
    <col min="2062" max="2062" width="7.21875" style="254" customWidth="1"/>
    <col min="2063" max="2063" width="5" style="254" customWidth="1"/>
    <col min="2064" max="2304" width="8.88671875" style="254"/>
    <col min="2305" max="2305" width="13" style="254" customWidth="1"/>
    <col min="2306" max="2306" width="11.109375" style="254" customWidth="1"/>
    <col min="2307" max="2307" width="6.77734375" style="254" customWidth="1"/>
    <col min="2308" max="2308" width="4.21875" style="254" customWidth="1"/>
    <col min="2309" max="2309" width="6" style="254" customWidth="1"/>
    <col min="2310" max="2310" width="3.88671875" style="254" customWidth="1"/>
    <col min="2311" max="2311" width="4.6640625" style="254" customWidth="1"/>
    <col min="2312" max="2312" width="6.77734375" style="254" customWidth="1"/>
    <col min="2313" max="2313" width="5.21875" style="254" customWidth="1"/>
    <col min="2314" max="2314" width="3.88671875" style="254" customWidth="1"/>
    <col min="2315" max="2315" width="4.88671875" style="254" customWidth="1"/>
    <col min="2316" max="2316" width="2.77734375" style="254" customWidth="1"/>
    <col min="2317" max="2317" width="8.44140625" style="254" customWidth="1"/>
    <col min="2318" max="2318" width="7.21875" style="254" customWidth="1"/>
    <col min="2319" max="2319" width="5" style="254" customWidth="1"/>
    <col min="2320" max="2560" width="8.88671875" style="254"/>
    <col min="2561" max="2561" width="13" style="254" customWidth="1"/>
    <col min="2562" max="2562" width="11.109375" style="254" customWidth="1"/>
    <col min="2563" max="2563" width="6.77734375" style="254" customWidth="1"/>
    <col min="2564" max="2564" width="4.21875" style="254" customWidth="1"/>
    <col min="2565" max="2565" width="6" style="254" customWidth="1"/>
    <col min="2566" max="2566" width="3.88671875" style="254" customWidth="1"/>
    <col min="2567" max="2567" width="4.6640625" style="254" customWidth="1"/>
    <col min="2568" max="2568" width="6.77734375" style="254" customWidth="1"/>
    <col min="2569" max="2569" width="5.21875" style="254" customWidth="1"/>
    <col min="2570" max="2570" width="3.88671875" style="254" customWidth="1"/>
    <col min="2571" max="2571" width="4.88671875" style="254" customWidth="1"/>
    <col min="2572" max="2572" width="2.77734375" style="254" customWidth="1"/>
    <col min="2573" max="2573" width="8.44140625" style="254" customWidth="1"/>
    <col min="2574" max="2574" width="7.21875" style="254" customWidth="1"/>
    <col min="2575" max="2575" width="5" style="254" customWidth="1"/>
    <col min="2576" max="2816" width="8.88671875" style="254"/>
    <col min="2817" max="2817" width="13" style="254" customWidth="1"/>
    <col min="2818" max="2818" width="11.109375" style="254" customWidth="1"/>
    <col min="2819" max="2819" width="6.77734375" style="254" customWidth="1"/>
    <col min="2820" max="2820" width="4.21875" style="254" customWidth="1"/>
    <col min="2821" max="2821" width="6" style="254" customWidth="1"/>
    <col min="2822" max="2822" width="3.88671875" style="254" customWidth="1"/>
    <col min="2823" max="2823" width="4.6640625" style="254" customWidth="1"/>
    <col min="2824" max="2824" width="6.77734375" style="254" customWidth="1"/>
    <col min="2825" max="2825" width="5.21875" style="254" customWidth="1"/>
    <col min="2826" max="2826" width="3.88671875" style="254" customWidth="1"/>
    <col min="2827" max="2827" width="4.88671875" style="254" customWidth="1"/>
    <col min="2828" max="2828" width="2.77734375" style="254" customWidth="1"/>
    <col min="2829" max="2829" width="8.44140625" style="254" customWidth="1"/>
    <col min="2830" max="2830" width="7.21875" style="254" customWidth="1"/>
    <col min="2831" max="2831" width="5" style="254" customWidth="1"/>
    <col min="2832" max="3072" width="8.88671875" style="254"/>
    <col min="3073" max="3073" width="13" style="254" customWidth="1"/>
    <col min="3074" max="3074" width="11.109375" style="254" customWidth="1"/>
    <col min="3075" max="3075" width="6.77734375" style="254" customWidth="1"/>
    <col min="3076" max="3076" width="4.21875" style="254" customWidth="1"/>
    <col min="3077" max="3077" width="6" style="254" customWidth="1"/>
    <col min="3078" max="3078" width="3.88671875" style="254" customWidth="1"/>
    <col min="3079" max="3079" width="4.6640625" style="254" customWidth="1"/>
    <col min="3080" max="3080" width="6.77734375" style="254" customWidth="1"/>
    <col min="3081" max="3081" width="5.21875" style="254" customWidth="1"/>
    <col min="3082" max="3082" width="3.88671875" style="254" customWidth="1"/>
    <col min="3083" max="3083" width="4.88671875" style="254" customWidth="1"/>
    <col min="3084" max="3084" width="2.77734375" style="254" customWidth="1"/>
    <col min="3085" max="3085" width="8.44140625" style="254" customWidth="1"/>
    <col min="3086" max="3086" width="7.21875" style="254" customWidth="1"/>
    <col min="3087" max="3087" width="5" style="254" customWidth="1"/>
    <col min="3088" max="3328" width="8.88671875" style="254"/>
    <col min="3329" max="3329" width="13" style="254" customWidth="1"/>
    <col min="3330" max="3330" width="11.109375" style="254" customWidth="1"/>
    <col min="3331" max="3331" width="6.77734375" style="254" customWidth="1"/>
    <col min="3332" max="3332" width="4.21875" style="254" customWidth="1"/>
    <col min="3333" max="3333" width="6" style="254" customWidth="1"/>
    <col min="3334" max="3334" width="3.88671875" style="254" customWidth="1"/>
    <col min="3335" max="3335" width="4.6640625" style="254" customWidth="1"/>
    <col min="3336" max="3336" width="6.77734375" style="254" customWidth="1"/>
    <col min="3337" max="3337" width="5.21875" style="254" customWidth="1"/>
    <col min="3338" max="3338" width="3.88671875" style="254" customWidth="1"/>
    <col min="3339" max="3339" width="4.88671875" style="254" customWidth="1"/>
    <col min="3340" max="3340" width="2.77734375" style="254" customWidth="1"/>
    <col min="3341" max="3341" width="8.44140625" style="254" customWidth="1"/>
    <col min="3342" max="3342" width="7.21875" style="254" customWidth="1"/>
    <col min="3343" max="3343" width="5" style="254" customWidth="1"/>
    <col min="3344" max="3584" width="8.88671875" style="254"/>
    <col min="3585" max="3585" width="13" style="254" customWidth="1"/>
    <col min="3586" max="3586" width="11.109375" style="254" customWidth="1"/>
    <col min="3587" max="3587" width="6.77734375" style="254" customWidth="1"/>
    <col min="3588" max="3588" width="4.21875" style="254" customWidth="1"/>
    <col min="3589" max="3589" width="6" style="254" customWidth="1"/>
    <col min="3590" max="3590" width="3.88671875" style="254" customWidth="1"/>
    <col min="3591" max="3591" width="4.6640625" style="254" customWidth="1"/>
    <col min="3592" max="3592" width="6.77734375" style="254" customWidth="1"/>
    <col min="3593" max="3593" width="5.21875" style="254" customWidth="1"/>
    <col min="3594" max="3594" width="3.88671875" style="254" customWidth="1"/>
    <col min="3595" max="3595" width="4.88671875" style="254" customWidth="1"/>
    <col min="3596" max="3596" width="2.77734375" style="254" customWidth="1"/>
    <col min="3597" max="3597" width="8.44140625" style="254" customWidth="1"/>
    <col min="3598" max="3598" width="7.21875" style="254" customWidth="1"/>
    <col min="3599" max="3599" width="5" style="254" customWidth="1"/>
    <col min="3600" max="3840" width="8.88671875" style="254"/>
    <col min="3841" max="3841" width="13" style="254" customWidth="1"/>
    <col min="3842" max="3842" width="11.109375" style="254" customWidth="1"/>
    <col min="3843" max="3843" width="6.77734375" style="254" customWidth="1"/>
    <col min="3844" max="3844" width="4.21875" style="254" customWidth="1"/>
    <col min="3845" max="3845" width="6" style="254" customWidth="1"/>
    <col min="3846" max="3846" width="3.88671875" style="254" customWidth="1"/>
    <col min="3847" max="3847" width="4.6640625" style="254" customWidth="1"/>
    <col min="3848" max="3848" width="6.77734375" style="254" customWidth="1"/>
    <col min="3849" max="3849" width="5.21875" style="254" customWidth="1"/>
    <col min="3850" max="3850" width="3.88671875" style="254" customWidth="1"/>
    <col min="3851" max="3851" width="4.88671875" style="254" customWidth="1"/>
    <col min="3852" max="3852" width="2.77734375" style="254" customWidth="1"/>
    <col min="3853" max="3853" width="8.44140625" style="254" customWidth="1"/>
    <col min="3854" max="3854" width="7.21875" style="254" customWidth="1"/>
    <col min="3855" max="3855" width="5" style="254" customWidth="1"/>
    <col min="3856" max="4096" width="8.88671875" style="254"/>
    <col min="4097" max="4097" width="13" style="254" customWidth="1"/>
    <col min="4098" max="4098" width="11.109375" style="254" customWidth="1"/>
    <col min="4099" max="4099" width="6.77734375" style="254" customWidth="1"/>
    <col min="4100" max="4100" width="4.21875" style="254" customWidth="1"/>
    <col min="4101" max="4101" width="6" style="254" customWidth="1"/>
    <col min="4102" max="4102" width="3.88671875" style="254" customWidth="1"/>
    <col min="4103" max="4103" width="4.6640625" style="254" customWidth="1"/>
    <col min="4104" max="4104" width="6.77734375" style="254" customWidth="1"/>
    <col min="4105" max="4105" width="5.21875" style="254" customWidth="1"/>
    <col min="4106" max="4106" width="3.88671875" style="254" customWidth="1"/>
    <col min="4107" max="4107" width="4.88671875" style="254" customWidth="1"/>
    <col min="4108" max="4108" width="2.77734375" style="254" customWidth="1"/>
    <col min="4109" max="4109" width="8.44140625" style="254" customWidth="1"/>
    <col min="4110" max="4110" width="7.21875" style="254" customWidth="1"/>
    <col min="4111" max="4111" width="5" style="254" customWidth="1"/>
    <col min="4112" max="4352" width="8.88671875" style="254"/>
    <col min="4353" max="4353" width="13" style="254" customWidth="1"/>
    <col min="4354" max="4354" width="11.109375" style="254" customWidth="1"/>
    <col min="4355" max="4355" width="6.77734375" style="254" customWidth="1"/>
    <col min="4356" max="4356" width="4.21875" style="254" customWidth="1"/>
    <col min="4357" max="4357" width="6" style="254" customWidth="1"/>
    <col min="4358" max="4358" width="3.88671875" style="254" customWidth="1"/>
    <col min="4359" max="4359" width="4.6640625" style="254" customWidth="1"/>
    <col min="4360" max="4360" width="6.77734375" style="254" customWidth="1"/>
    <col min="4361" max="4361" width="5.21875" style="254" customWidth="1"/>
    <col min="4362" max="4362" width="3.88671875" style="254" customWidth="1"/>
    <col min="4363" max="4363" width="4.88671875" style="254" customWidth="1"/>
    <col min="4364" max="4364" width="2.77734375" style="254" customWidth="1"/>
    <col min="4365" max="4365" width="8.44140625" style="254" customWidth="1"/>
    <col min="4366" max="4366" width="7.21875" style="254" customWidth="1"/>
    <col min="4367" max="4367" width="5" style="254" customWidth="1"/>
    <col min="4368" max="4608" width="8.88671875" style="254"/>
    <col min="4609" max="4609" width="13" style="254" customWidth="1"/>
    <col min="4610" max="4610" width="11.109375" style="254" customWidth="1"/>
    <col min="4611" max="4611" width="6.77734375" style="254" customWidth="1"/>
    <col min="4612" max="4612" width="4.21875" style="254" customWidth="1"/>
    <col min="4613" max="4613" width="6" style="254" customWidth="1"/>
    <col min="4614" max="4614" width="3.88671875" style="254" customWidth="1"/>
    <col min="4615" max="4615" width="4.6640625" style="254" customWidth="1"/>
    <col min="4616" max="4616" width="6.77734375" style="254" customWidth="1"/>
    <col min="4617" max="4617" width="5.21875" style="254" customWidth="1"/>
    <col min="4618" max="4618" width="3.88671875" style="254" customWidth="1"/>
    <col min="4619" max="4619" width="4.88671875" style="254" customWidth="1"/>
    <col min="4620" max="4620" width="2.77734375" style="254" customWidth="1"/>
    <col min="4621" max="4621" width="8.44140625" style="254" customWidth="1"/>
    <col min="4622" max="4622" width="7.21875" style="254" customWidth="1"/>
    <col min="4623" max="4623" width="5" style="254" customWidth="1"/>
    <col min="4624" max="4864" width="8.88671875" style="254"/>
    <col min="4865" max="4865" width="13" style="254" customWidth="1"/>
    <col min="4866" max="4866" width="11.109375" style="254" customWidth="1"/>
    <col min="4867" max="4867" width="6.77734375" style="254" customWidth="1"/>
    <col min="4868" max="4868" width="4.21875" style="254" customWidth="1"/>
    <col min="4869" max="4869" width="6" style="254" customWidth="1"/>
    <col min="4870" max="4870" width="3.88671875" style="254" customWidth="1"/>
    <col min="4871" max="4871" width="4.6640625" style="254" customWidth="1"/>
    <col min="4872" max="4872" width="6.77734375" style="254" customWidth="1"/>
    <col min="4873" max="4873" width="5.21875" style="254" customWidth="1"/>
    <col min="4874" max="4874" width="3.88671875" style="254" customWidth="1"/>
    <col min="4875" max="4875" width="4.88671875" style="254" customWidth="1"/>
    <col min="4876" max="4876" width="2.77734375" style="254" customWidth="1"/>
    <col min="4877" max="4877" width="8.44140625" style="254" customWidth="1"/>
    <col min="4878" max="4878" width="7.21875" style="254" customWidth="1"/>
    <col min="4879" max="4879" width="5" style="254" customWidth="1"/>
    <col min="4880" max="5120" width="8.88671875" style="254"/>
    <col min="5121" max="5121" width="13" style="254" customWidth="1"/>
    <col min="5122" max="5122" width="11.109375" style="254" customWidth="1"/>
    <col min="5123" max="5123" width="6.77734375" style="254" customWidth="1"/>
    <col min="5124" max="5124" width="4.21875" style="254" customWidth="1"/>
    <col min="5125" max="5125" width="6" style="254" customWidth="1"/>
    <col min="5126" max="5126" width="3.88671875" style="254" customWidth="1"/>
    <col min="5127" max="5127" width="4.6640625" style="254" customWidth="1"/>
    <col min="5128" max="5128" width="6.77734375" style="254" customWidth="1"/>
    <col min="5129" max="5129" width="5.21875" style="254" customWidth="1"/>
    <col min="5130" max="5130" width="3.88671875" style="254" customWidth="1"/>
    <col min="5131" max="5131" width="4.88671875" style="254" customWidth="1"/>
    <col min="5132" max="5132" width="2.77734375" style="254" customWidth="1"/>
    <col min="5133" max="5133" width="8.44140625" style="254" customWidth="1"/>
    <col min="5134" max="5134" width="7.21875" style="254" customWidth="1"/>
    <col min="5135" max="5135" width="5" style="254" customWidth="1"/>
    <col min="5136" max="5376" width="8.88671875" style="254"/>
    <col min="5377" max="5377" width="13" style="254" customWidth="1"/>
    <col min="5378" max="5378" width="11.109375" style="254" customWidth="1"/>
    <col min="5379" max="5379" width="6.77734375" style="254" customWidth="1"/>
    <col min="5380" max="5380" width="4.21875" style="254" customWidth="1"/>
    <col min="5381" max="5381" width="6" style="254" customWidth="1"/>
    <col min="5382" max="5382" width="3.88671875" style="254" customWidth="1"/>
    <col min="5383" max="5383" width="4.6640625" style="254" customWidth="1"/>
    <col min="5384" max="5384" width="6.77734375" style="254" customWidth="1"/>
    <col min="5385" max="5385" width="5.21875" style="254" customWidth="1"/>
    <col min="5386" max="5386" width="3.88671875" style="254" customWidth="1"/>
    <col min="5387" max="5387" width="4.88671875" style="254" customWidth="1"/>
    <col min="5388" max="5388" width="2.77734375" style="254" customWidth="1"/>
    <col min="5389" max="5389" width="8.44140625" style="254" customWidth="1"/>
    <col min="5390" max="5390" width="7.21875" style="254" customWidth="1"/>
    <col min="5391" max="5391" width="5" style="254" customWidth="1"/>
    <col min="5392" max="5632" width="8.88671875" style="254"/>
    <col min="5633" max="5633" width="13" style="254" customWidth="1"/>
    <col min="5634" max="5634" width="11.109375" style="254" customWidth="1"/>
    <col min="5635" max="5635" width="6.77734375" style="254" customWidth="1"/>
    <col min="5636" max="5636" width="4.21875" style="254" customWidth="1"/>
    <col min="5637" max="5637" width="6" style="254" customWidth="1"/>
    <col min="5638" max="5638" width="3.88671875" style="254" customWidth="1"/>
    <col min="5639" max="5639" width="4.6640625" style="254" customWidth="1"/>
    <col min="5640" max="5640" width="6.77734375" style="254" customWidth="1"/>
    <col min="5641" max="5641" width="5.21875" style="254" customWidth="1"/>
    <col min="5642" max="5642" width="3.88671875" style="254" customWidth="1"/>
    <col min="5643" max="5643" width="4.88671875" style="254" customWidth="1"/>
    <col min="5644" max="5644" width="2.77734375" style="254" customWidth="1"/>
    <col min="5645" max="5645" width="8.44140625" style="254" customWidth="1"/>
    <col min="5646" max="5646" width="7.21875" style="254" customWidth="1"/>
    <col min="5647" max="5647" width="5" style="254" customWidth="1"/>
    <col min="5648" max="5888" width="8.88671875" style="254"/>
    <col min="5889" max="5889" width="13" style="254" customWidth="1"/>
    <col min="5890" max="5890" width="11.109375" style="254" customWidth="1"/>
    <col min="5891" max="5891" width="6.77734375" style="254" customWidth="1"/>
    <col min="5892" max="5892" width="4.21875" style="254" customWidth="1"/>
    <col min="5893" max="5893" width="6" style="254" customWidth="1"/>
    <col min="5894" max="5894" width="3.88671875" style="254" customWidth="1"/>
    <col min="5895" max="5895" width="4.6640625" style="254" customWidth="1"/>
    <col min="5896" max="5896" width="6.77734375" style="254" customWidth="1"/>
    <col min="5897" max="5897" width="5.21875" style="254" customWidth="1"/>
    <col min="5898" max="5898" width="3.88671875" style="254" customWidth="1"/>
    <col min="5899" max="5899" width="4.88671875" style="254" customWidth="1"/>
    <col min="5900" max="5900" width="2.77734375" style="254" customWidth="1"/>
    <col min="5901" max="5901" width="8.44140625" style="254" customWidth="1"/>
    <col min="5902" max="5902" width="7.21875" style="254" customWidth="1"/>
    <col min="5903" max="5903" width="5" style="254" customWidth="1"/>
    <col min="5904" max="6144" width="8.88671875" style="254"/>
    <col min="6145" max="6145" width="13" style="254" customWidth="1"/>
    <col min="6146" max="6146" width="11.109375" style="254" customWidth="1"/>
    <col min="6147" max="6147" width="6.77734375" style="254" customWidth="1"/>
    <col min="6148" max="6148" width="4.21875" style="254" customWidth="1"/>
    <col min="6149" max="6149" width="6" style="254" customWidth="1"/>
    <col min="6150" max="6150" width="3.88671875" style="254" customWidth="1"/>
    <col min="6151" max="6151" width="4.6640625" style="254" customWidth="1"/>
    <col min="6152" max="6152" width="6.77734375" style="254" customWidth="1"/>
    <col min="6153" max="6153" width="5.21875" style="254" customWidth="1"/>
    <col min="6154" max="6154" width="3.88671875" style="254" customWidth="1"/>
    <col min="6155" max="6155" width="4.88671875" style="254" customWidth="1"/>
    <col min="6156" max="6156" width="2.77734375" style="254" customWidth="1"/>
    <col min="6157" max="6157" width="8.44140625" style="254" customWidth="1"/>
    <col min="6158" max="6158" width="7.21875" style="254" customWidth="1"/>
    <col min="6159" max="6159" width="5" style="254" customWidth="1"/>
    <col min="6160" max="6400" width="8.88671875" style="254"/>
    <col min="6401" max="6401" width="13" style="254" customWidth="1"/>
    <col min="6402" max="6402" width="11.109375" style="254" customWidth="1"/>
    <col min="6403" max="6403" width="6.77734375" style="254" customWidth="1"/>
    <col min="6404" max="6404" width="4.21875" style="254" customWidth="1"/>
    <col min="6405" max="6405" width="6" style="254" customWidth="1"/>
    <col min="6406" max="6406" width="3.88671875" style="254" customWidth="1"/>
    <col min="6407" max="6407" width="4.6640625" style="254" customWidth="1"/>
    <col min="6408" max="6408" width="6.77734375" style="254" customWidth="1"/>
    <col min="6409" max="6409" width="5.21875" style="254" customWidth="1"/>
    <col min="6410" max="6410" width="3.88671875" style="254" customWidth="1"/>
    <col min="6411" max="6411" width="4.88671875" style="254" customWidth="1"/>
    <col min="6412" max="6412" width="2.77734375" style="254" customWidth="1"/>
    <col min="6413" max="6413" width="8.44140625" style="254" customWidth="1"/>
    <col min="6414" max="6414" width="7.21875" style="254" customWidth="1"/>
    <col min="6415" max="6415" width="5" style="254" customWidth="1"/>
    <col min="6416" max="6656" width="8.88671875" style="254"/>
    <col min="6657" max="6657" width="13" style="254" customWidth="1"/>
    <col min="6658" max="6658" width="11.109375" style="254" customWidth="1"/>
    <col min="6659" max="6659" width="6.77734375" style="254" customWidth="1"/>
    <col min="6660" max="6660" width="4.21875" style="254" customWidth="1"/>
    <col min="6661" max="6661" width="6" style="254" customWidth="1"/>
    <col min="6662" max="6662" width="3.88671875" style="254" customWidth="1"/>
    <col min="6663" max="6663" width="4.6640625" style="254" customWidth="1"/>
    <col min="6664" max="6664" width="6.77734375" style="254" customWidth="1"/>
    <col min="6665" max="6665" width="5.21875" style="254" customWidth="1"/>
    <col min="6666" max="6666" width="3.88671875" style="254" customWidth="1"/>
    <col min="6667" max="6667" width="4.88671875" style="254" customWidth="1"/>
    <col min="6668" max="6668" width="2.77734375" style="254" customWidth="1"/>
    <col min="6669" max="6669" width="8.44140625" style="254" customWidth="1"/>
    <col min="6670" max="6670" width="7.21875" style="254" customWidth="1"/>
    <col min="6671" max="6671" width="5" style="254" customWidth="1"/>
    <col min="6672" max="6912" width="8.88671875" style="254"/>
    <col min="6913" max="6913" width="13" style="254" customWidth="1"/>
    <col min="6914" max="6914" width="11.109375" style="254" customWidth="1"/>
    <col min="6915" max="6915" width="6.77734375" style="254" customWidth="1"/>
    <col min="6916" max="6916" width="4.21875" style="254" customWidth="1"/>
    <col min="6917" max="6917" width="6" style="254" customWidth="1"/>
    <col min="6918" max="6918" width="3.88671875" style="254" customWidth="1"/>
    <col min="6919" max="6919" width="4.6640625" style="254" customWidth="1"/>
    <col min="6920" max="6920" width="6.77734375" style="254" customWidth="1"/>
    <col min="6921" max="6921" width="5.21875" style="254" customWidth="1"/>
    <col min="6922" max="6922" width="3.88671875" style="254" customWidth="1"/>
    <col min="6923" max="6923" width="4.88671875" style="254" customWidth="1"/>
    <col min="6924" max="6924" width="2.77734375" style="254" customWidth="1"/>
    <col min="6925" max="6925" width="8.44140625" style="254" customWidth="1"/>
    <col min="6926" max="6926" width="7.21875" style="254" customWidth="1"/>
    <col min="6927" max="6927" width="5" style="254" customWidth="1"/>
    <col min="6928" max="7168" width="8.88671875" style="254"/>
    <col min="7169" max="7169" width="13" style="254" customWidth="1"/>
    <col min="7170" max="7170" width="11.109375" style="254" customWidth="1"/>
    <col min="7171" max="7171" width="6.77734375" style="254" customWidth="1"/>
    <col min="7172" max="7172" width="4.21875" style="254" customWidth="1"/>
    <col min="7173" max="7173" width="6" style="254" customWidth="1"/>
    <col min="7174" max="7174" width="3.88671875" style="254" customWidth="1"/>
    <col min="7175" max="7175" width="4.6640625" style="254" customWidth="1"/>
    <col min="7176" max="7176" width="6.77734375" style="254" customWidth="1"/>
    <col min="7177" max="7177" width="5.21875" style="254" customWidth="1"/>
    <col min="7178" max="7178" width="3.88671875" style="254" customWidth="1"/>
    <col min="7179" max="7179" width="4.88671875" style="254" customWidth="1"/>
    <col min="7180" max="7180" width="2.77734375" style="254" customWidth="1"/>
    <col min="7181" max="7181" width="8.44140625" style="254" customWidth="1"/>
    <col min="7182" max="7182" width="7.21875" style="254" customWidth="1"/>
    <col min="7183" max="7183" width="5" style="254" customWidth="1"/>
    <col min="7184" max="7424" width="8.88671875" style="254"/>
    <col min="7425" max="7425" width="13" style="254" customWidth="1"/>
    <col min="7426" max="7426" width="11.109375" style="254" customWidth="1"/>
    <col min="7427" max="7427" width="6.77734375" style="254" customWidth="1"/>
    <col min="7428" max="7428" width="4.21875" style="254" customWidth="1"/>
    <col min="7429" max="7429" width="6" style="254" customWidth="1"/>
    <col min="7430" max="7430" width="3.88671875" style="254" customWidth="1"/>
    <col min="7431" max="7431" width="4.6640625" style="254" customWidth="1"/>
    <col min="7432" max="7432" width="6.77734375" style="254" customWidth="1"/>
    <col min="7433" max="7433" width="5.21875" style="254" customWidth="1"/>
    <col min="7434" max="7434" width="3.88671875" style="254" customWidth="1"/>
    <col min="7435" max="7435" width="4.88671875" style="254" customWidth="1"/>
    <col min="7436" max="7436" width="2.77734375" style="254" customWidth="1"/>
    <col min="7437" max="7437" width="8.44140625" style="254" customWidth="1"/>
    <col min="7438" max="7438" width="7.21875" style="254" customWidth="1"/>
    <col min="7439" max="7439" width="5" style="254" customWidth="1"/>
    <col min="7440" max="7680" width="8.88671875" style="254"/>
    <col min="7681" max="7681" width="13" style="254" customWidth="1"/>
    <col min="7682" max="7682" width="11.109375" style="254" customWidth="1"/>
    <col min="7683" max="7683" width="6.77734375" style="254" customWidth="1"/>
    <col min="7684" max="7684" width="4.21875" style="254" customWidth="1"/>
    <col min="7685" max="7685" width="6" style="254" customWidth="1"/>
    <col min="7686" max="7686" width="3.88671875" style="254" customWidth="1"/>
    <col min="7687" max="7687" width="4.6640625" style="254" customWidth="1"/>
    <col min="7688" max="7688" width="6.77734375" style="254" customWidth="1"/>
    <col min="7689" max="7689" width="5.21875" style="254" customWidth="1"/>
    <col min="7690" max="7690" width="3.88671875" style="254" customWidth="1"/>
    <col min="7691" max="7691" width="4.88671875" style="254" customWidth="1"/>
    <col min="7692" max="7692" width="2.77734375" style="254" customWidth="1"/>
    <col min="7693" max="7693" width="8.44140625" style="254" customWidth="1"/>
    <col min="7694" max="7694" width="7.21875" style="254" customWidth="1"/>
    <col min="7695" max="7695" width="5" style="254" customWidth="1"/>
    <col min="7696" max="7936" width="8.88671875" style="254"/>
    <col min="7937" max="7937" width="13" style="254" customWidth="1"/>
    <col min="7938" max="7938" width="11.109375" style="254" customWidth="1"/>
    <col min="7939" max="7939" width="6.77734375" style="254" customWidth="1"/>
    <col min="7940" max="7940" width="4.21875" style="254" customWidth="1"/>
    <col min="7941" max="7941" width="6" style="254" customWidth="1"/>
    <col min="7942" max="7942" width="3.88671875" style="254" customWidth="1"/>
    <col min="7943" max="7943" width="4.6640625" style="254" customWidth="1"/>
    <col min="7944" max="7944" width="6.77734375" style="254" customWidth="1"/>
    <col min="7945" max="7945" width="5.21875" style="254" customWidth="1"/>
    <col min="7946" max="7946" width="3.88671875" style="254" customWidth="1"/>
    <col min="7947" max="7947" width="4.88671875" style="254" customWidth="1"/>
    <col min="7948" max="7948" width="2.77734375" style="254" customWidth="1"/>
    <col min="7949" max="7949" width="8.44140625" style="254" customWidth="1"/>
    <col min="7950" max="7950" width="7.21875" style="254" customWidth="1"/>
    <col min="7951" max="7951" width="5" style="254" customWidth="1"/>
    <col min="7952" max="8192" width="8.88671875" style="254"/>
    <col min="8193" max="8193" width="13" style="254" customWidth="1"/>
    <col min="8194" max="8194" width="11.109375" style="254" customWidth="1"/>
    <col min="8195" max="8195" width="6.77734375" style="254" customWidth="1"/>
    <col min="8196" max="8196" width="4.21875" style="254" customWidth="1"/>
    <col min="8197" max="8197" width="6" style="254" customWidth="1"/>
    <col min="8198" max="8198" width="3.88671875" style="254" customWidth="1"/>
    <col min="8199" max="8199" width="4.6640625" style="254" customWidth="1"/>
    <col min="8200" max="8200" width="6.77734375" style="254" customWidth="1"/>
    <col min="8201" max="8201" width="5.21875" style="254" customWidth="1"/>
    <col min="8202" max="8202" width="3.88671875" style="254" customWidth="1"/>
    <col min="8203" max="8203" width="4.88671875" style="254" customWidth="1"/>
    <col min="8204" max="8204" width="2.77734375" style="254" customWidth="1"/>
    <col min="8205" max="8205" width="8.44140625" style="254" customWidth="1"/>
    <col min="8206" max="8206" width="7.21875" style="254" customWidth="1"/>
    <col min="8207" max="8207" width="5" style="254" customWidth="1"/>
    <col min="8208" max="8448" width="8.88671875" style="254"/>
    <col min="8449" max="8449" width="13" style="254" customWidth="1"/>
    <col min="8450" max="8450" width="11.109375" style="254" customWidth="1"/>
    <col min="8451" max="8451" width="6.77734375" style="254" customWidth="1"/>
    <col min="8452" max="8452" width="4.21875" style="254" customWidth="1"/>
    <col min="8453" max="8453" width="6" style="254" customWidth="1"/>
    <col min="8454" max="8454" width="3.88671875" style="254" customWidth="1"/>
    <col min="8455" max="8455" width="4.6640625" style="254" customWidth="1"/>
    <col min="8456" max="8456" width="6.77734375" style="254" customWidth="1"/>
    <col min="8457" max="8457" width="5.21875" style="254" customWidth="1"/>
    <col min="8458" max="8458" width="3.88671875" style="254" customWidth="1"/>
    <col min="8459" max="8459" width="4.88671875" style="254" customWidth="1"/>
    <col min="8460" max="8460" width="2.77734375" style="254" customWidth="1"/>
    <col min="8461" max="8461" width="8.44140625" style="254" customWidth="1"/>
    <col min="8462" max="8462" width="7.21875" style="254" customWidth="1"/>
    <col min="8463" max="8463" width="5" style="254" customWidth="1"/>
    <col min="8464" max="8704" width="8.88671875" style="254"/>
    <col min="8705" max="8705" width="13" style="254" customWidth="1"/>
    <col min="8706" max="8706" width="11.109375" style="254" customWidth="1"/>
    <col min="8707" max="8707" width="6.77734375" style="254" customWidth="1"/>
    <col min="8708" max="8708" width="4.21875" style="254" customWidth="1"/>
    <col min="8709" max="8709" width="6" style="254" customWidth="1"/>
    <col min="8710" max="8710" width="3.88671875" style="254" customWidth="1"/>
    <col min="8711" max="8711" width="4.6640625" style="254" customWidth="1"/>
    <col min="8712" max="8712" width="6.77734375" style="254" customWidth="1"/>
    <col min="8713" max="8713" width="5.21875" style="254" customWidth="1"/>
    <col min="8714" max="8714" width="3.88671875" style="254" customWidth="1"/>
    <col min="8715" max="8715" width="4.88671875" style="254" customWidth="1"/>
    <col min="8716" max="8716" width="2.77734375" style="254" customWidth="1"/>
    <col min="8717" max="8717" width="8.44140625" style="254" customWidth="1"/>
    <col min="8718" max="8718" width="7.21875" style="254" customWidth="1"/>
    <col min="8719" max="8719" width="5" style="254" customWidth="1"/>
    <col min="8720" max="8960" width="8.88671875" style="254"/>
    <col min="8961" max="8961" width="13" style="254" customWidth="1"/>
    <col min="8962" max="8962" width="11.109375" style="254" customWidth="1"/>
    <col min="8963" max="8963" width="6.77734375" style="254" customWidth="1"/>
    <col min="8964" max="8964" width="4.21875" style="254" customWidth="1"/>
    <col min="8965" max="8965" width="6" style="254" customWidth="1"/>
    <col min="8966" max="8966" width="3.88671875" style="254" customWidth="1"/>
    <col min="8967" max="8967" width="4.6640625" style="254" customWidth="1"/>
    <col min="8968" max="8968" width="6.77734375" style="254" customWidth="1"/>
    <col min="8969" max="8969" width="5.21875" style="254" customWidth="1"/>
    <col min="8970" max="8970" width="3.88671875" style="254" customWidth="1"/>
    <col min="8971" max="8971" width="4.88671875" style="254" customWidth="1"/>
    <col min="8972" max="8972" width="2.77734375" style="254" customWidth="1"/>
    <col min="8973" max="8973" width="8.44140625" style="254" customWidth="1"/>
    <col min="8974" max="8974" width="7.21875" style="254" customWidth="1"/>
    <col min="8975" max="8975" width="5" style="254" customWidth="1"/>
    <col min="8976" max="9216" width="8.88671875" style="254"/>
    <col min="9217" max="9217" width="13" style="254" customWidth="1"/>
    <col min="9218" max="9218" width="11.109375" style="254" customWidth="1"/>
    <col min="9219" max="9219" width="6.77734375" style="254" customWidth="1"/>
    <col min="9220" max="9220" width="4.21875" style="254" customWidth="1"/>
    <col min="9221" max="9221" width="6" style="254" customWidth="1"/>
    <col min="9222" max="9222" width="3.88671875" style="254" customWidth="1"/>
    <col min="9223" max="9223" width="4.6640625" style="254" customWidth="1"/>
    <col min="9224" max="9224" width="6.77734375" style="254" customWidth="1"/>
    <col min="9225" max="9225" width="5.21875" style="254" customWidth="1"/>
    <col min="9226" max="9226" width="3.88671875" style="254" customWidth="1"/>
    <col min="9227" max="9227" width="4.88671875" style="254" customWidth="1"/>
    <col min="9228" max="9228" width="2.77734375" style="254" customWidth="1"/>
    <col min="9229" max="9229" width="8.44140625" style="254" customWidth="1"/>
    <col min="9230" max="9230" width="7.21875" style="254" customWidth="1"/>
    <col min="9231" max="9231" width="5" style="254" customWidth="1"/>
    <col min="9232" max="9472" width="8.88671875" style="254"/>
    <col min="9473" max="9473" width="13" style="254" customWidth="1"/>
    <col min="9474" max="9474" width="11.109375" style="254" customWidth="1"/>
    <col min="9475" max="9475" width="6.77734375" style="254" customWidth="1"/>
    <col min="9476" max="9476" width="4.21875" style="254" customWidth="1"/>
    <col min="9477" max="9477" width="6" style="254" customWidth="1"/>
    <col min="9478" max="9478" width="3.88671875" style="254" customWidth="1"/>
    <col min="9479" max="9479" width="4.6640625" style="254" customWidth="1"/>
    <col min="9480" max="9480" width="6.77734375" style="254" customWidth="1"/>
    <col min="9481" max="9481" width="5.21875" style="254" customWidth="1"/>
    <col min="9482" max="9482" width="3.88671875" style="254" customWidth="1"/>
    <col min="9483" max="9483" width="4.88671875" style="254" customWidth="1"/>
    <col min="9484" max="9484" width="2.77734375" style="254" customWidth="1"/>
    <col min="9485" max="9485" width="8.44140625" style="254" customWidth="1"/>
    <col min="9486" max="9486" width="7.21875" style="254" customWidth="1"/>
    <col min="9487" max="9487" width="5" style="254" customWidth="1"/>
    <col min="9488" max="9728" width="8.88671875" style="254"/>
    <col min="9729" max="9729" width="13" style="254" customWidth="1"/>
    <col min="9730" max="9730" width="11.109375" style="254" customWidth="1"/>
    <col min="9731" max="9731" width="6.77734375" style="254" customWidth="1"/>
    <col min="9732" max="9732" width="4.21875" style="254" customWidth="1"/>
    <col min="9733" max="9733" width="6" style="254" customWidth="1"/>
    <col min="9734" max="9734" width="3.88671875" style="254" customWidth="1"/>
    <col min="9735" max="9735" width="4.6640625" style="254" customWidth="1"/>
    <col min="9736" max="9736" width="6.77734375" style="254" customWidth="1"/>
    <col min="9737" max="9737" width="5.21875" style="254" customWidth="1"/>
    <col min="9738" max="9738" width="3.88671875" style="254" customWidth="1"/>
    <col min="9739" max="9739" width="4.88671875" style="254" customWidth="1"/>
    <col min="9740" max="9740" width="2.77734375" style="254" customWidth="1"/>
    <col min="9741" max="9741" width="8.44140625" style="254" customWidth="1"/>
    <col min="9742" max="9742" width="7.21875" style="254" customWidth="1"/>
    <col min="9743" max="9743" width="5" style="254" customWidth="1"/>
    <col min="9744" max="9984" width="8.88671875" style="254"/>
    <col min="9985" max="9985" width="13" style="254" customWidth="1"/>
    <col min="9986" max="9986" width="11.109375" style="254" customWidth="1"/>
    <col min="9987" max="9987" width="6.77734375" style="254" customWidth="1"/>
    <col min="9988" max="9988" width="4.21875" style="254" customWidth="1"/>
    <col min="9989" max="9989" width="6" style="254" customWidth="1"/>
    <col min="9990" max="9990" width="3.88671875" style="254" customWidth="1"/>
    <col min="9991" max="9991" width="4.6640625" style="254" customWidth="1"/>
    <col min="9992" max="9992" width="6.77734375" style="254" customWidth="1"/>
    <col min="9993" max="9993" width="5.21875" style="254" customWidth="1"/>
    <col min="9994" max="9994" width="3.88671875" style="254" customWidth="1"/>
    <col min="9995" max="9995" width="4.88671875" style="254" customWidth="1"/>
    <col min="9996" max="9996" width="2.77734375" style="254" customWidth="1"/>
    <col min="9997" max="9997" width="8.44140625" style="254" customWidth="1"/>
    <col min="9998" max="9998" width="7.21875" style="254" customWidth="1"/>
    <col min="9999" max="9999" width="5" style="254" customWidth="1"/>
    <col min="10000" max="10240" width="8.88671875" style="254"/>
    <col min="10241" max="10241" width="13" style="254" customWidth="1"/>
    <col min="10242" max="10242" width="11.109375" style="254" customWidth="1"/>
    <col min="10243" max="10243" width="6.77734375" style="254" customWidth="1"/>
    <col min="10244" max="10244" width="4.21875" style="254" customWidth="1"/>
    <col min="10245" max="10245" width="6" style="254" customWidth="1"/>
    <col min="10246" max="10246" width="3.88671875" style="254" customWidth="1"/>
    <col min="10247" max="10247" width="4.6640625" style="254" customWidth="1"/>
    <col min="10248" max="10248" width="6.77734375" style="254" customWidth="1"/>
    <col min="10249" max="10249" width="5.21875" style="254" customWidth="1"/>
    <col min="10250" max="10250" width="3.88671875" style="254" customWidth="1"/>
    <col min="10251" max="10251" width="4.88671875" style="254" customWidth="1"/>
    <col min="10252" max="10252" width="2.77734375" style="254" customWidth="1"/>
    <col min="10253" max="10253" width="8.44140625" style="254" customWidth="1"/>
    <col min="10254" max="10254" width="7.21875" style="254" customWidth="1"/>
    <col min="10255" max="10255" width="5" style="254" customWidth="1"/>
    <col min="10256" max="10496" width="8.88671875" style="254"/>
    <col min="10497" max="10497" width="13" style="254" customWidth="1"/>
    <col min="10498" max="10498" width="11.109375" style="254" customWidth="1"/>
    <col min="10499" max="10499" width="6.77734375" style="254" customWidth="1"/>
    <col min="10500" max="10500" width="4.21875" style="254" customWidth="1"/>
    <col min="10501" max="10501" width="6" style="254" customWidth="1"/>
    <col min="10502" max="10502" width="3.88671875" style="254" customWidth="1"/>
    <col min="10503" max="10503" width="4.6640625" style="254" customWidth="1"/>
    <col min="10504" max="10504" width="6.77734375" style="254" customWidth="1"/>
    <col min="10505" max="10505" width="5.21875" style="254" customWidth="1"/>
    <col min="10506" max="10506" width="3.88671875" style="254" customWidth="1"/>
    <col min="10507" max="10507" width="4.88671875" style="254" customWidth="1"/>
    <col min="10508" max="10508" width="2.77734375" style="254" customWidth="1"/>
    <col min="10509" max="10509" width="8.44140625" style="254" customWidth="1"/>
    <col min="10510" max="10510" width="7.21875" style="254" customWidth="1"/>
    <col min="10511" max="10511" width="5" style="254" customWidth="1"/>
    <col min="10512" max="10752" width="8.88671875" style="254"/>
    <col min="10753" max="10753" width="13" style="254" customWidth="1"/>
    <col min="10754" max="10754" width="11.109375" style="254" customWidth="1"/>
    <col min="10755" max="10755" width="6.77734375" style="254" customWidth="1"/>
    <col min="10756" max="10756" width="4.21875" style="254" customWidth="1"/>
    <col min="10757" max="10757" width="6" style="254" customWidth="1"/>
    <col min="10758" max="10758" width="3.88671875" style="254" customWidth="1"/>
    <col min="10759" max="10759" width="4.6640625" style="254" customWidth="1"/>
    <col min="10760" max="10760" width="6.77734375" style="254" customWidth="1"/>
    <col min="10761" max="10761" width="5.21875" style="254" customWidth="1"/>
    <col min="10762" max="10762" width="3.88671875" style="254" customWidth="1"/>
    <col min="10763" max="10763" width="4.88671875" style="254" customWidth="1"/>
    <col min="10764" max="10764" width="2.77734375" style="254" customWidth="1"/>
    <col min="10765" max="10765" width="8.44140625" style="254" customWidth="1"/>
    <col min="10766" max="10766" width="7.21875" style="254" customWidth="1"/>
    <col min="10767" max="10767" width="5" style="254" customWidth="1"/>
    <col min="10768" max="11008" width="8.88671875" style="254"/>
    <col min="11009" max="11009" width="13" style="254" customWidth="1"/>
    <col min="11010" max="11010" width="11.109375" style="254" customWidth="1"/>
    <col min="11011" max="11011" width="6.77734375" style="254" customWidth="1"/>
    <col min="11012" max="11012" width="4.21875" style="254" customWidth="1"/>
    <col min="11013" max="11013" width="6" style="254" customWidth="1"/>
    <col min="11014" max="11014" width="3.88671875" style="254" customWidth="1"/>
    <col min="11015" max="11015" width="4.6640625" style="254" customWidth="1"/>
    <col min="11016" max="11016" width="6.77734375" style="254" customWidth="1"/>
    <col min="11017" max="11017" width="5.21875" style="254" customWidth="1"/>
    <col min="11018" max="11018" width="3.88671875" style="254" customWidth="1"/>
    <col min="11019" max="11019" width="4.88671875" style="254" customWidth="1"/>
    <col min="11020" max="11020" width="2.77734375" style="254" customWidth="1"/>
    <col min="11021" max="11021" width="8.44140625" style="254" customWidth="1"/>
    <col min="11022" max="11022" width="7.21875" style="254" customWidth="1"/>
    <col min="11023" max="11023" width="5" style="254" customWidth="1"/>
    <col min="11024" max="11264" width="8.88671875" style="254"/>
    <col min="11265" max="11265" width="13" style="254" customWidth="1"/>
    <col min="11266" max="11266" width="11.109375" style="254" customWidth="1"/>
    <col min="11267" max="11267" width="6.77734375" style="254" customWidth="1"/>
    <col min="11268" max="11268" width="4.21875" style="254" customWidth="1"/>
    <col min="11269" max="11269" width="6" style="254" customWidth="1"/>
    <col min="11270" max="11270" width="3.88671875" style="254" customWidth="1"/>
    <col min="11271" max="11271" width="4.6640625" style="254" customWidth="1"/>
    <col min="11272" max="11272" width="6.77734375" style="254" customWidth="1"/>
    <col min="11273" max="11273" width="5.21875" style="254" customWidth="1"/>
    <col min="11274" max="11274" width="3.88671875" style="254" customWidth="1"/>
    <col min="11275" max="11275" width="4.88671875" style="254" customWidth="1"/>
    <col min="11276" max="11276" width="2.77734375" style="254" customWidth="1"/>
    <col min="11277" max="11277" width="8.44140625" style="254" customWidth="1"/>
    <col min="11278" max="11278" width="7.21875" style="254" customWidth="1"/>
    <col min="11279" max="11279" width="5" style="254" customWidth="1"/>
    <col min="11280" max="11520" width="8.88671875" style="254"/>
    <col min="11521" max="11521" width="13" style="254" customWidth="1"/>
    <col min="11522" max="11522" width="11.109375" style="254" customWidth="1"/>
    <col min="11523" max="11523" width="6.77734375" style="254" customWidth="1"/>
    <col min="11524" max="11524" width="4.21875" style="254" customWidth="1"/>
    <col min="11525" max="11525" width="6" style="254" customWidth="1"/>
    <col min="11526" max="11526" width="3.88671875" style="254" customWidth="1"/>
    <col min="11527" max="11527" width="4.6640625" style="254" customWidth="1"/>
    <col min="11528" max="11528" width="6.77734375" style="254" customWidth="1"/>
    <col min="11529" max="11529" width="5.21875" style="254" customWidth="1"/>
    <col min="11530" max="11530" width="3.88671875" style="254" customWidth="1"/>
    <col min="11531" max="11531" width="4.88671875" style="254" customWidth="1"/>
    <col min="11532" max="11532" width="2.77734375" style="254" customWidth="1"/>
    <col min="11533" max="11533" width="8.44140625" style="254" customWidth="1"/>
    <col min="11534" max="11534" width="7.21875" style="254" customWidth="1"/>
    <col min="11535" max="11535" width="5" style="254" customWidth="1"/>
    <col min="11536" max="11776" width="8.88671875" style="254"/>
    <col min="11777" max="11777" width="13" style="254" customWidth="1"/>
    <col min="11778" max="11778" width="11.109375" style="254" customWidth="1"/>
    <col min="11779" max="11779" width="6.77734375" style="254" customWidth="1"/>
    <col min="11780" max="11780" width="4.21875" style="254" customWidth="1"/>
    <col min="11781" max="11781" width="6" style="254" customWidth="1"/>
    <col min="11782" max="11782" width="3.88671875" style="254" customWidth="1"/>
    <col min="11783" max="11783" width="4.6640625" style="254" customWidth="1"/>
    <col min="11784" max="11784" width="6.77734375" style="254" customWidth="1"/>
    <col min="11785" max="11785" width="5.21875" style="254" customWidth="1"/>
    <col min="11786" max="11786" width="3.88671875" style="254" customWidth="1"/>
    <col min="11787" max="11787" width="4.88671875" style="254" customWidth="1"/>
    <col min="11788" max="11788" width="2.77734375" style="254" customWidth="1"/>
    <col min="11789" max="11789" width="8.44140625" style="254" customWidth="1"/>
    <col min="11790" max="11790" width="7.21875" style="254" customWidth="1"/>
    <col min="11791" max="11791" width="5" style="254" customWidth="1"/>
    <col min="11792" max="12032" width="8.88671875" style="254"/>
    <col min="12033" max="12033" width="13" style="254" customWidth="1"/>
    <col min="12034" max="12034" width="11.109375" style="254" customWidth="1"/>
    <col min="12035" max="12035" width="6.77734375" style="254" customWidth="1"/>
    <col min="12036" max="12036" width="4.21875" style="254" customWidth="1"/>
    <col min="12037" max="12037" width="6" style="254" customWidth="1"/>
    <col min="12038" max="12038" width="3.88671875" style="254" customWidth="1"/>
    <col min="12039" max="12039" width="4.6640625" style="254" customWidth="1"/>
    <col min="12040" max="12040" width="6.77734375" style="254" customWidth="1"/>
    <col min="12041" max="12041" width="5.21875" style="254" customWidth="1"/>
    <col min="12042" max="12042" width="3.88671875" style="254" customWidth="1"/>
    <col min="12043" max="12043" width="4.88671875" style="254" customWidth="1"/>
    <col min="12044" max="12044" width="2.77734375" style="254" customWidth="1"/>
    <col min="12045" max="12045" width="8.44140625" style="254" customWidth="1"/>
    <col min="12046" max="12046" width="7.21875" style="254" customWidth="1"/>
    <col min="12047" max="12047" width="5" style="254" customWidth="1"/>
    <col min="12048" max="12288" width="8.88671875" style="254"/>
    <col min="12289" max="12289" width="13" style="254" customWidth="1"/>
    <col min="12290" max="12290" width="11.109375" style="254" customWidth="1"/>
    <col min="12291" max="12291" width="6.77734375" style="254" customWidth="1"/>
    <col min="12292" max="12292" width="4.21875" style="254" customWidth="1"/>
    <col min="12293" max="12293" width="6" style="254" customWidth="1"/>
    <col min="12294" max="12294" width="3.88671875" style="254" customWidth="1"/>
    <col min="12295" max="12295" width="4.6640625" style="254" customWidth="1"/>
    <col min="12296" max="12296" width="6.77734375" style="254" customWidth="1"/>
    <col min="12297" max="12297" width="5.21875" style="254" customWidth="1"/>
    <col min="12298" max="12298" width="3.88671875" style="254" customWidth="1"/>
    <col min="12299" max="12299" width="4.88671875" style="254" customWidth="1"/>
    <col min="12300" max="12300" width="2.77734375" style="254" customWidth="1"/>
    <col min="12301" max="12301" width="8.44140625" style="254" customWidth="1"/>
    <col min="12302" max="12302" width="7.21875" style="254" customWidth="1"/>
    <col min="12303" max="12303" width="5" style="254" customWidth="1"/>
    <col min="12304" max="12544" width="8.88671875" style="254"/>
    <col min="12545" max="12545" width="13" style="254" customWidth="1"/>
    <col min="12546" max="12546" width="11.109375" style="254" customWidth="1"/>
    <col min="12547" max="12547" width="6.77734375" style="254" customWidth="1"/>
    <col min="12548" max="12548" width="4.21875" style="254" customWidth="1"/>
    <col min="12549" max="12549" width="6" style="254" customWidth="1"/>
    <col min="12550" max="12550" width="3.88671875" style="254" customWidth="1"/>
    <col min="12551" max="12551" width="4.6640625" style="254" customWidth="1"/>
    <col min="12552" max="12552" width="6.77734375" style="254" customWidth="1"/>
    <col min="12553" max="12553" width="5.21875" style="254" customWidth="1"/>
    <col min="12554" max="12554" width="3.88671875" style="254" customWidth="1"/>
    <col min="12555" max="12555" width="4.88671875" style="254" customWidth="1"/>
    <col min="12556" max="12556" width="2.77734375" style="254" customWidth="1"/>
    <col min="12557" max="12557" width="8.44140625" style="254" customWidth="1"/>
    <col min="12558" max="12558" width="7.21875" style="254" customWidth="1"/>
    <col min="12559" max="12559" width="5" style="254" customWidth="1"/>
    <col min="12560" max="12800" width="8.88671875" style="254"/>
    <col min="12801" max="12801" width="13" style="254" customWidth="1"/>
    <col min="12802" max="12802" width="11.109375" style="254" customWidth="1"/>
    <col min="12803" max="12803" width="6.77734375" style="254" customWidth="1"/>
    <col min="12804" max="12804" width="4.21875" style="254" customWidth="1"/>
    <col min="12805" max="12805" width="6" style="254" customWidth="1"/>
    <col min="12806" max="12806" width="3.88671875" style="254" customWidth="1"/>
    <col min="12807" max="12807" width="4.6640625" style="254" customWidth="1"/>
    <col min="12808" max="12808" width="6.77734375" style="254" customWidth="1"/>
    <col min="12809" max="12809" width="5.21875" style="254" customWidth="1"/>
    <col min="12810" max="12810" width="3.88671875" style="254" customWidth="1"/>
    <col min="12811" max="12811" width="4.88671875" style="254" customWidth="1"/>
    <col min="12812" max="12812" width="2.77734375" style="254" customWidth="1"/>
    <col min="12813" max="12813" width="8.44140625" style="254" customWidth="1"/>
    <col min="12814" max="12814" width="7.21875" style="254" customWidth="1"/>
    <col min="12815" max="12815" width="5" style="254" customWidth="1"/>
    <col min="12816" max="13056" width="8.88671875" style="254"/>
    <col min="13057" max="13057" width="13" style="254" customWidth="1"/>
    <col min="13058" max="13058" width="11.109375" style="254" customWidth="1"/>
    <col min="13059" max="13059" width="6.77734375" style="254" customWidth="1"/>
    <col min="13060" max="13060" width="4.21875" style="254" customWidth="1"/>
    <col min="13061" max="13061" width="6" style="254" customWidth="1"/>
    <col min="13062" max="13062" width="3.88671875" style="254" customWidth="1"/>
    <col min="13063" max="13063" width="4.6640625" style="254" customWidth="1"/>
    <col min="13064" max="13064" width="6.77734375" style="254" customWidth="1"/>
    <col min="13065" max="13065" width="5.21875" style="254" customWidth="1"/>
    <col min="13066" max="13066" width="3.88671875" style="254" customWidth="1"/>
    <col min="13067" max="13067" width="4.88671875" style="254" customWidth="1"/>
    <col min="13068" max="13068" width="2.77734375" style="254" customWidth="1"/>
    <col min="13069" max="13069" width="8.44140625" style="254" customWidth="1"/>
    <col min="13070" max="13070" width="7.21875" style="254" customWidth="1"/>
    <col min="13071" max="13071" width="5" style="254" customWidth="1"/>
    <col min="13072" max="13312" width="8.88671875" style="254"/>
    <col min="13313" max="13313" width="13" style="254" customWidth="1"/>
    <col min="13314" max="13314" width="11.109375" style="254" customWidth="1"/>
    <col min="13315" max="13315" width="6.77734375" style="254" customWidth="1"/>
    <col min="13316" max="13316" width="4.21875" style="254" customWidth="1"/>
    <col min="13317" max="13317" width="6" style="254" customWidth="1"/>
    <col min="13318" max="13318" width="3.88671875" style="254" customWidth="1"/>
    <col min="13319" max="13319" width="4.6640625" style="254" customWidth="1"/>
    <col min="13320" max="13320" width="6.77734375" style="254" customWidth="1"/>
    <col min="13321" max="13321" width="5.21875" style="254" customWidth="1"/>
    <col min="13322" max="13322" width="3.88671875" style="254" customWidth="1"/>
    <col min="13323" max="13323" width="4.88671875" style="254" customWidth="1"/>
    <col min="13324" max="13324" width="2.77734375" style="254" customWidth="1"/>
    <col min="13325" max="13325" width="8.44140625" style="254" customWidth="1"/>
    <col min="13326" max="13326" width="7.21875" style="254" customWidth="1"/>
    <col min="13327" max="13327" width="5" style="254" customWidth="1"/>
    <col min="13328" max="13568" width="8.88671875" style="254"/>
    <col min="13569" max="13569" width="13" style="254" customWidth="1"/>
    <col min="13570" max="13570" width="11.109375" style="254" customWidth="1"/>
    <col min="13571" max="13571" width="6.77734375" style="254" customWidth="1"/>
    <col min="13572" max="13572" width="4.21875" style="254" customWidth="1"/>
    <col min="13573" max="13573" width="6" style="254" customWidth="1"/>
    <col min="13574" max="13574" width="3.88671875" style="254" customWidth="1"/>
    <col min="13575" max="13575" width="4.6640625" style="254" customWidth="1"/>
    <col min="13576" max="13576" width="6.77734375" style="254" customWidth="1"/>
    <col min="13577" max="13577" width="5.21875" style="254" customWidth="1"/>
    <col min="13578" max="13578" width="3.88671875" style="254" customWidth="1"/>
    <col min="13579" max="13579" width="4.88671875" style="254" customWidth="1"/>
    <col min="13580" max="13580" width="2.77734375" style="254" customWidth="1"/>
    <col min="13581" max="13581" width="8.44140625" style="254" customWidth="1"/>
    <col min="13582" max="13582" width="7.21875" style="254" customWidth="1"/>
    <col min="13583" max="13583" width="5" style="254" customWidth="1"/>
    <col min="13584" max="13824" width="8.88671875" style="254"/>
    <col min="13825" max="13825" width="13" style="254" customWidth="1"/>
    <col min="13826" max="13826" width="11.109375" style="254" customWidth="1"/>
    <col min="13827" max="13827" width="6.77734375" style="254" customWidth="1"/>
    <col min="13828" max="13828" width="4.21875" style="254" customWidth="1"/>
    <col min="13829" max="13829" width="6" style="254" customWidth="1"/>
    <col min="13830" max="13830" width="3.88671875" style="254" customWidth="1"/>
    <col min="13831" max="13831" width="4.6640625" style="254" customWidth="1"/>
    <col min="13832" max="13832" width="6.77734375" style="254" customWidth="1"/>
    <col min="13833" max="13833" width="5.21875" style="254" customWidth="1"/>
    <col min="13834" max="13834" width="3.88671875" style="254" customWidth="1"/>
    <col min="13835" max="13835" width="4.88671875" style="254" customWidth="1"/>
    <col min="13836" max="13836" width="2.77734375" style="254" customWidth="1"/>
    <col min="13837" max="13837" width="8.44140625" style="254" customWidth="1"/>
    <col min="13838" max="13838" width="7.21875" style="254" customWidth="1"/>
    <col min="13839" max="13839" width="5" style="254" customWidth="1"/>
    <col min="13840" max="14080" width="8.88671875" style="254"/>
    <col min="14081" max="14081" width="13" style="254" customWidth="1"/>
    <col min="14082" max="14082" width="11.109375" style="254" customWidth="1"/>
    <col min="14083" max="14083" width="6.77734375" style="254" customWidth="1"/>
    <col min="14084" max="14084" width="4.21875" style="254" customWidth="1"/>
    <col min="14085" max="14085" width="6" style="254" customWidth="1"/>
    <col min="14086" max="14086" width="3.88671875" style="254" customWidth="1"/>
    <col min="14087" max="14087" width="4.6640625" style="254" customWidth="1"/>
    <col min="14088" max="14088" width="6.77734375" style="254" customWidth="1"/>
    <col min="14089" max="14089" width="5.21875" style="254" customWidth="1"/>
    <col min="14090" max="14090" width="3.88671875" style="254" customWidth="1"/>
    <col min="14091" max="14091" width="4.88671875" style="254" customWidth="1"/>
    <col min="14092" max="14092" width="2.77734375" style="254" customWidth="1"/>
    <col min="14093" max="14093" width="8.44140625" style="254" customWidth="1"/>
    <col min="14094" max="14094" width="7.21875" style="254" customWidth="1"/>
    <col min="14095" max="14095" width="5" style="254" customWidth="1"/>
    <col min="14096" max="14336" width="8.88671875" style="254"/>
    <col min="14337" max="14337" width="13" style="254" customWidth="1"/>
    <col min="14338" max="14338" width="11.109375" style="254" customWidth="1"/>
    <col min="14339" max="14339" width="6.77734375" style="254" customWidth="1"/>
    <col min="14340" max="14340" width="4.21875" style="254" customWidth="1"/>
    <col min="14341" max="14341" width="6" style="254" customWidth="1"/>
    <col min="14342" max="14342" width="3.88671875" style="254" customWidth="1"/>
    <col min="14343" max="14343" width="4.6640625" style="254" customWidth="1"/>
    <col min="14344" max="14344" width="6.77734375" style="254" customWidth="1"/>
    <col min="14345" max="14345" width="5.21875" style="254" customWidth="1"/>
    <col min="14346" max="14346" width="3.88671875" style="254" customWidth="1"/>
    <col min="14347" max="14347" width="4.88671875" style="254" customWidth="1"/>
    <col min="14348" max="14348" width="2.77734375" style="254" customWidth="1"/>
    <col min="14349" max="14349" width="8.44140625" style="254" customWidth="1"/>
    <col min="14350" max="14350" width="7.21875" style="254" customWidth="1"/>
    <col min="14351" max="14351" width="5" style="254" customWidth="1"/>
    <col min="14352" max="14592" width="8.88671875" style="254"/>
    <col min="14593" max="14593" width="13" style="254" customWidth="1"/>
    <col min="14594" max="14594" width="11.109375" style="254" customWidth="1"/>
    <col min="14595" max="14595" width="6.77734375" style="254" customWidth="1"/>
    <col min="14596" max="14596" width="4.21875" style="254" customWidth="1"/>
    <col min="14597" max="14597" width="6" style="254" customWidth="1"/>
    <col min="14598" max="14598" width="3.88671875" style="254" customWidth="1"/>
    <col min="14599" max="14599" width="4.6640625" style="254" customWidth="1"/>
    <col min="14600" max="14600" width="6.77734375" style="254" customWidth="1"/>
    <col min="14601" max="14601" width="5.21875" style="254" customWidth="1"/>
    <col min="14602" max="14602" width="3.88671875" style="254" customWidth="1"/>
    <col min="14603" max="14603" width="4.88671875" style="254" customWidth="1"/>
    <col min="14604" max="14604" width="2.77734375" style="254" customWidth="1"/>
    <col min="14605" max="14605" width="8.44140625" style="254" customWidth="1"/>
    <col min="14606" max="14606" width="7.21875" style="254" customWidth="1"/>
    <col min="14607" max="14607" width="5" style="254" customWidth="1"/>
    <col min="14608" max="14848" width="8.88671875" style="254"/>
    <col min="14849" max="14849" width="13" style="254" customWidth="1"/>
    <col min="14850" max="14850" width="11.109375" style="254" customWidth="1"/>
    <col min="14851" max="14851" width="6.77734375" style="254" customWidth="1"/>
    <col min="14852" max="14852" width="4.21875" style="254" customWidth="1"/>
    <col min="14853" max="14853" width="6" style="254" customWidth="1"/>
    <col min="14854" max="14854" width="3.88671875" style="254" customWidth="1"/>
    <col min="14855" max="14855" width="4.6640625" style="254" customWidth="1"/>
    <col min="14856" max="14856" width="6.77734375" style="254" customWidth="1"/>
    <col min="14857" max="14857" width="5.21875" style="254" customWidth="1"/>
    <col min="14858" max="14858" width="3.88671875" style="254" customWidth="1"/>
    <col min="14859" max="14859" width="4.88671875" style="254" customWidth="1"/>
    <col min="14860" max="14860" width="2.77734375" style="254" customWidth="1"/>
    <col min="14861" max="14861" width="8.44140625" style="254" customWidth="1"/>
    <col min="14862" max="14862" width="7.21875" style="254" customWidth="1"/>
    <col min="14863" max="14863" width="5" style="254" customWidth="1"/>
    <col min="14864" max="15104" width="8.88671875" style="254"/>
    <col min="15105" max="15105" width="13" style="254" customWidth="1"/>
    <col min="15106" max="15106" width="11.109375" style="254" customWidth="1"/>
    <col min="15107" max="15107" width="6.77734375" style="254" customWidth="1"/>
    <col min="15108" max="15108" width="4.21875" style="254" customWidth="1"/>
    <col min="15109" max="15109" width="6" style="254" customWidth="1"/>
    <col min="15110" max="15110" width="3.88671875" style="254" customWidth="1"/>
    <col min="15111" max="15111" width="4.6640625" style="254" customWidth="1"/>
    <col min="15112" max="15112" width="6.77734375" style="254" customWidth="1"/>
    <col min="15113" max="15113" width="5.21875" style="254" customWidth="1"/>
    <col min="15114" max="15114" width="3.88671875" style="254" customWidth="1"/>
    <col min="15115" max="15115" width="4.88671875" style="254" customWidth="1"/>
    <col min="15116" max="15116" width="2.77734375" style="254" customWidth="1"/>
    <col min="15117" max="15117" width="8.44140625" style="254" customWidth="1"/>
    <col min="15118" max="15118" width="7.21875" style="254" customWidth="1"/>
    <col min="15119" max="15119" width="5" style="254" customWidth="1"/>
    <col min="15120" max="15360" width="8.88671875" style="254"/>
    <col min="15361" max="15361" width="13" style="254" customWidth="1"/>
    <col min="15362" max="15362" width="11.109375" style="254" customWidth="1"/>
    <col min="15363" max="15363" width="6.77734375" style="254" customWidth="1"/>
    <col min="15364" max="15364" width="4.21875" style="254" customWidth="1"/>
    <col min="15365" max="15365" width="6" style="254" customWidth="1"/>
    <col min="15366" max="15366" width="3.88671875" style="254" customWidth="1"/>
    <col min="15367" max="15367" width="4.6640625" style="254" customWidth="1"/>
    <col min="15368" max="15368" width="6.77734375" style="254" customWidth="1"/>
    <col min="15369" max="15369" width="5.21875" style="254" customWidth="1"/>
    <col min="15370" max="15370" width="3.88671875" style="254" customWidth="1"/>
    <col min="15371" max="15371" width="4.88671875" style="254" customWidth="1"/>
    <col min="15372" max="15372" width="2.77734375" style="254" customWidth="1"/>
    <col min="15373" max="15373" width="8.44140625" style="254" customWidth="1"/>
    <col min="15374" max="15374" width="7.21875" style="254" customWidth="1"/>
    <col min="15375" max="15375" width="5" style="254" customWidth="1"/>
    <col min="15376" max="15616" width="8.88671875" style="254"/>
    <col min="15617" max="15617" width="13" style="254" customWidth="1"/>
    <col min="15618" max="15618" width="11.109375" style="254" customWidth="1"/>
    <col min="15619" max="15619" width="6.77734375" style="254" customWidth="1"/>
    <col min="15620" max="15620" width="4.21875" style="254" customWidth="1"/>
    <col min="15621" max="15621" width="6" style="254" customWidth="1"/>
    <col min="15622" max="15622" width="3.88671875" style="254" customWidth="1"/>
    <col min="15623" max="15623" width="4.6640625" style="254" customWidth="1"/>
    <col min="15624" max="15624" width="6.77734375" style="254" customWidth="1"/>
    <col min="15625" max="15625" width="5.21875" style="254" customWidth="1"/>
    <col min="15626" max="15626" width="3.88671875" style="254" customWidth="1"/>
    <col min="15627" max="15627" width="4.88671875" style="254" customWidth="1"/>
    <col min="15628" max="15628" width="2.77734375" style="254" customWidth="1"/>
    <col min="15629" max="15629" width="8.44140625" style="254" customWidth="1"/>
    <col min="15630" max="15630" width="7.21875" style="254" customWidth="1"/>
    <col min="15631" max="15631" width="5" style="254" customWidth="1"/>
    <col min="15632" max="15872" width="8.88671875" style="254"/>
    <col min="15873" max="15873" width="13" style="254" customWidth="1"/>
    <col min="15874" max="15874" width="11.109375" style="254" customWidth="1"/>
    <col min="15875" max="15875" width="6.77734375" style="254" customWidth="1"/>
    <col min="15876" max="15876" width="4.21875" style="254" customWidth="1"/>
    <col min="15877" max="15877" width="6" style="254" customWidth="1"/>
    <col min="15878" max="15878" width="3.88671875" style="254" customWidth="1"/>
    <col min="15879" max="15879" width="4.6640625" style="254" customWidth="1"/>
    <col min="15880" max="15880" width="6.77734375" style="254" customWidth="1"/>
    <col min="15881" max="15881" width="5.21875" style="254" customWidth="1"/>
    <col min="15882" max="15882" width="3.88671875" style="254" customWidth="1"/>
    <col min="15883" max="15883" width="4.88671875" style="254" customWidth="1"/>
    <col min="15884" max="15884" width="2.77734375" style="254" customWidth="1"/>
    <col min="15885" max="15885" width="8.44140625" style="254" customWidth="1"/>
    <col min="15886" max="15886" width="7.21875" style="254" customWidth="1"/>
    <col min="15887" max="15887" width="5" style="254" customWidth="1"/>
    <col min="15888" max="16128" width="8.88671875" style="254"/>
    <col min="16129" max="16129" width="13" style="254" customWidth="1"/>
    <col min="16130" max="16130" width="11.109375" style="254" customWidth="1"/>
    <col min="16131" max="16131" width="6.77734375" style="254" customWidth="1"/>
    <col min="16132" max="16132" width="4.21875" style="254" customWidth="1"/>
    <col min="16133" max="16133" width="6" style="254" customWidth="1"/>
    <col min="16134" max="16134" width="3.88671875" style="254" customWidth="1"/>
    <col min="16135" max="16135" width="4.6640625" style="254" customWidth="1"/>
    <col min="16136" max="16136" width="6.77734375" style="254" customWidth="1"/>
    <col min="16137" max="16137" width="5.21875" style="254" customWidth="1"/>
    <col min="16138" max="16138" width="3.88671875" style="254" customWidth="1"/>
    <col min="16139" max="16139" width="4.88671875" style="254" customWidth="1"/>
    <col min="16140" max="16140" width="2.77734375" style="254" customWidth="1"/>
    <col min="16141" max="16141" width="8.44140625" style="254" customWidth="1"/>
    <col min="16142" max="16142" width="7.21875" style="254" customWidth="1"/>
    <col min="16143" max="16143" width="5" style="254" customWidth="1"/>
    <col min="16144" max="16384" width="8.88671875" style="254"/>
  </cols>
  <sheetData>
    <row r="1" spans="1:23" ht="50.1" customHeight="1">
      <c r="A1" s="1468" t="s">
        <v>629</v>
      </c>
      <c r="B1" s="1468"/>
      <c r="C1" s="1468"/>
      <c r="D1" s="1468"/>
      <c r="E1" s="1468"/>
      <c r="F1" s="1468"/>
      <c r="G1" s="1468"/>
      <c r="H1" s="1468"/>
      <c r="I1" s="1468"/>
      <c r="J1" s="1468"/>
      <c r="K1" s="1468"/>
      <c r="L1" s="1468"/>
      <c r="M1" s="1468"/>
      <c r="N1" s="1468"/>
      <c r="O1" s="1468"/>
      <c r="P1" s="253"/>
      <c r="Q1" s="253"/>
      <c r="R1" s="253"/>
      <c r="S1" s="253"/>
      <c r="T1" s="253"/>
      <c r="U1" s="253"/>
      <c r="V1" s="253"/>
      <c r="W1" s="253"/>
    </row>
    <row r="2" spans="1:23" ht="18" customHeight="1">
      <c r="A2" s="255"/>
      <c r="B2" s="256"/>
      <c r="C2" s="256"/>
      <c r="D2" s="256"/>
      <c r="E2" s="256"/>
      <c r="F2" s="256"/>
      <c r="G2" s="256"/>
      <c r="H2" s="256"/>
      <c r="I2" s="256"/>
      <c r="J2" s="256"/>
      <c r="K2" s="256"/>
      <c r="L2" s="256"/>
      <c r="M2" s="257" t="s">
        <v>365</v>
      </c>
      <c r="N2" s="258">
        <f>3.5</f>
        <v>3.5</v>
      </c>
      <c r="O2" s="259" t="s">
        <v>366</v>
      </c>
      <c r="P2" s="260"/>
      <c r="Q2" s="260"/>
      <c r="R2" s="260"/>
      <c r="S2" s="260"/>
      <c r="T2" s="260"/>
      <c r="U2" s="260"/>
      <c r="V2" s="260"/>
      <c r="W2" s="260"/>
    </row>
    <row r="3" spans="1:23" ht="18" customHeight="1">
      <c r="A3" s="255"/>
      <c r="B3" s="256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57"/>
      <c r="N3" s="258"/>
      <c r="O3" s="259"/>
      <c r="P3" s="260"/>
      <c r="Q3" s="260"/>
      <c r="R3" s="260"/>
      <c r="S3" s="260"/>
      <c r="T3" s="260"/>
      <c r="U3" s="260"/>
      <c r="V3" s="260"/>
      <c r="W3" s="260"/>
    </row>
    <row r="4" spans="1:23" ht="18" customHeight="1">
      <c r="A4" s="255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2"/>
      <c r="N4" s="256"/>
      <c r="O4" s="263"/>
      <c r="P4" s="260"/>
      <c r="Q4" s="260"/>
      <c r="R4" s="260"/>
      <c r="S4" s="260"/>
      <c r="T4" s="260"/>
      <c r="U4" s="260"/>
      <c r="V4" s="260"/>
      <c r="W4" s="260"/>
    </row>
    <row r="5" spans="1:23" ht="18" customHeight="1">
      <c r="A5" s="255"/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2"/>
      <c r="N5" s="256"/>
      <c r="O5" s="263"/>
      <c r="P5" s="260"/>
      <c r="Q5" s="260"/>
      <c r="R5" s="260"/>
      <c r="S5" s="260"/>
      <c r="T5" s="260"/>
      <c r="U5" s="260"/>
      <c r="V5" s="260"/>
      <c r="W5" s="260"/>
    </row>
    <row r="6" spans="1:23" ht="18" customHeight="1">
      <c r="A6" s="255"/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2"/>
      <c r="N6" s="256"/>
      <c r="O6" s="263"/>
      <c r="P6" s="260"/>
      <c r="Q6" s="260"/>
      <c r="R6" s="260"/>
      <c r="S6" s="260"/>
      <c r="T6" s="260"/>
      <c r="U6" s="260"/>
      <c r="V6" s="260"/>
      <c r="W6" s="260"/>
    </row>
    <row r="7" spans="1:23" ht="18" customHeight="1">
      <c r="A7" s="255"/>
      <c r="B7" s="261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2"/>
      <c r="N7" s="256"/>
      <c r="O7" s="263"/>
      <c r="P7" s="260"/>
      <c r="Q7" s="260"/>
      <c r="R7" s="260"/>
      <c r="S7" s="260"/>
      <c r="T7" s="260"/>
      <c r="U7" s="260"/>
      <c r="V7" s="260"/>
      <c r="W7" s="260"/>
    </row>
    <row r="8" spans="1:23" ht="18" customHeight="1">
      <c r="A8" s="255"/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2"/>
      <c r="N8" s="256"/>
      <c r="O8" s="263"/>
      <c r="P8" s="260"/>
      <c r="Q8" s="260"/>
      <c r="R8" s="260"/>
      <c r="S8" s="260"/>
      <c r="T8" s="260"/>
      <c r="U8" s="260"/>
      <c r="V8" s="260"/>
      <c r="W8" s="260"/>
    </row>
    <row r="9" spans="1:23" ht="18" customHeight="1">
      <c r="A9" s="255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2"/>
      <c r="N9" s="256"/>
      <c r="O9" s="263"/>
      <c r="P9" s="260"/>
      <c r="Q9" s="260"/>
      <c r="R9" s="260"/>
      <c r="S9" s="260"/>
      <c r="T9" s="260"/>
      <c r="U9" s="260"/>
      <c r="V9" s="260"/>
      <c r="W9" s="260"/>
    </row>
    <row r="10" spans="1:23" ht="18" customHeight="1">
      <c r="A10" s="255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2"/>
      <c r="N10" s="256"/>
      <c r="O10" s="263"/>
      <c r="P10" s="260"/>
      <c r="Q10" s="260"/>
      <c r="R10" s="260"/>
      <c r="S10" s="260"/>
      <c r="T10" s="260"/>
      <c r="U10" s="260"/>
      <c r="V10" s="260"/>
      <c r="W10" s="260"/>
    </row>
    <row r="11" spans="1:23" ht="18" customHeight="1">
      <c r="A11" s="255"/>
      <c r="B11" s="261"/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2"/>
      <c r="N11" s="256"/>
      <c r="O11" s="263"/>
      <c r="P11" s="260"/>
      <c r="Q11" s="260"/>
      <c r="R11" s="260"/>
      <c r="S11" s="260"/>
      <c r="T11" s="260"/>
      <c r="U11" s="260"/>
      <c r="V11" s="260"/>
      <c r="W11" s="260"/>
    </row>
    <row r="12" spans="1:23" ht="18" customHeight="1">
      <c r="A12" s="255"/>
      <c r="B12" s="261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2"/>
      <c r="N12" s="256"/>
      <c r="O12" s="263"/>
      <c r="P12" s="260"/>
      <c r="Q12" s="260"/>
      <c r="R12" s="260"/>
      <c r="S12" s="260"/>
      <c r="T12" s="260"/>
      <c r="U12" s="260"/>
      <c r="V12" s="260"/>
      <c r="W12" s="260"/>
    </row>
    <row r="13" spans="1:23" ht="18" customHeight="1">
      <c r="A13" s="255"/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2"/>
      <c r="N13" s="256"/>
      <c r="O13" s="263"/>
      <c r="P13" s="260"/>
      <c r="Q13" s="260"/>
      <c r="R13" s="260"/>
      <c r="S13" s="260"/>
      <c r="T13" s="260"/>
      <c r="U13" s="260"/>
      <c r="V13" s="260"/>
      <c r="W13" s="260"/>
    </row>
    <row r="14" spans="1:23" ht="18" customHeight="1">
      <c r="A14" s="255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2"/>
      <c r="N14" s="256"/>
      <c r="O14" s="263"/>
      <c r="P14" s="260"/>
      <c r="Q14" s="260"/>
      <c r="R14" s="260"/>
      <c r="S14" s="260"/>
      <c r="T14" s="260"/>
      <c r="U14" s="260"/>
      <c r="V14" s="260"/>
      <c r="W14" s="260"/>
    </row>
    <row r="15" spans="1:23" ht="18" customHeight="1">
      <c r="A15" s="255"/>
      <c r="B15" s="261"/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2"/>
      <c r="N15" s="256"/>
      <c r="O15" s="263"/>
      <c r="P15" s="260"/>
      <c r="Q15" s="260"/>
      <c r="R15" s="260"/>
      <c r="S15" s="260"/>
      <c r="T15" s="260"/>
      <c r="U15" s="260"/>
      <c r="V15" s="260"/>
      <c r="W15" s="260"/>
    </row>
    <row r="16" spans="1:23" ht="18" customHeight="1">
      <c r="A16" s="255"/>
      <c r="B16" s="261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2"/>
      <c r="N16" s="256"/>
      <c r="O16" s="263"/>
      <c r="P16" s="260"/>
      <c r="Q16" s="260"/>
      <c r="R16" s="260"/>
      <c r="S16" s="260"/>
      <c r="T16" s="260"/>
      <c r="U16" s="260"/>
      <c r="V16" s="260"/>
      <c r="W16" s="260"/>
    </row>
    <row r="17" spans="1:23" ht="18" customHeight="1">
      <c r="A17" s="255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2"/>
      <c r="N17" s="256"/>
      <c r="O17" s="263"/>
      <c r="P17" s="260"/>
      <c r="Q17" s="260"/>
      <c r="R17" s="260"/>
      <c r="S17" s="260"/>
      <c r="T17" s="260"/>
      <c r="U17" s="260"/>
      <c r="V17" s="260"/>
      <c r="W17" s="260"/>
    </row>
    <row r="18" spans="1:23" ht="18" customHeight="1">
      <c r="A18" s="255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2"/>
      <c r="N18" s="256"/>
      <c r="O18" s="263"/>
      <c r="P18" s="260"/>
      <c r="Q18" s="260"/>
      <c r="R18" s="260"/>
      <c r="S18" s="260"/>
      <c r="T18" s="260"/>
      <c r="U18" s="260"/>
      <c r="V18" s="260"/>
      <c r="W18" s="260"/>
    </row>
    <row r="19" spans="1:23" ht="18" customHeight="1">
      <c r="A19" s="255"/>
      <c r="B19" s="261"/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2"/>
      <c r="N19" s="256"/>
      <c r="O19" s="263"/>
      <c r="P19" s="260"/>
      <c r="Q19" s="260"/>
      <c r="R19" s="260"/>
      <c r="S19" s="260"/>
      <c r="T19" s="260"/>
      <c r="U19" s="260"/>
      <c r="V19" s="260"/>
      <c r="W19" s="260"/>
    </row>
    <row r="20" spans="1:23" ht="18" customHeight="1">
      <c r="A20" s="255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2"/>
      <c r="N20" s="256"/>
      <c r="O20" s="263"/>
      <c r="P20" s="260"/>
      <c r="Q20" s="260"/>
      <c r="R20" s="260"/>
      <c r="S20" s="260"/>
      <c r="T20" s="260"/>
      <c r="U20" s="260"/>
      <c r="V20" s="260"/>
      <c r="W20" s="260"/>
    </row>
    <row r="21" spans="1:23" ht="18" customHeight="1">
      <c r="A21" s="255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2"/>
      <c r="N21" s="256"/>
      <c r="O21" s="263"/>
      <c r="P21" s="260"/>
      <c r="Q21" s="260"/>
      <c r="R21" s="260"/>
      <c r="S21" s="260"/>
      <c r="T21" s="260"/>
      <c r="U21" s="260"/>
      <c r="V21" s="260"/>
      <c r="W21" s="260"/>
    </row>
    <row r="22" spans="1:23" ht="18" customHeight="1">
      <c r="A22" s="255"/>
      <c r="B22" s="261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2"/>
      <c r="N22" s="256"/>
      <c r="O22" s="263"/>
      <c r="P22" s="260"/>
      <c r="Q22" s="260"/>
      <c r="R22" s="260"/>
      <c r="S22" s="260"/>
      <c r="T22" s="260"/>
      <c r="U22" s="260"/>
      <c r="V22" s="260"/>
      <c r="W22" s="260"/>
    </row>
    <row r="23" spans="1:23" ht="18" customHeight="1">
      <c r="A23" s="255"/>
      <c r="B23" s="261"/>
      <c r="C23" s="261"/>
      <c r="D23" s="261"/>
      <c r="E23" s="261"/>
      <c r="F23" s="261"/>
      <c r="G23" s="261"/>
      <c r="H23" s="261"/>
      <c r="I23" s="261"/>
      <c r="J23" s="261"/>
      <c r="K23" s="261"/>
      <c r="L23" s="261"/>
      <c r="M23" s="262"/>
      <c r="N23" s="256"/>
      <c r="O23" s="263"/>
      <c r="P23" s="260"/>
      <c r="Q23" s="260"/>
      <c r="R23" s="260"/>
      <c r="S23" s="260"/>
      <c r="T23" s="260"/>
      <c r="U23" s="260"/>
      <c r="V23" s="260"/>
      <c r="W23" s="260"/>
    </row>
    <row r="24" spans="1:23" ht="18" customHeight="1">
      <c r="A24" s="255"/>
      <c r="B24" s="261"/>
      <c r="C24" s="261"/>
      <c r="D24" s="261"/>
      <c r="E24" s="261"/>
      <c r="F24" s="261"/>
      <c r="G24" s="261"/>
      <c r="H24" s="261"/>
      <c r="I24" s="261"/>
      <c r="J24" s="261"/>
      <c r="K24" s="261"/>
      <c r="L24" s="261"/>
      <c r="M24" s="262"/>
      <c r="N24" s="256"/>
      <c r="O24" s="263"/>
      <c r="P24" s="260"/>
      <c r="Q24" s="260"/>
      <c r="R24" s="260"/>
      <c r="S24" s="260"/>
      <c r="T24" s="260"/>
      <c r="U24" s="260"/>
      <c r="V24" s="260"/>
      <c r="W24" s="260"/>
    </row>
    <row r="25" spans="1:23" ht="18.75" customHeight="1">
      <c r="A25" s="255"/>
      <c r="B25" s="261"/>
      <c r="C25" s="261"/>
      <c r="D25" s="261"/>
      <c r="E25" s="261"/>
      <c r="F25" s="261"/>
      <c r="G25" s="261"/>
      <c r="H25" s="261"/>
      <c r="I25" s="261"/>
      <c r="J25" s="261"/>
      <c r="K25" s="261"/>
      <c r="L25" s="261"/>
      <c r="M25" s="262"/>
      <c r="N25" s="256"/>
      <c r="O25" s="263"/>
      <c r="P25" s="260"/>
      <c r="Q25" s="260"/>
      <c r="R25" s="260"/>
      <c r="S25" s="260"/>
      <c r="T25" s="260"/>
      <c r="U25" s="260"/>
      <c r="V25" s="260"/>
      <c r="W25" s="260"/>
    </row>
    <row r="26" spans="1:23" ht="18" customHeight="1">
      <c r="A26" s="1453" t="s">
        <v>367</v>
      </c>
      <c r="B26" s="1454"/>
      <c r="C26" s="1454"/>
      <c r="D26" s="1454"/>
      <c r="E26" s="1454"/>
      <c r="F26" s="1454"/>
      <c r="G26" s="1454"/>
      <c r="H26" s="1454"/>
      <c r="I26" s="261"/>
      <c r="J26" s="261"/>
      <c r="K26" s="261"/>
      <c r="L26" s="261"/>
      <c r="M26" s="262"/>
      <c r="N26" s="256"/>
      <c r="O26" s="263"/>
      <c r="P26" s="260"/>
      <c r="Q26" s="260"/>
      <c r="R26" s="260"/>
      <c r="S26" s="260"/>
      <c r="T26" s="260"/>
      <c r="U26" s="260"/>
      <c r="V26" s="260"/>
      <c r="W26" s="260"/>
    </row>
    <row r="27" spans="1:23" ht="18" customHeight="1">
      <c r="A27" s="1453"/>
      <c r="B27" s="1454"/>
      <c r="C27" s="1454"/>
      <c r="D27" s="1454"/>
      <c r="E27" s="1454"/>
      <c r="F27" s="1454"/>
      <c r="G27" s="1454"/>
      <c r="H27" s="1454"/>
      <c r="I27" s="261"/>
      <c r="J27" s="261"/>
      <c r="K27" s="261"/>
      <c r="L27" s="261"/>
      <c r="M27" s="262"/>
      <c r="N27" s="256"/>
      <c r="O27" s="263"/>
      <c r="P27" s="260"/>
      <c r="Q27" s="260"/>
      <c r="R27" s="260"/>
      <c r="S27" s="260"/>
      <c r="T27" s="260"/>
      <c r="U27" s="260"/>
      <c r="V27" s="260"/>
      <c r="W27" s="260"/>
    </row>
    <row r="28" spans="1:23" ht="35.1" customHeight="1">
      <c r="A28" s="255"/>
      <c r="B28" s="261"/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2"/>
      <c r="N28" s="256" t="s">
        <v>368</v>
      </c>
      <c r="O28" s="263"/>
      <c r="P28" s="260"/>
      <c r="Q28" s="260"/>
      <c r="R28" s="260"/>
      <c r="S28" s="260"/>
      <c r="T28" s="260"/>
      <c r="U28" s="260"/>
      <c r="V28" s="260"/>
      <c r="W28" s="260"/>
    </row>
    <row r="29" spans="1:23" ht="35.1" customHeight="1">
      <c r="A29" s="1455" t="s">
        <v>369</v>
      </c>
      <c r="B29" s="1456"/>
      <c r="C29" s="1457" t="s">
        <v>370</v>
      </c>
      <c r="D29" s="1457"/>
      <c r="E29" s="1457"/>
      <c r="F29" s="1457"/>
      <c r="G29" s="1457"/>
      <c r="H29" s="1457"/>
      <c r="I29" s="1457"/>
      <c r="J29" s="1457"/>
      <c r="K29" s="1457"/>
      <c r="L29" s="1457"/>
      <c r="M29" s="1457"/>
      <c r="N29" s="1455" t="s">
        <v>371</v>
      </c>
      <c r="O29" s="1458"/>
      <c r="P29" s="260"/>
      <c r="Q29" s="260"/>
      <c r="R29" s="260"/>
      <c r="S29" s="260"/>
      <c r="T29" s="260"/>
      <c r="U29" s="260"/>
      <c r="V29" s="260"/>
      <c r="W29" s="260"/>
    </row>
    <row r="30" spans="1:23" ht="35.1" customHeight="1">
      <c r="A30" s="1459" t="s">
        <v>372</v>
      </c>
      <c r="B30" s="447" t="s">
        <v>373</v>
      </c>
      <c r="C30" s="265"/>
      <c r="D30" s="266"/>
      <c r="E30" s="266"/>
      <c r="F30" s="266"/>
      <c r="G30" s="267"/>
      <c r="H30" s="267"/>
      <c r="I30" s="266"/>
      <c r="J30" s="266"/>
      <c r="K30" s="268"/>
      <c r="L30" s="264"/>
      <c r="M30" s="451"/>
      <c r="N30" s="1462" t="s">
        <v>374</v>
      </c>
      <c r="O30" s="1463"/>
      <c r="P30" s="260"/>
      <c r="Q30" s="260"/>
      <c r="R30" s="260"/>
      <c r="S30" s="260"/>
      <c r="T30" s="260"/>
      <c r="U30" s="260"/>
      <c r="V30" s="260"/>
      <c r="W30" s="260"/>
    </row>
    <row r="31" spans="1:23" ht="35.1" customHeight="1">
      <c r="A31" s="1460"/>
      <c r="B31" s="447" t="s">
        <v>347</v>
      </c>
      <c r="C31" s="265"/>
      <c r="D31" s="266"/>
      <c r="E31" s="266"/>
      <c r="F31" s="266"/>
      <c r="G31" s="269"/>
      <c r="H31" s="269"/>
      <c r="I31" s="266"/>
      <c r="J31" s="266"/>
      <c r="K31" s="268"/>
      <c r="L31" s="264"/>
      <c r="M31" s="451"/>
      <c r="N31" s="1464"/>
      <c r="O31" s="1465"/>
      <c r="P31" s="270"/>
      <c r="Q31" s="260"/>
      <c r="R31" s="260"/>
      <c r="S31" s="260"/>
      <c r="T31" s="260"/>
      <c r="U31" s="260"/>
      <c r="V31" s="260"/>
      <c r="W31" s="260"/>
    </row>
    <row r="32" spans="1:23" ht="35.1" customHeight="1">
      <c r="A32" s="1461"/>
      <c r="B32" s="447" t="s">
        <v>376</v>
      </c>
      <c r="C32" s="265"/>
      <c r="D32" s="266"/>
      <c r="E32" s="266"/>
      <c r="F32" s="266"/>
      <c r="G32" s="269"/>
      <c r="H32" s="269"/>
      <c r="I32" s="266"/>
      <c r="J32" s="266"/>
      <c r="K32" s="268"/>
      <c r="L32" s="264"/>
      <c r="M32" s="451"/>
      <c r="N32" s="1466"/>
      <c r="O32" s="1467"/>
      <c r="P32" s="270"/>
      <c r="Q32" s="260"/>
      <c r="R32" s="260"/>
      <c r="S32" s="260"/>
      <c r="T32" s="260"/>
      <c r="U32" s="260"/>
      <c r="V32" s="260"/>
      <c r="W32" s="260"/>
    </row>
    <row r="33" spans="1:23" ht="45" customHeight="1">
      <c r="A33" s="271" t="s">
        <v>377</v>
      </c>
      <c r="B33" s="448" t="s">
        <v>378</v>
      </c>
      <c r="C33" s="1444" t="s">
        <v>402</v>
      </c>
      <c r="D33" s="1445"/>
      <c r="E33" s="1445"/>
      <c r="F33" s="1445"/>
      <c r="G33" s="1445"/>
      <c r="H33" s="1445"/>
      <c r="I33" s="1445"/>
      <c r="J33" s="1445"/>
      <c r="K33" s="1446"/>
      <c r="L33" s="272" t="s">
        <v>379</v>
      </c>
      <c r="M33" s="452" t="e">
        <f>ROUND((((PI()*0.82^2)-(PI()*0.698^2))/4*0.072)/2
+(((PI()*1.08^2)-(PI()*0.82^2))/4*0.07)
+(((PI()*1.08^2)-(PI()*0.6^2))/4*#REF!),2)</f>
        <v>#REF!</v>
      </c>
      <c r="N33" s="454" t="e">
        <f>M33</f>
        <v>#REF!</v>
      </c>
      <c r="O33" s="273" t="s">
        <v>15</v>
      </c>
      <c r="P33" s="270"/>
      <c r="Q33" s="274"/>
      <c r="R33" s="274"/>
      <c r="S33" s="260"/>
      <c r="T33" s="260"/>
      <c r="U33" s="274"/>
      <c r="V33" s="274"/>
      <c r="W33" s="274"/>
    </row>
    <row r="34" spans="1:23" ht="35.1" customHeight="1">
      <c r="A34" s="271" t="s">
        <v>381</v>
      </c>
      <c r="B34" s="447" t="s">
        <v>638</v>
      </c>
      <c r="C34" s="1445" t="s">
        <v>637</v>
      </c>
      <c r="D34" s="1445"/>
      <c r="E34" s="1445"/>
      <c r="F34" s="1445"/>
      <c r="G34" s="1445"/>
      <c r="H34" s="1445"/>
      <c r="I34" s="1445"/>
      <c r="J34" s="1445"/>
      <c r="K34" s="1446"/>
      <c r="L34" s="272" t="s">
        <v>379</v>
      </c>
      <c r="M34" s="281">
        <v>1</v>
      </c>
      <c r="N34" s="454">
        <v>1</v>
      </c>
      <c r="O34" s="273" t="s">
        <v>382</v>
      </c>
      <c r="P34" s="253"/>
      <c r="Q34" s="274"/>
      <c r="R34" s="274"/>
      <c r="S34" s="274"/>
      <c r="T34" s="274"/>
      <c r="U34" s="274"/>
      <c r="V34" s="274"/>
      <c r="W34" s="274"/>
    </row>
    <row r="35" spans="1:23" ht="35.1" customHeight="1">
      <c r="A35" s="1447" t="s">
        <v>383</v>
      </c>
      <c r="B35" s="1385"/>
      <c r="C35" s="1448" t="s">
        <v>384</v>
      </c>
      <c r="D35" s="1449"/>
      <c r="E35" s="265" t="s">
        <v>385</v>
      </c>
      <c r="F35" s="275" t="s">
        <v>379</v>
      </c>
      <c r="G35" s="276">
        <f>$N$2</f>
        <v>3.5</v>
      </c>
      <c r="H35" s="277" t="s">
        <v>386</v>
      </c>
      <c r="I35" s="275">
        <v>0.6</v>
      </c>
      <c r="J35" s="277" t="s">
        <v>16</v>
      </c>
      <c r="K35" s="264">
        <v>0.3</v>
      </c>
      <c r="L35" s="264" t="s">
        <v>379</v>
      </c>
      <c r="M35" s="451">
        <f>ROUNDUP((N2-0.6)/0.3,0)</f>
        <v>10</v>
      </c>
      <c r="N35" s="455">
        <f>M35</f>
        <v>10</v>
      </c>
      <c r="O35" s="273" t="s">
        <v>387</v>
      </c>
      <c r="P35" s="270"/>
      <c r="Q35" s="274"/>
      <c r="R35" s="274"/>
      <c r="S35" s="274"/>
      <c r="T35" s="274"/>
      <c r="U35" s="274"/>
      <c r="V35" s="274"/>
      <c r="W35" s="274"/>
    </row>
    <row r="36" spans="1:23" ht="35.1" customHeight="1">
      <c r="A36" s="491" t="s">
        <v>388</v>
      </c>
      <c r="B36" s="449" t="s">
        <v>389</v>
      </c>
      <c r="C36" s="1450" t="s">
        <v>390</v>
      </c>
      <c r="D36" s="1451"/>
      <c r="E36" s="1451"/>
      <c r="F36" s="1451"/>
      <c r="G36" s="1451"/>
      <c r="H36" s="1451"/>
      <c r="I36" s="1451"/>
      <c r="J36" s="1451"/>
      <c r="K36" s="1452"/>
      <c r="L36" s="279" t="s">
        <v>17</v>
      </c>
      <c r="M36" s="458">
        <f>ROUND((((PI()*1.08)+(PI()*0.6))*0.06),2)</f>
        <v>0.32</v>
      </c>
      <c r="N36" s="457">
        <f>M36</f>
        <v>0.32</v>
      </c>
      <c r="O36" s="280" t="s">
        <v>19</v>
      </c>
      <c r="P36" s="270"/>
      <c r="Q36" s="274"/>
      <c r="R36" s="274"/>
      <c r="S36" s="274"/>
      <c r="T36" s="274"/>
      <c r="U36" s="274"/>
      <c r="V36" s="274"/>
      <c r="W36" s="274"/>
    </row>
    <row r="37" spans="1:23" ht="50.1" customHeight="1">
      <c r="A37" s="1468" t="s">
        <v>630</v>
      </c>
      <c r="B37" s="1468"/>
      <c r="C37" s="1468"/>
      <c r="D37" s="1468"/>
      <c r="E37" s="1468"/>
      <c r="F37" s="1468"/>
      <c r="G37" s="1468"/>
      <c r="H37" s="1468"/>
      <c r="I37" s="1468"/>
      <c r="J37" s="1468"/>
      <c r="K37" s="1468"/>
      <c r="L37" s="1468"/>
      <c r="M37" s="1468"/>
      <c r="N37" s="1468"/>
      <c r="O37" s="1468"/>
      <c r="P37" s="260"/>
      <c r="Q37" s="260"/>
      <c r="R37" s="260"/>
      <c r="S37" s="260"/>
      <c r="T37" s="260"/>
      <c r="U37" s="260"/>
      <c r="V37" s="260"/>
      <c r="W37" s="260"/>
    </row>
    <row r="38" spans="1:23" ht="18" customHeight="1">
      <c r="A38" s="255"/>
      <c r="B38" s="256"/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7" t="s">
        <v>365</v>
      </c>
      <c r="N38" s="258" t="e">
        <f>#REF!</f>
        <v>#REF!</v>
      </c>
      <c r="O38" s="259" t="s">
        <v>366</v>
      </c>
      <c r="P38" s="260"/>
      <c r="Q38" s="260"/>
      <c r="R38" s="260"/>
      <c r="S38" s="260"/>
      <c r="T38" s="260"/>
      <c r="U38" s="260"/>
      <c r="V38" s="260"/>
      <c r="W38" s="260"/>
    </row>
    <row r="39" spans="1:23" ht="18" customHeight="1">
      <c r="A39" s="255"/>
      <c r="B39" s="256"/>
      <c r="C39" s="261"/>
      <c r="D39" s="261"/>
      <c r="E39" s="261"/>
      <c r="F39" s="261"/>
      <c r="G39" s="261"/>
      <c r="H39" s="261"/>
      <c r="I39" s="261"/>
      <c r="J39" s="261"/>
      <c r="K39" s="261"/>
      <c r="L39" s="261"/>
      <c r="M39" s="257"/>
      <c r="N39" s="258"/>
      <c r="O39" s="259"/>
      <c r="P39" s="260"/>
      <c r="Q39" s="260"/>
      <c r="R39" s="260"/>
      <c r="S39" s="260"/>
      <c r="T39" s="260"/>
      <c r="U39" s="260"/>
      <c r="V39" s="260"/>
      <c r="W39" s="260"/>
    </row>
    <row r="40" spans="1:23" ht="18" customHeight="1">
      <c r="A40" s="255"/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2"/>
      <c r="N40" s="256"/>
      <c r="O40" s="263"/>
      <c r="P40" s="260"/>
      <c r="Q40" s="260"/>
      <c r="R40" s="260"/>
      <c r="S40" s="260"/>
      <c r="T40" s="260"/>
      <c r="U40" s="260"/>
      <c r="V40" s="260"/>
      <c r="W40" s="260"/>
    </row>
    <row r="41" spans="1:23" ht="18" customHeight="1">
      <c r="A41" s="255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2"/>
      <c r="N41" s="256"/>
      <c r="O41" s="263"/>
      <c r="P41" s="260"/>
      <c r="Q41" s="260"/>
      <c r="R41" s="260"/>
      <c r="S41" s="260"/>
      <c r="T41" s="260"/>
      <c r="U41" s="260"/>
      <c r="V41" s="260"/>
      <c r="W41" s="260"/>
    </row>
    <row r="42" spans="1:23" ht="18" customHeight="1">
      <c r="A42" s="255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2"/>
      <c r="N42" s="256"/>
      <c r="O42" s="263"/>
      <c r="P42" s="260"/>
      <c r="Q42" s="260"/>
      <c r="R42" s="260"/>
      <c r="S42" s="260"/>
      <c r="T42" s="260"/>
      <c r="U42" s="260"/>
      <c r="V42" s="260"/>
      <c r="W42" s="260"/>
    </row>
    <row r="43" spans="1:23" ht="18" customHeight="1">
      <c r="A43" s="255"/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2"/>
      <c r="N43" s="256"/>
      <c r="O43" s="263"/>
      <c r="P43" s="260"/>
      <c r="Q43" s="260"/>
      <c r="R43" s="260"/>
      <c r="S43" s="260"/>
      <c r="T43" s="260"/>
      <c r="U43" s="260"/>
      <c r="V43" s="260"/>
      <c r="W43" s="260"/>
    </row>
    <row r="44" spans="1:23" ht="18" customHeight="1">
      <c r="A44" s="255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2"/>
      <c r="N44" s="256"/>
      <c r="O44" s="263"/>
      <c r="P44" s="260"/>
      <c r="Q44" s="260"/>
      <c r="R44" s="260"/>
      <c r="S44" s="260"/>
      <c r="T44" s="260"/>
      <c r="U44" s="260"/>
      <c r="V44" s="260"/>
      <c r="W44" s="260"/>
    </row>
    <row r="45" spans="1:23" ht="18" customHeight="1">
      <c r="A45" s="255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2"/>
      <c r="N45" s="256"/>
      <c r="O45" s="263"/>
      <c r="P45" s="260"/>
      <c r="Q45" s="260"/>
      <c r="R45" s="260"/>
      <c r="S45" s="260"/>
      <c r="T45" s="260"/>
      <c r="U45" s="260"/>
      <c r="V45" s="260"/>
      <c r="W45" s="260"/>
    </row>
    <row r="46" spans="1:23" ht="18" customHeight="1">
      <c r="A46" s="255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2"/>
      <c r="N46" s="256"/>
      <c r="O46" s="263"/>
      <c r="P46" s="260"/>
      <c r="Q46" s="260"/>
      <c r="R46" s="260"/>
      <c r="S46" s="260"/>
      <c r="T46" s="260"/>
      <c r="U46" s="260"/>
      <c r="V46" s="260"/>
      <c r="W46" s="260"/>
    </row>
    <row r="47" spans="1:23" ht="18" customHeight="1">
      <c r="A47" s="255"/>
      <c r="B47" s="261"/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2"/>
      <c r="N47" s="256"/>
      <c r="O47" s="263"/>
      <c r="P47" s="260"/>
      <c r="Q47" s="260"/>
      <c r="R47" s="260"/>
      <c r="S47" s="260"/>
      <c r="T47" s="260"/>
      <c r="U47" s="260"/>
      <c r="V47" s="260"/>
      <c r="W47" s="260"/>
    </row>
    <row r="48" spans="1:23" ht="18" customHeight="1">
      <c r="A48" s="255"/>
      <c r="B48" s="261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2"/>
      <c r="N48" s="256"/>
      <c r="O48" s="263"/>
      <c r="P48" s="260"/>
      <c r="Q48" s="260"/>
      <c r="R48" s="260"/>
      <c r="S48" s="260"/>
      <c r="T48" s="260"/>
      <c r="U48" s="260"/>
      <c r="V48" s="260"/>
      <c r="W48" s="260"/>
    </row>
    <row r="49" spans="1:23" ht="18" customHeight="1">
      <c r="A49" s="255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2"/>
      <c r="N49" s="256"/>
      <c r="O49" s="263"/>
      <c r="P49" s="260"/>
      <c r="Q49" s="260"/>
      <c r="R49" s="260"/>
      <c r="S49" s="260"/>
      <c r="T49" s="260"/>
      <c r="U49" s="260"/>
      <c r="V49" s="260"/>
      <c r="W49" s="260"/>
    </row>
    <row r="50" spans="1:23" ht="18" customHeight="1">
      <c r="A50" s="255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2"/>
      <c r="N50" s="256"/>
      <c r="O50" s="263"/>
      <c r="P50" s="260"/>
      <c r="Q50" s="260"/>
      <c r="R50" s="260"/>
      <c r="S50" s="260"/>
      <c r="T50" s="260"/>
      <c r="U50" s="260"/>
      <c r="V50" s="260"/>
      <c r="W50" s="260"/>
    </row>
    <row r="51" spans="1:23" ht="18" customHeight="1">
      <c r="A51" s="255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2"/>
      <c r="N51" s="256"/>
      <c r="O51" s="263"/>
      <c r="P51" s="260"/>
      <c r="Q51" s="260"/>
      <c r="R51" s="260"/>
      <c r="S51" s="260"/>
      <c r="T51" s="260"/>
      <c r="U51" s="260"/>
      <c r="V51" s="260"/>
      <c r="W51" s="260"/>
    </row>
    <row r="52" spans="1:23" ht="18" customHeight="1">
      <c r="A52" s="255"/>
      <c r="B52" s="261"/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2"/>
      <c r="N52" s="256"/>
      <c r="O52" s="263"/>
      <c r="P52" s="260"/>
      <c r="Q52" s="260"/>
      <c r="R52" s="260"/>
      <c r="S52" s="260"/>
      <c r="T52" s="260"/>
      <c r="U52" s="260"/>
      <c r="V52" s="260"/>
      <c r="W52" s="260"/>
    </row>
    <row r="53" spans="1:23" ht="18" customHeight="1">
      <c r="A53" s="255"/>
      <c r="B53" s="261"/>
      <c r="C53" s="261"/>
      <c r="D53" s="261"/>
      <c r="E53" s="261"/>
      <c r="F53" s="261"/>
      <c r="G53" s="261"/>
      <c r="H53" s="261"/>
      <c r="I53" s="261"/>
      <c r="J53" s="261"/>
      <c r="K53" s="261"/>
      <c r="L53" s="261"/>
      <c r="M53" s="262"/>
      <c r="N53" s="256"/>
      <c r="O53" s="263"/>
      <c r="P53" s="260"/>
      <c r="Q53" s="260"/>
      <c r="R53" s="260"/>
      <c r="S53" s="260"/>
      <c r="T53" s="260"/>
      <c r="U53" s="260"/>
      <c r="V53" s="260"/>
      <c r="W53" s="260"/>
    </row>
    <row r="54" spans="1:23" ht="18" customHeight="1">
      <c r="A54" s="255"/>
      <c r="B54" s="261"/>
      <c r="C54" s="261"/>
      <c r="D54" s="261"/>
      <c r="E54" s="261"/>
      <c r="F54" s="261"/>
      <c r="G54" s="261"/>
      <c r="H54" s="261"/>
      <c r="I54" s="261"/>
      <c r="J54" s="261"/>
      <c r="K54" s="261"/>
      <c r="L54" s="261"/>
      <c r="M54" s="262"/>
      <c r="N54" s="256"/>
      <c r="O54" s="263"/>
      <c r="P54" s="260"/>
      <c r="Q54" s="260"/>
      <c r="R54" s="260"/>
      <c r="S54" s="260"/>
      <c r="T54" s="260"/>
      <c r="U54" s="260"/>
      <c r="V54" s="260"/>
      <c r="W54" s="260"/>
    </row>
    <row r="55" spans="1:23" ht="18" customHeight="1">
      <c r="A55" s="255"/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2"/>
      <c r="N55" s="256"/>
      <c r="O55" s="263"/>
      <c r="P55" s="260"/>
      <c r="Q55" s="260"/>
      <c r="R55" s="260"/>
      <c r="S55" s="260"/>
      <c r="T55" s="260"/>
      <c r="U55" s="260"/>
      <c r="V55" s="260"/>
      <c r="W55" s="260"/>
    </row>
    <row r="56" spans="1:23" ht="18" customHeight="1">
      <c r="A56" s="255"/>
      <c r="B56" s="261"/>
      <c r="C56" s="261"/>
      <c r="D56" s="261"/>
      <c r="E56" s="261"/>
      <c r="F56" s="261"/>
      <c r="G56" s="261"/>
      <c r="H56" s="261"/>
      <c r="I56" s="261"/>
      <c r="J56" s="261"/>
      <c r="K56" s="261"/>
      <c r="L56" s="261"/>
      <c r="M56" s="262"/>
      <c r="N56" s="256"/>
      <c r="O56" s="263"/>
      <c r="P56" s="260"/>
      <c r="Q56" s="260"/>
      <c r="R56" s="260"/>
      <c r="S56" s="260"/>
      <c r="T56" s="260"/>
      <c r="U56" s="260"/>
      <c r="V56" s="260"/>
      <c r="W56" s="260"/>
    </row>
    <row r="57" spans="1:23" ht="18" customHeight="1">
      <c r="A57" s="255"/>
      <c r="B57" s="261"/>
      <c r="C57" s="261"/>
      <c r="D57" s="261"/>
      <c r="E57" s="261"/>
      <c r="F57" s="261"/>
      <c r="G57" s="261"/>
      <c r="H57" s="261"/>
      <c r="I57" s="261"/>
      <c r="J57" s="261"/>
      <c r="K57" s="261"/>
      <c r="L57" s="261"/>
      <c r="M57" s="262"/>
      <c r="N57" s="256"/>
      <c r="O57" s="263"/>
      <c r="P57" s="260"/>
      <c r="Q57" s="260"/>
      <c r="R57" s="260"/>
      <c r="S57" s="260"/>
      <c r="T57" s="260"/>
      <c r="U57" s="260"/>
      <c r="V57" s="260"/>
      <c r="W57" s="260"/>
    </row>
    <row r="58" spans="1:23" ht="18" customHeight="1">
      <c r="A58" s="255"/>
      <c r="B58" s="261"/>
      <c r="C58" s="261"/>
      <c r="D58" s="261"/>
      <c r="E58" s="261"/>
      <c r="F58" s="261"/>
      <c r="G58" s="261"/>
      <c r="H58" s="261"/>
      <c r="I58" s="261"/>
      <c r="J58" s="261"/>
      <c r="K58" s="261"/>
      <c r="L58" s="261"/>
      <c r="M58" s="262"/>
      <c r="N58" s="256"/>
      <c r="O58" s="263"/>
      <c r="P58" s="260"/>
      <c r="Q58" s="260"/>
      <c r="R58" s="260"/>
      <c r="S58" s="260"/>
      <c r="T58" s="260"/>
      <c r="U58" s="260"/>
      <c r="V58" s="260"/>
      <c r="W58" s="260"/>
    </row>
    <row r="59" spans="1:23" ht="18" customHeight="1">
      <c r="A59" s="255"/>
      <c r="B59" s="261"/>
      <c r="C59" s="261"/>
      <c r="D59" s="261"/>
      <c r="E59" s="261"/>
      <c r="F59" s="261"/>
      <c r="G59" s="261"/>
      <c r="H59" s="261"/>
      <c r="I59" s="261"/>
      <c r="J59" s="261"/>
      <c r="K59" s="261"/>
      <c r="L59" s="261"/>
      <c r="M59" s="262"/>
      <c r="N59" s="256"/>
      <c r="O59" s="263"/>
      <c r="P59" s="260"/>
      <c r="Q59" s="260"/>
      <c r="R59" s="260"/>
      <c r="S59" s="260"/>
      <c r="T59" s="260"/>
      <c r="U59" s="260"/>
      <c r="V59" s="260"/>
      <c r="W59" s="260"/>
    </row>
    <row r="60" spans="1:23" ht="18" customHeight="1">
      <c r="A60" s="255"/>
      <c r="B60" s="261"/>
      <c r="C60" s="261"/>
      <c r="D60" s="261"/>
      <c r="E60" s="261"/>
      <c r="F60" s="261"/>
      <c r="G60" s="261"/>
      <c r="H60" s="261"/>
      <c r="I60" s="261"/>
      <c r="J60" s="261"/>
      <c r="K60" s="261"/>
      <c r="L60" s="261"/>
      <c r="M60" s="262"/>
      <c r="N60" s="256"/>
      <c r="O60" s="263"/>
      <c r="P60" s="260"/>
      <c r="Q60" s="260"/>
      <c r="R60" s="260"/>
      <c r="S60" s="260"/>
      <c r="T60" s="260"/>
      <c r="U60" s="260"/>
      <c r="V60" s="260"/>
      <c r="W60" s="260"/>
    </row>
    <row r="61" spans="1:23" ht="18" customHeight="1">
      <c r="A61" s="255"/>
      <c r="B61" s="261"/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2"/>
      <c r="N61" s="256"/>
      <c r="O61" s="263"/>
      <c r="P61" s="260"/>
      <c r="Q61" s="260"/>
      <c r="R61" s="260"/>
      <c r="S61" s="260"/>
      <c r="T61" s="260"/>
      <c r="U61" s="260"/>
      <c r="V61" s="260"/>
      <c r="W61" s="260"/>
    </row>
    <row r="62" spans="1:23" ht="18" customHeight="1">
      <c r="A62" s="1453" t="s">
        <v>367</v>
      </c>
      <c r="B62" s="1454"/>
      <c r="C62" s="1454"/>
      <c r="D62" s="1454"/>
      <c r="E62" s="1454"/>
      <c r="F62" s="1454"/>
      <c r="G62" s="1454"/>
      <c r="H62" s="1454"/>
      <c r="I62" s="261"/>
      <c r="J62" s="261"/>
      <c r="K62" s="261"/>
      <c r="L62" s="261"/>
      <c r="M62" s="262"/>
      <c r="N62" s="256"/>
      <c r="O62" s="263"/>
      <c r="P62" s="260"/>
      <c r="Q62" s="260"/>
      <c r="R62" s="260"/>
      <c r="S62" s="260"/>
      <c r="T62" s="260"/>
      <c r="U62" s="260"/>
      <c r="V62" s="260"/>
      <c r="W62" s="260"/>
    </row>
    <row r="63" spans="1:23" ht="18" customHeight="1">
      <c r="A63" s="1453"/>
      <c r="B63" s="1454"/>
      <c r="C63" s="1454"/>
      <c r="D63" s="1454"/>
      <c r="E63" s="1454"/>
      <c r="F63" s="1454"/>
      <c r="G63" s="1454"/>
      <c r="H63" s="1454"/>
      <c r="I63" s="261"/>
      <c r="J63" s="261"/>
      <c r="K63" s="261"/>
      <c r="L63" s="261"/>
      <c r="M63" s="262"/>
      <c r="N63" s="256"/>
      <c r="O63" s="263"/>
      <c r="P63" s="260"/>
      <c r="Q63" s="260"/>
      <c r="R63" s="260"/>
      <c r="S63" s="260"/>
      <c r="T63" s="260"/>
      <c r="U63" s="260"/>
      <c r="V63" s="260"/>
      <c r="W63" s="260"/>
    </row>
    <row r="64" spans="1:23" ht="35.1" customHeight="1">
      <c r="A64" s="255"/>
      <c r="B64" s="261"/>
      <c r="C64" s="261"/>
      <c r="D64" s="261"/>
      <c r="E64" s="261"/>
      <c r="F64" s="261"/>
      <c r="G64" s="261"/>
      <c r="H64" s="261"/>
      <c r="I64" s="261"/>
      <c r="J64" s="261"/>
      <c r="K64" s="261"/>
      <c r="L64" s="261"/>
      <c r="M64" s="262"/>
      <c r="N64" s="256" t="s">
        <v>368</v>
      </c>
      <c r="O64" s="263"/>
      <c r="P64" s="260"/>
      <c r="Q64" s="260"/>
      <c r="R64" s="260"/>
      <c r="S64" s="260"/>
      <c r="T64" s="260"/>
      <c r="U64" s="260"/>
      <c r="V64" s="260"/>
      <c r="W64" s="260"/>
    </row>
    <row r="65" spans="1:23" ht="35.1" customHeight="1">
      <c r="A65" s="1455" t="s">
        <v>369</v>
      </c>
      <c r="B65" s="1456"/>
      <c r="C65" s="1457" t="s">
        <v>370</v>
      </c>
      <c r="D65" s="1457"/>
      <c r="E65" s="1457"/>
      <c r="F65" s="1457"/>
      <c r="G65" s="1457"/>
      <c r="H65" s="1457"/>
      <c r="I65" s="1457"/>
      <c r="J65" s="1457"/>
      <c r="K65" s="1457"/>
      <c r="L65" s="1457"/>
      <c r="M65" s="1457"/>
      <c r="N65" s="1455" t="s">
        <v>371</v>
      </c>
      <c r="O65" s="1458"/>
      <c r="P65" s="260"/>
      <c r="Q65" s="260"/>
      <c r="R65" s="260"/>
      <c r="S65" s="260"/>
      <c r="T65" s="260"/>
      <c r="U65" s="260"/>
      <c r="V65" s="260"/>
      <c r="W65" s="260"/>
    </row>
    <row r="66" spans="1:23" ht="35.1" customHeight="1">
      <c r="A66" s="1459" t="s">
        <v>372</v>
      </c>
      <c r="B66" s="447" t="s">
        <v>373</v>
      </c>
      <c r="C66" s="265"/>
      <c r="D66" s="266"/>
      <c r="E66" s="266"/>
      <c r="F66" s="266"/>
      <c r="G66" s="267"/>
      <c r="H66" s="267"/>
      <c r="I66" s="266"/>
      <c r="J66" s="266"/>
      <c r="K66" s="268"/>
      <c r="L66" s="264"/>
      <c r="M66" s="451"/>
      <c r="N66" s="1462" t="s">
        <v>394</v>
      </c>
      <c r="O66" s="1463"/>
      <c r="P66" s="260"/>
      <c r="Q66" s="260"/>
      <c r="R66" s="260"/>
      <c r="S66" s="260"/>
      <c r="T66" s="260"/>
      <c r="U66" s="260"/>
      <c r="V66" s="260"/>
      <c r="W66" s="260"/>
    </row>
    <row r="67" spans="1:23" ht="35.1" customHeight="1">
      <c r="A67" s="1460"/>
      <c r="B67" s="450" t="s">
        <v>347</v>
      </c>
      <c r="C67" s="265"/>
      <c r="D67" s="266"/>
      <c r="E67" s="266"/>
      <c r="F67" s="266"/>
      <c r="G67" s="269"/>
      <c r="H67" s="269"/>
      <c r="I67" s="266"/>
      <c r="J67" s="266"/>
      <c r="K67" s="268"/>
      <c r="L67" s="264"/>
      <c r="M67" s="451"/>
      <c r="N67" s="1464"/>
      <c r="O67" s="1465"/>
      <c r="P67" s="270"/>
      <c r="Q67" s="260"/>
      <c r="R67" s="260"/>
      <c r="S67" s="260"/>
      <c r="T67" s="260"/>
      <c r="U67" s="260"/>
      <c r="V67" s="260"/>
      <c r="W67" s="260"/>
    </row>
    <row r="68" spans="1:23" ht="35.1" customHeight="1">
      <c r="A68" s="1461"/>
      <c r="B68" s="447" t="s">
        <v>376</v>
      </c>
      <c r="C68" s="265"/>
      <c r="D68" s="266"/>
      <c r="E68" s="266"/>
      <c r="F68" s="266"/>
      <c r="G68" s="269"/>
      <c r="H68" s="269"/>
      <c r="I68" s="266"/>
      <c r="J68" s="266"/>
      <c r="K68" s="268"/>
      <c r="L68" s="264"/>
      <c r="M68" s="451"/>
      <c r="N68" s="1466"/>
      <c r="O68" s="1467"/>
      <c r="P68" s="270"/>
      <c r="Q68" s="260"/>
      <c r="R68" s="260"/>
      <c r="S68" s="260"/>
      <c r="T68" s="260"/>
      <c r="U68" s="260"/>
      <c r="V68" s="260"/>
      <c r="W68" s="260"/>
    </row>
    <row r="69" spans="1:23" ht="35.1" customHeight="1">
      <c r="A69" s="271" t="s">
        <v>377</v>
      </c>
      <c r="B69" s="448" t="s">
        <v>14</v>
      </c>
      <c r="C69" s="1444" t="s">
        <v>396</v>
      </c>
      <c r="D69" s="1445"/>
      <c r="E69" s="1445"/>
      <c r="F69" s="1445"/>
      <c r="G69" s="1445"/>
      <c r="H69" s="1445"/>
      <c r="I69" s="1445"/>
      <c r="J69" s="1445"/>
      <c r="K69" s="1446"/>
      <c r="L69" s="272" t="s">
        <v>379</v>
      </c>
      <c r="M69" s="452">
        <f>ROUND(((0.8*0.8)-(PI()*0.6^2)/4)*0.2,2)</f>
        <v>7.0000000000000007E-2</v>
      </c>
      <c r="N69" s="454">
        <f>M69</f>
        <v>7.0000000000000007E-2</v>
      </c>
      <c r="O69" s="273" t="s">
        <v>15</v>
      </c>
      <c r="P69" s="253"/>
      <c r="Q69" s="274"/>
      <c r="R69" s="274"/>
      <c r="S69" s="274"/>
      <c r="T69" s="274"/>
      <c r="U69" s="274"/>
      <c r="V69" s="274"/>
      <c r="W69" s="274"/>
    </row>
    <row r="70" spans="1:23" ht="35.1" customHeight="1">
      <c r="A70" s="271" t="s">
        <v>381</v>
      </c>
      <c r="B70" s="447" t="s">
        <v>634</v>
      </c>
      <c r="C70" s="1445" t="s">
        <v>639</v>
      </c>
      <c r="D70" s="1445"/>
      <c r="E70" s="1445"/>
      <c r="F70" s="1445"/>
      <c r="G70" s="1445"/>
      <c r="H70" s="1445"/>
      <c r="I70" s="1445"/>
      <c r="J70" s="1445"/>
      <c r="K70" s="1446"/>
      <c r="L70" s="272" t="s">
        <v>379</v>
      </c>
      <c r="M70" s="281">
        <v>1</v>
      </c>
      <c r="N70" s="455">
        <v>1</v>
      </c>
      <c r="O70" s="273" t="s">
        <v>382</v>
      </c>
      <c r="P70" s="270"/>
      <c r="Q70" s="274"/>
      <c r="R70" s="274"/>
      <c r="S70" s="274"/>
      <c r="T70" s="274"/>
      <c r="U70" s="274"/>
      <c r="V70" s="274"/>
      <c r="W70" s="274"/>
    </row>
    <row r="71" spans="1:23" ht="35.1" customHeight="1">
      <c r="A71" s="1447" t="s">
        <v>383</v>
      </c>
      <c r="B71" s="1385"/>
      <c r="C71" s="1448" t="s">
        <v>384</v>
      </c>
      <c r="D71" s="1449"/>
      <c r="E71" s="265" t="s">
        <v>385</v>
      </c>
      <c r="F71" s="275" t="s">
        <v>379</v>
      </c>
      <c r="G71" s="276" t="e">
        <f>$N$38</f>
        <v>#REF!</v>
      </c>
      <c r="H71" s="277" t="s">
        <v>386</v>
      </c>
      <c r="I71" s="275">
        <v>0.6</v>
      </c>
      <c r="J71" s="277" t="s">
        <v>16</v>
      </c>
      <c r="K71" s="264">
        <v>0.3</v>
      </c>
      <c r="L71" s="264" t="s">
        <v>379</v>
      </c>
      <c r="M71" s="281" t="e">
        <f>ROUNDUP((N38-0.6)/0.3,0)</f>
        <v>#REF!</v>
      </c>
      <c r="N71" s="456" t="e">
        <f>M71</f>
        <v>#REF!</v>
      </c>
      <c r="O71" s="273" t="s">
        <v>387</v>
      </c>
      <c r="P71" s="270"/>
      <c r="Q71" s="274"/>
      <c r="R71" s="274"/>
      <c r="S71" s="274"/>
      <c r="T71" s="274"/>
      <c r="U71" s="274"/>
      <c r="V71" s="274"/>
      <c r="W71" s="274"/>
    </row>
    <row r="72" spans="1:23" ht="35.1" customHeight="1">
      <c r="A72" s="491" t="s">
        <v>388</v>
      </c>
      <c r="B72" s="449" t="s">
        <v>389</v>
      </c>
      <c r="C72" s="1450" t="s">
        <v>397</v>
      </c>
      <c r="D72" s="1451"/>
      <c r="E72" s="1451"/>
      <c r="F72" s="1451"/>
      <c r="G72" s="1451"/>
      <c r="H72" s="1451"/>
      <c r="I72" s="1451"/>
      <c r="J72" s="1451"/>
      <c r="K72" s="1452"/>
      <c r="L72" s="279" t="s">
        <v>17</v>
      </c>
      <c r="M72" s="453">
        <f>ROUNDDOWN((((0.8*0.1*4)+(PI()*0.6))*0.05),2)</f>
        <v>0.11</v>
      </c>
      <c r="N72" s="457">
        <f>M72</f>
        <v>0.11</v>
      </c>
      <c r="O72" s="280" t="s">
        <v>19</v>
      </c>
      <c r="P72" s="270"/>
      <c r="Q72" s="274"/>
      <c r="R72" s="274"/>
      <c r="S72" s="274"/>
      <c r="T72" s="274"/>
      <c r="U72" s="274"/>
      <c r="V72" s="274"/>
      <c r="W72" s="274"/>
    </row>
  </sheetData>
  <mergeCells count="24">
    <mergeCell ref="A37:O37"/>
    <mergeCell ref="A1:O1"/>
    <mergeCell ref="A26:H27"/>
    <mergeCell ref="A29:B29"/>
    <mergeCell ref="C29:M29"/>
    <mergeCell ref="N29:O29"/>
    <mergeCell ref="A30:A32"/>
    <mergeCell ref="N30:O32"/>
    <mergeCell ref="C33:K33"/>
    <mergeCell ref="C34:K34"/>
    <mergeCell ref="A35:B35"/>
    <mergeCell ref="C35:D35"/>
    <mergeCell ref="C36:K36"/>
    <mergeCell ref="A62:H63"/>
    <mergeCell ref="A65:B65"/>
    <mergeCell ref="C65:M65"/>
    <mergeCell ref="N65:O65"/>
    <mergeCell ref="A66:A68"/>
    <mergeCell ref="N66:O68"/>
    <mergeCell ref="C69:K69"/>
    <mergeCell ref="C70:K70"/>
    <mergeCell ref="A71:B71"/>
    <mergeCell ref="C71:D71"/>
    <mergeCell ref="C72:K72"/>
  </mergeCells>
  <phoneticPr fontId="13" type="noConversion"/>
  <printOptions horizontalCentered="1"/>
  <pageMargins left="0.43307086614173229" right="0.43307086614173229" top="0.62992125984251968" bottom="0.59055118110236227" header="0.51181102362204722" footer="0.51181102362204722"/>
  <pageSetup paperSize="9" scale="85" orientation="portrait" r:id="rId1"/>
  <headerFooter alignWithMargins="0"/>
  <rowBreaks count="1" manualBreakCount="1">
    <brk id="36" max="14" man="1"/>
  </rowBreaks>
  <colBreaks count="1" manualBreakCount="1">
    <brk id="15" max="1048575" man="1"/>
  </colBreaks>
  <drawing r:id="rId2"/>
  <legacyDrawing r:id="rId3"/>
  <oleObjects>
    <mc:AlternateContent xmlns:mc="http://schemas.openxmlformats.org/markup-compatibility/2006">
      <mc:Choice Requires="x14">
        <oleObject progId="AutoCAD.Drawing.14" shapeId="71681" r:id="rId4">
          <objectPr defaultSize="0" autoPict="0" r:id="rId5">
            <anchor moveWithCells="1" sizeWithCells="1">
              <from>
                <xdr:col>3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0</xdr:rowOff>
              </to>
            </anchor>
          </objectPr>
        </oleObject>
      </mc:Choice>
      <mc:Fallback>
        <oleObject progId="AutoCAD.Drawing.14" shapeId="71681" r:id="rId4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0000"/>
  </sheetPr>
  <dimension ref="A1:S96"/>
  <sheetViews>
    <sheetView workbookViewId="0">
      <selection sqref="A1:F1"/>
    </sheetView>
  </sheetViews>
  <sheetFormatPr defaultRowHeight="30" customHeight="1"/>
  <cols>
    <col min="1" max="1" width="4.109375" style="283" bestFit="1" customWidth="1"/>
    <col min="2" max="2" width="15.21875" style="283" customWidth="1"/>
    <col min="3" max="3" width="15.21875" style="282" customWidth="1"/>
    <col min="4" max="5" width="15.21875" style="287" customWidth="1"/>
    <col min="6" max="6" width="15.21875" style="282" customWidth="1"/>
    <col min="7" max="7" width="8.88671875" style="282"/>
    <col min="8" max="8" width="13.109375" style="282" bestFit="1" customWidth="1"/>
    <col min="9" max="11" width="8.88671875" style="282"/>
    <col min="12" max="12" width="11.77734375" style="282" customWidth="1"/>
    <col min="13" max="247" width="8.88671875" style="282"/>
    <col min="248" max="248" width="4.109375" style="282" bestFit="1" customWidth="1"/>
    <col min="249" max="249" width="9.5546875" style="282" bestFit="1" customWidth="1"/>
    <col min="250" max="250" width="6.6640625" style="282" bestFit="1" customWidth="1"/>
    <col min="251" max="251" width="7" style="282" bestFit="1" customWidth="1"/>
    <col min="252" max="252" width="8.88671875" style="282"/>
    <col min="253" max="253" width="0" style="282" hidden="1" customWidth="1"/>
    <col min="254" max="261" width="6.33203125" style="282" customWidth="1"/>
    <col min="262" max="262" width="4.77734375" style="282" customWidth="1"/>
    <col min="263" max="263" width="8.88671875" style="282"/>
    <col min="264" max="264" width="13.109375" style="282" bestFit="1" customWidth="1"/>
    <col min="265" max="267" width="8.88671875" style="282"/>
    <col min="268" max="268" width="11.77734375" style="282" customWidth="1"/>
    <col min="269" max="503" width="8.88671875" style="282"/>
    <col min="504" max="504" width="4.109375" style="282" bestFit="1" customWidth="1"/>
    <col min="505" max="505" width="9.5546875" style="282" bestFit="1" customWidth="1"/>
    <col min="506" max="506" width="6.6640625" style="282" bestFit="1" customWidth="1"/>
    <col min="507" max="507" width="7" style="282" bestFit="1" customWidth="1"/>
    <col min="508" max="508" width="8.88671875" style="282"/>
    <col min="509" max="509" width="0" style="282" hidden="1" customWidth="1"/>
    <col min="510" max="517" width="6.33203125" style="282" customWidth="1"/>
    <col min="518" max="518" width="4.77734375" style="282" customWidth="1"/>
    <col min="519" max="519" width="8.88671875" style="282"/>
    <col min="520" max="520" width="13.109375" style="282" bestFit="1" customWidth="1"/>
    <col min="521" max="523" width="8.88671875" style="282"/>
    <col min="524" max="524" width="11.77734375" style="282" customWidth="1"/>
    <col min="525" max="759" width="8.88671875" style="282"/>
    <col min="760" max="760" width="4.109375" style="282" bestFit="1" customWidth="1"/>
    <col min="761" max="761" width="9.5546875" style="282" bestFit="1" customWidth="1"/>
    <col min="762" max="762" width="6.6640625" style="282" bestFit="1" customWidth="1"/>
    <col min="763" max="763" width="7" style="282" bestFit="1" customWidth="1"/>
    <col min="764" max="764" width="8.88671875" style="282"/>
    <col min="765" max="765" width="0" style="282" hidden="1" customWidth="1"/>
    <col min="766" max="773" width="6.33203125" style="282" customWidth="1"/>
    <col min="774" max="774" width="4.77734375" style="282" customWidth="1"/>
    <col min="775" max="775" width="8.88671875" style="282"/>
    <col min="776" max="776" width="13.109375" style="282" bestFit="1" customWidth="1"/>
    <col min="777" max="779" width="8.88671875" style="282"/>
    <col min="780" max="780" width="11.77734375" style="282" customWidth="1"/>
    <col min="781" max="1015" width="8.88671875" style="282"/>
    <col min="1016" max="1016" width="4.109375" style="282" bestFit="1" customWidth="1"/>
    <col min="1017" max="1017" width="9.5546875" style="282" bestFit="1" customWidth="1"/>
    <col min="1018" max="1018" width="6.6640625" style="282" bestFit="1" customWidth="1"/>
    <col min="1019" max="1019" width="7" style="282" bestFit="1" customWidth="1"/>
    <col min="1020" max="1020" width="8.88671875" style="282"/>
    <col min="1021" max="1021" width="0" style="282" hidden="1" customWidth="1"/>
    <col min="1022" max="1029" width="6.33203125" style="282" customWidth="1"/>
    <col min="1030" max="1030" width="4.77734375" style="282" customWidth="1"/>
    <col min="1031" max="1031" width="8.88671875" style="282"/>
    <col min="1032" max="1032" width="13.109375" style="282" bestFit="1" customWidth="1"/>
    <col min="1033" max="1035" width="8.88671875" style="282"/>
    <col min="1036" max="1036" width="11.77734375" style="282" customWidth="1"/>
    <col min="1037" max="1271" width="8.88671875" style="282"/>
    <col min="1272" max="1272" width="4.109375" style="282" bestFit="1" customWidth="1"/>
    <col min="1273" max="1273" width="9.5546875" style="282" bestFit="1" customWidth="1"/>
    <col min="1274" max="1274" width="6.6640625" style="282" bestFit="1" customWidth="1"/>
    <col min="1275" max="1275" width="7" style="282" bestFit="1" customWidth="1"/>
    <col min="1276" max="1276" width="8.88671875" style="282"/>
    <col min="1277" max="1277" width="0" style="282" hidden="1" customWidth="1"/>
    <col min="1278" max="1285" width="6.33203125" style="282" customWidth="1"/>
    <col min="1286" max="1286" width="4.77734375" style="282" customWidth="1"/>
    <col min="1287" max="1287" width="8.88671875" style="282"/>
    <col min="1288" max="1288" width="13.109375" style="282" bestFit="1" customWidth="1"/>
    <col min="1289" max="1291" width="8.88671875" style="282"/>
    <col min="1292" max="1292" width="11.77734375" style="282" customWidth="1"/>
    <col min="1293" max="1527" width="8.88671875" style="282"/>
    <col min="1528" max="1528" width="4.109375" style="282" bestFit="1" customWidth="1"/>
    <col min="1529" max="1529" width="9.5546875" style="282" bestFit="1" customWidth="1"/>
    <col min="1530" max="1530" width="6.6640625" style="282" bestFit="1" customWidth="1"/>
    <col min="1531" max="1531" width="7" style="282" bestFit="1" customWidth="1"/>
    <col min="1532" max="1532" width="8.88671875" style="282"/>
    <col min="1533" max="1533" width="0" style="282" hidden="1" customWidth="1"/>
    <col min="1534" max="1541" width="6.33203125" style="282" customWidth="1"/>
    <col min="1542" max="1542" width="4.77734375" style="282" customWidth="1"/>
    <col min="1543" max="1543" width="8.88671875" style="282"/>
    <col min="1544" max="1544" width="13.109375" style="282" bestFit="1" customWidth="1"/>
    <col min="1545" max="1547" width="8.88671875" style="282"/>
    <col min="1548" max="1548" width="11.77734375" style="282" customWidth="1"/>
    <col min="1549" max="1783" width="8.88671875" style="282"/>
    <col min="1784" max="1784" width="4.109375" style="282" bestFit="1" customWidth="1"/>
    <col min="1785" max="1785" width="9.5546875" style="282" bestFit="1" customWidth="1"/>
    <col min="1786" max="1786" width="6.6640625" style="282" bestFit="1" customWidth="1"/>
    <col min="1787" max="1787" width="7" style="282" bestFit="1" customWidth="1"/>
    <col min="1788" max="1788" width="8.88671875" style="282"/>
    <col min="1789" max="1789" width="0" style="282" hidden="1" customWidth="1"/>
    <col min="1790" max="1797" width="6.33203125" style="282" customWidth="1"/>
    <col min="1798" max="1798" width="4.77734375" style="282" customWidth="1"/>
    <col min="1799" max="1799" width="8.88671875" style="282"/>
    <col min="1800" max="1800" width="13.109375" style="282" bestFit="1" customWidth="1"/>
    <col min="1801" max="1803" width="8.88671875" style="282"/>
    <col min="1804" max="1804" width="11.77734375" style="282" customWidth="1"/>
    <col min="1805" max="2039" width="8.88671875" style="282"/>
    <col min="2040" max="2040" width="4.109375" style="282" bestFit="1" customWidth="1"/>
    <col min="2041" max="2041" width="9.5546875" style="282" bestFit="1" customWidth="1"/>
    <col min="2042" max="2042" width="6.6640625" style="282" bestFit="1" customWidth="1"/>
    <col min="2043" max="2043" width="7" style="282" bestFit="1" customWidth="1"/>
    <col min="2044" max="2044" width="8.88671875" style="282"/>
    <col min="2045" max="2045" width="0" style="282" hidden="1" customWidth="1"/>
    <col min="2046" max="2053" width="6.33203125" style="282" customWidth="1"/>
    <col min="2054" max="2054" width="4.77734375" style="282" customWidth="1"/>
    <col min="2055" max="2055" width="8.88671875" style="282"/>
    <col min="2056" max="2056" width="13.109375" style="282" bestFit="1" customWidth="1"/>
    <col min="2057" max="2059" width="8.88671875" style="282"/>
    <col min="2060" max="2060" width="11.77734375" style="282" customWidth="1"/>
    <col min="2061" max="2295" width="8.88671875" style="282"/>
    <col min="2296" max="2296" width="4.109375" style="282" bestFit="1" customWidth="1"/>
    <col min="2297" max="2297" width="9.5546875" style="282" bestFit="1" customWidth="1"/>
    <col min="2298" max="2298" width="6.6640625" style="282" bestFit="1" customWidth="1"/>
    <col min="2299" max="2299" width="7" style="282" bestFit="1" customWidth="1"/>
    <col min="2300" max="2300" width="8.88671875" style="282"/>
    <col min="2301" max="2301" width="0" style="282" hidden="1" customWidth="1"/>
    <col min="2302" max="2309" width="6.33203125" style="282" customWidth="1"/>
    <col min="2310" max="2310" width="4.77734375" style="282" customWidth="1"/>
    <col min="2311" max="2311" width="8.88671875" style="282"/>
    <col min="2312" max="2312" width="13.109375" style="282" bestFit="1" customWidth="1"/>
    <col min="2313" max="2315" width="8.88671875" style="282"/>
    <col min="2316" max="2316" width="11.77734375" style="282" customWidth="1"/>
    <col min="2317" max="2551" width="8.88671875" style="282"/>
    <col min="2552" max="2552" width="4.109375" style="282" bestFit="1" customWidth="1"/>
    <col min="2553" max="2553" width="9.5546875" style="282" bestFit="1" customWidth="1"/>
    <col min="2554" max="2554" width="6.6640625" style="282" bestFit="1" customWidth="1"/>
    <col min="2555" max="2555" width="7" style="282" bestFit="1" customWidth="1"/>
    <col min="2556" max="2556" width="8.88671875" style="282"/>
    <col min="2557" max="2557" width="0" style="282" hidden="1" customWidth="1"/>
    <col min="2558" max="2565" width="6.33203125" style="282" customWidth="1"/>
    <col min="2566" max="2566" width="4.77734375" style="282" customWidth="1"/>
    <col min="2567" max="2567" width="8.88671875" style="282"/>
    <col min="2568" max="2568" width="13.109375" style="282" bestFit="1" customWidth="1"/>
    <col min="2569" max="2571" width="8.88671875" style="282"/>
    <col min="2572" max="2572" width="11.77734375" style="282" customWidth="1"/>
    <col min="2573" max="2807" width="8.88671875" style="282"/>
    <col min="2808" max="2808" width="4.109375" style="282" bestFit="1" customWidth="1"/>
    <col min="2809" max="2809" width="9.5546875" style="282" bestFit="1" customWidth="1"/>
    <col min="2810" max="2810" width="6.6640625" style="282" bestFit="1" customWidth="1"/>
    <col min="2811" max="2811" width="7" style="282" bestFit="1" customWidth="1"/>
    <col min="2812" max="2812" width="8.88671875" style="282"/>
    <col min="2813" max="2813" width="0" style="282" hidden="1" customWidth="1"/>
    <col min="2814" max="2821" width="6.33203125" style="282" customWidth="1"/>
    <col min="2822" max="2822" width="4.77734375" style="282" customWidth="1"/>
    <col min="2823" max="2823" width="8.88671875" style="282"/>
    <col min="2824" max="2824" width="13.109375" style="282" bestFit="1" customWidth="1"/>
    <col min="2825" max="2827" width="8.88671875" style="282"/>
    <col min="2828" max="2828" width="11.77734375" style="282" customWidth="1"/>
    <col min="2829" max="3063" width="8.88671875" style="282"/>
    <col min="3064" max="3064" width="4.109375" style="282" bestFit="1" customWidth="1"/>
    <col min="3065" max="3065" width="9.5546875" style="282" bestFit="1" customWidth="1"/>
    <col min="3066" max="3066" width="6.6640625" style="282" bestFit="1" customWidth="1"/>
    <col min="3067" max="3067" width="7" style="282" bestFit="1" customWidth="1"/>
    <col min="3068" max="3068" width="8.88671875" style="282"/>
    <col min="3069" max="3069" width="0" style="282" hidden="1" customWidth="1"/>
    <col min="3070" max="3077" width="6.33203125" style="282" customWidth="1"/>
    <col min="3078" max="3078" width="4.77734375" style="282" customWidth="1"/>
    <col min="3079" max="3079" width="8.88671875" style="282"/>
    <col min="3080" max="3080" width="13.109375" style="282" bestFit="1" customWidth="1"/>
    <col min="3081" max="3083" width="8.88671875" style="282"/>
    <col min="3084" max="3084" width="11.77734375" style="282" customWidth="1"/>
    <col min="3085" max="3319" width="8.88671875" style="282"/>
    <col min="3320" max="3320" width="4.109375" style="282" bestFit="1" customWidth="1"/>
    <col min="3321" max="3321" width="9.5546875" style="282" bestFit="1" customWidth="1"/>
    <col min="3322" max="3322" width="6.6640625" style="282" bestFit="1" customWidth="1"/>
    <col min="3323" max="3323" width="7" style="282" bestFit="1" customWidth="1"/>
    <col min="3324" max="3324" width="8.88671875" style="282"/>
    <col min="3325" max="3325" width="0" style="282" hidden="1" customWidth="1"/>
    <col min="3326" max="3333" width="6.33203125" style="282" customWidth="1"/>
    <col min="3334" max="3334" width="4.77734375" style="282" customWidth="1"/>
    <col min="3335" max="3335" width="8.88671875" style="282"/>
    <col min="3336" max="3336" width="13.109375" style="282" bestFit="1" customWidth="1"/>
    <col min="3337" max="3339" width="8.88671875" style="282"/>
    <col min="3340" max="3340" width="11.77734375" style="282" customWidth="1"/>
    <col min="3341" max="3575" width="8.88671875" style="282"/>
    <col min="3576" max="3576" width="4.109375" style="282" bestFit="1" customWidth="1"/>
    <col min="3577" max="3577" width="9.5546875" style="282" bestFit="1" customWidth="1"/>
    <col min="3578" max="3578" width="6.6640625" style="282" bestFit="1" customWidth="1"/>
    <col min="3579" max="3579" width="7" style="282" bestFit="1" customWidth="1"/>
    <col min="3580" max="3580" width="8.88671875" style="282"/>
    <col min="3581" max="3581" width="0" style="282" hidden="1" customWidth="1"/>
    <col min="3582" max="3589" width="6.33203125" style="282" customWidth="1"/>
    <col min="3590" max="3590" width="4.77734375" style="282" customWidth="1"/>
    <col min="3591" max="3591" width="8.88671875" style="282"/>
    <col min="3592" max="3592" width="13.109375" style="282" bestFit="1" customWidth="1"/>
    <col min="3593" max="3595" width="8.88671875" style="282"/>
    <col min="3596" max="3596" width="11.77734375" style="282" customWidth="1"/>
    <col min="3597" max="3831" width="8.88671875" style="282"/>
    <col min="3832" max="3832" width="4.109375" style="282" bestFit="1" customWidth="1"/>
    <col min="3833" max="3833" width="9.5546875" style="282" bestFit="1" customWidth="1"/>
    <col min="3834" max="3834" width="6.6640625" style="282" bestFit="1" customWidth="1"/>
    <col min="3835" max="3835" width="7" style="282" bestFit="1" customWidth="1"/>
    <col min="3836" max="3836" width="8.88671875" style="282"/>
    <col min="3837" max="3837" width="0" style="282" hidden="1" customWidth="1"/>
    <col min="3838" max="3845" width="6.33203125" style="282" customWidth="1"/>
    <col min="3846" max="3846" width="4.77734375" style="282" customWidth="1"/>
    <col min="3847" max="3847" width="8.88671875" style="282"/>
    <col min="3848" max="3848" width="13.109375" style="282" bestFit="1" customWidth="1"/>
    <col min="3849" max="3851" width="8.88671875" style="282"/>
    <col min="3852" max="3852" width="11.77734375" style="282" customWidth="1"/>
    <col min="3853" max="4087" width="8.88671875" style="282"/>
    <col min="4088" max="4088" width="4.109375" style="282" bestFit="1" customWidth="1"/>
    <col min="4089" max="4089" width="9.5546875" style="282" bestFit="1" customWidth="1"/>
    <col min="4090" max="4090" width="6.6640625" style="282" bestFit="1" customWidth="1"/>
    <col min="4091" max="4091" width="7" style="282" bestFit="1" customWidth="1"/>
    <col min="4092" max="4092" width="8.88671875" style="282"/>
    <col min="4093" max="4093" width="0" style="282" hidden="1" customWidth="1"/>
    <col min="4094" max="4101" width="6.33203125" style="282" customWidth="1"/>
    <col min="4102" max="4102" width="4.77734375" style="282" customWidth="1"/>
    <col min="4103" max="4103" width="8.88671875" style="282"/>
    <col min="4104" max="4104" width="13.109375" style="282" bestFit="1" customWidth="1"/>
    <col min="4105" max="4107" width="8.88671875" style="282"/>
    <col min="4108" max="4108" width="11.77734375" style="282" customWidth="1"/>
    <col min="4109" max="4343" width="8.88671875" style="282"/>
    <col min="4344" max="4344" width="4.109375" style="282" bestFit="1" customWidth="1"/>
    <col min="4345" max="4345" width="9.5546875" style="282" bestFit="1" customWidth="1"/>
    <col min="4346" max="4346" width="6.6640625" style="282" bestFit="1" customWidth="1"/>
    <col min="4347" max="4347" width="7" style="282" bestFit="1" customWidth="1"/>
    <col min="4348" max="4348" width="8.88671875" style="282"/>
    <col min="4349" max="4349" width="0" style="282" hidden="1" customWidth="1"/>
    <col min="4350" max="4357" width="6.33203125" style="282" customWidth="1"/>
    <col min="4358" max="4358" width="4.77734375" style="282" customWidth="1"/>
    <col min="4359" max="4359" width="8.88671875" style="282"/>
    <col min="4360" max="4360" width="13.109375" style="282" bestFit="1" customWidth="1"/>
    <col min="4361" max="4363" width="8.88671875" style="282"/>
    <col min="4364" max="4364" width="11.77734375" style="282" customWidth="1"/>
    <col min="4365" max="4599" width="8.88671875" style="282"/>
    <col min="4600" max="4600" width="4.109375" style="282" bestFit="1" customWidth="1"/>
    <col min="4601" max="4601" width="9.5546875" style="282" bestFit="1" customWidth="1"/>
    <col min="4602" max="4602" width="6.6640625" style="282" bestFit="1" customWidth="1"/>
    <col min="4603" max="4603" width="7" style="282" bestFit="1" customWidth="1"/>
    <col min="4604" max="4604" width="8.88671875" style="282"/>
    <col min="4605" max="4605" width="0" style="282" hidden="1" customWidth="1"/>
    <col min="4606" max="4613" width="6.33203125" style="282" customWidth="1"/>
    <col min="4614" max="4614" width="4.77734375" style="282" customWidth="1"/>
    <col min="4615" max="4615" width="8.88671875" style="282"/>
    <col min="4616" max="4616" width="13.109375" style="282" bestFit="1" customWidth="1"/>
    <col min="4617" max="4619" width="8.88671875" style="282"/>
    <col min="4620" max="4620" width="11.77734375" style="282" customWidth="1"/>
    <col min="4621" max="4855" width="8.88671875" style="282"/>
    <col min="4856" max="4856" width="4.109375" style="282" bestFit="1" customWidth="1"/>
    <col min="4857" max="4857" width="9.5546875" style="282" bestFit="1" customWidth="1"/>
    <col min="4858" max="4858" width="6.6640625" style="282" bestFit="1" customWidth="1"/>
    <col min="4859" max="4859" width="7" style="282" bestFit="1" customWidth="1"/>
    <col min="4860" max="4860" width="8.88671875" style="282"/>
    <col min="4861" max="4861" width="0" style="282" hidden="1" customWidth="1"/>
    <col min="4862" max="4869" width="6.33203125" style="282" customWidth="1"/>
    <col min="4870" max="4870" width="4.77734375" style="282" customWidth="1"/>
    <col min="4871" max="4871" width="8.88671875" style="282"/>
    <col min="4872" max="4872" width="13.109375" style="282" bestFit="1" customWidth="1"/>
    <col min="4873" max="4875" width="8.88671875" style="282"/>
    <col min="4876" max="4876" width="11.77734375" style="282" customWidth="1"/>
    <col min="4877" max="5111" width="8.88671875" style="282"/>
    <col min="5112" max="5112" width="4.109375" style="282" bestFit="1" customWidth="1"/>
    <col min="5113" max="5113" width="9.5546875" style="282" bestFit="1" customWidth="1"/>
    <col min="5114" max="5114" width="6.6640625" style="282" bestFit="1" customWidth="1"/>
    <col min="5115" max="5115" width="7" style="282" bestFit="1" customWidth="1"/>
    <col min="5116" max="5116" width="8.88671875" style="282"/>
    <col min="5117" max="5117" width="0" style="282" hidden="1" customWidth="1"/>
    <col min="5118" max="5125" width="6.33203125" style="282" customWidth="1"/>
    <col min="5126" max="5126" width="4.77734375" style="282" customWidth="1"/>
    <col min="5127" max="5127" width="8.88671875" style="282"/>
    <col min="5128" max="5128" width="13.109375" style="282" bestFit="1" customWidth="1"/>
    <col min="5129" max="5131" width="8.88671875" style="282"/>
    <col min="5132" max="5132" width="11.77734375" style="282" customWidth="1"/>
    <col min="5133" max="5367" width="8.88671875" style="282"/>
    <col min="5368" max="5368" width="4.109375" style="282" bestFit="1" customWidth="1"/>
    <col min="5369" max="5369" width="9.5546875" style="282" bestFit="1" customWidth="1"/>
    <col min="5370" max="5370" width="6.6640625" style="282" bestFit="1" customWidth="1"/>
    <col min="5371" max="5371" width="7" style="282" bestFit="1" customWidth="1"/>
    <col min="5372" max="5372" width="8.88671875" style="282"/>
    <col min="5373" max="5373" width="0" style="282" hidden="1" customWidth="1"/>
    <col min="5374" max="5381" width="6.33203125" style="282" customWidth="1"/>
    <col min="5382" max="5382" width="4.77734375" style="282" customWidth="1"/>
    <col min="5383" max="5383" width="8.88671875" style="282"/>
    <col min="5384" max="5384" width="13.109375" style="282" bestFit="1" customWidth="1"/>
    <col min="5385" max="5387" width="8.88671875" style="282"/>
    <col min="5388" max="5388" width="11.77734375" style="282" customWidth="1"/>
    <col min="5389" max="5623" width="8.88671875" style="282"/>
    <col min="5624" max="5624" width="4.109375" style="282" bestFit="1" customWidth="1"/>
    <col min="5625" max="5625" width="9.5546875" style="282" bestFit="1" customWidth="1"/>
    <col min="5626" max="5626" width="6.6640625" style="282" bestFit="1" customWidth="1"/>
    <col min="5627" max="5627" width="7" style="282" bestFit="1" customWidth="1"/>
    <col min="5628" max="5628" width="8.88671875" style="282"/>
    <col min="5629" max="5629" width="0" style="282" hidden="1" customWidth="1"/>
    <col min="5630" max="5637" width="6.33203125" style="282" customWidth="1"/>
    <col min="5638" max="5638" width="4.77734375" style="282" customWidth="1"/>
    <col min="5639" max="5639" width="8.88671875" style="282"/>
    <col min="5640" max="5640" width="13.109375" style="282" bestFit="1" customWidth="1"/>
    <col min="5641" max="5643" width="8.88671875" style="282"/>
    <col min="5644" max="5644" width="11.77734375" style="282" customWidth="1"/>
    <col min="5645" max="5879" width="8.88671875" style="282"/>
    <col min="5880" max="5880" width="4.109375" style="282" bestFit="1" customWidth="1"/>
    <col min="5881" max="5881" width="9.5546875" style="282" bestFit="1" customWidth="1"/>
    <col min="5882" max="5882" width="6.6640625" style="282" bestFit="1" customWidth="1"/>
    <col min="5883" max="5883" width="7" style="282" bestFit="1" customWidth="1"/>
    <col min="5884" max="5884" width="8.88671875" style="282"/>
    <col min="5885" max="5885" width="0" style="282" hidden="1" customWidth="1"/>
    <col min="5886" max="5893" width="6.33203125" style="282" customWidth="1"/>
    <col min="5894" max="5894" width="4.77734375" style="282" customWidth="1"/>
    <col min="5895" max="5895" width="8.88671875" style="282"/>
    <col min="5896" max="5896" width="13.109375" style="282" bestFit="1" customWidth="1"/>
    <col min="5897" max="5899" width="8.88671875" style="282"/>
    <col min="5900" max="5900" width="11.77734375" style="282" customWidth="1"/>
    <col min="5901" max="6135" width="8.88671875" style="282"/>
    <col min="6136" max="6136" width="4.109375" style="282" bestFit="1" customWidth="1"/>
    <col min="6137" max="6137" width="9.5546875" style="282" bestFit="1" customWidth="1"/>
    <col min="6138" max="6138" width="6.6640625" style="282" bestFit="1" customWidth="1"/>
    <col min="6139" max="6139" width="7" style="282" bestFit="1" customWidth="1"/>
    <col min="6140" max="6140" width="8.88671875" style="282"/>
    <col min="6141" max="6141" width="0" style="282" hidden="1" customWidth="1"/>
    <col min="6142" max="6149" width="6.33203125" style="282" customWidth="1"/>
    <col min="6150" max="6150" width="4.77734375" style="282" customWidth="1"/>
    <col min="6151" max="6151" width="8.88671875" style="282"/>
    <col min="6152" max="6152" width="13.109375" style="282" bestFit="1" customWidth="1"/>
    <col min="6153" max="6155" width="8.88671875" style="282"/>
    <col min="6156" max="6156" width="11.77734375" style="282" customWidth="1"/>
    <col min="6157" max="6391" width="8.88671875" style="282"/>
    <col min="6392" max="6392" width="4.109375" style="282" bestFit="1" customWidth="1"/>
    <col min="6393" max="6393" width="9.5546875" style="282" bestFit="1" customWidth="1"/>
    <col min="6394" max="6394" width="6.6640625" style="282" bestFit="1" customWidth="1"/>
    <col min="6395" max="6395" width="7" style="282" bestFit="1" customWidth="1"/>
    <col min="6396" max="6396" width="8.88671875" style="282"/>
    <col min="6397" max="6397" width="0" style="282" hidden="1" customWidth="1"/>
    <col min="6398" max="6405" width="6.33203125" style="282" customWidth="1"/>
    <col min="6406" max="6406" width="4.77734375" style="282" customWidth="1"/>
    <col min="6407" max="6407" width="8.88671875" style="282"/>
    <col min="6408" max="6408" width="13.109375" style="282" bestFit="1" customWidth="1"/>
    <col min="6409" max="6411" width="8.88671875" style="282"/>
    <col min="6412" max="6412" width="11.77734375" style="282" customWidth="1"/>
    <col min="6413" max="6647" width="8.88671875" style="282"/>
    <col min="6648" max="6648" width="4.109375" style="282" bestFit="1" customWidth="1"/>
    <col min="6649" max="6649" width="9.5546875" style="282" bestFit="1" customWidth="1"/>
    <col min="6650" max="6650" width="6.6640625" style="282" bestFit="1" customWidth="1"/>
    <col min="6651" max="6651" width="7" style="282" bestFit="1" customWidth="1"/>
    <col min="6652" max="6652" width="8.88671875" style="282"/>
    <col min="6653" max="6653" width="0" style="282" hidden="1" customWidth="1"/>
    <col min="6654" max="6661" width="6.33203125" style="282" customWidth="1"/>
    <col min="6662" max="6662" width="4.77734375" style="282" customWidth="1"/>
    <col min="6663" max="6663" width="8.88671875" style="282"/>
    <col min="6664" max="6664" width="13.109375" style="282" bestFit="1" customWidth="1"/>
    <col min="6665" max="6667" width="8.88671875" style="282"/>
    <col min="6668" max="6668" width="11.77734375" style="282" customWidth="1"/>
    <col min="6669" max="6903" width="8.88671875" style="282"/>
    <col min="6904" max="6904" width="4.109375" style="282" bestFit="1" customWidth="1"/>
    <col min="6905" max="6905" width="9.5546875" style="282" bestFit="1" customWidth="1"/>
    <col min="6906" max="6906" width="6.6640625" style="282" bestFit="1" customWidth="1"/>
    <col min="6907" max="6907" width="7" style="282" bestFit="1" customWidth="1"/>
    <col min="6908" max="6908" width="8.88671875" style="282"/>
    <col min="6909" max="6909" width="0" style="282" hidden="1" customWidth="1"/>
    <col min="6910" max="6917" width="6.33203125" style="282" customWidth="1"/>
    <col min="6918" max="6918" width="4.77734375" style="282" customWidth="1"/>
    <col min="6919" max="6919" width="8.88671875" style="282"/>
    <col min="6920" max="6920" width="13.109375" style="282" bestFit="1" customWidth="1"/>
    <col min="6921" max="6923" width="8.88671875" style="282"/>
    <col min="6924" max="6924" width="11.77734375" style="282" customWidth="1"/>
    <col min="6925" max="7159" width="8.88671875" style="282"/>
    <col min="7160" max="7160" width="4.109375" style="282" bestFit="1" customWidth="1"/>
    <col min="7161" max="7161" width="9.5546875" style="282" bestFit="1" customWidth="1"/>
    <col min="7162" max="7162" width="6.6640625" style="282" bestFit="1" customWidth="1"/>
    <col min="7163" max="7163" width="7" style="282" bestFit="1" customWidth="1"/>
    <col min="7164" max="7164" width="8.88671875" style="282"/>
    <col min="7165" max="7165" width="0" style="282" hidden="1" customWidth="1"/>
    <col min="7166" max="7173" width="6.33203125" style="282" customWidth="1"/>
    <col min="7174" max="7174" width="4.77734375" style="282" customWidth="1"/>
    <col min="7175" max="7175" width="8.88671875" style="282"/>
    <col min="7176" max="7176" width="13.109375" style="282" bestFit="1" customWidth="1"/>
    <col min="7177" max="7179" width="8.88671875" style="282"/>
    <col min="7180" max="7180" width="11.77734375" style="282" customWidth="1"/>
    <col min="7181" max="7415" width="8.88671875" style="282"/>
    <col min="7416" max="7416" width="4.109375" style="282" bestFit="1" customWidth="1"/>
    <col min="7417" max="7417" width="9.5546875" style="282" bestFit="1" customWidth="1"/>
    <col min="7418" max="7418" width="6.6640625" style="282" bestFit="1" customWidth="1"/>
    <col min="7419" max="7419" width="7" style="282" bestFit="1" customWidth="1"/>
    <col min="7420" max="7420" width="8.88671875" style="282"/>
    <col min="7421" max="7421" width="0" style="282" hidden="1" customWidth="1"/>
    <col min="7422" max="7429" width="6.33203125" style="282" customWidth="1"/>
    <col min="7430" max="7430" width="4.77734375" style="282" customWidth="1"/>
    <col min="7431" max="7431" width="8.88671875" style="282"/>
    <col min="7432" max="7432" width="13.109375" style="282" bestFit="1" customWidth="1"/>
    <col min="7433" max="7435" width="8.88671875" style="282"/>
    <col min="7436" max="7436" width="11.77734375" style="282" customWidth="1"/>
    <col min="7437" max="7671" width="8.88671875" style="282"/>
    <col min="7672" max="7672" width="4.109375" style="282" bestFit="1" customWidth="1"/>
    <col min="7673" max="7673" width="9.5546875" style="282" bestFit="1" customWidth="1"/>
    <col min="7674" max="7674" width="6.6640625" style="282" bestFit="1" customWidth="1"/>
    <col min="7675" max="7675" width="7" style="282" bestFit="1" customWidth="1"/>
    <col min="7676" max="7676" width="8.88671875" style="282"/>
    <col min="7677" max="7677" width="0" style="282" hidden="1" customWidth="1"/>
    <col min="7678" max="7685" width="6.33203125" style="282" customWidth="1"/>
    <col min="7686" max="7686" width="4.77734375" style="282" customWidth="1"/>
    <col min="7687" max="7687" width="8.88671875" style="282"/>
    <col min="7688" max="7688" width="13.109375" style="282" bestFit="1" customWidth="1"/>
    <col min="7689" max="7691" width="8.88671875" style="282"/>
    <col min="7692" max="7692" width="11.77734375" style="282" customWidth="1"/>
    <col min="7693" max="7927" width="8.88671875" style="282"/>
    <col min="7928" max="7928" width="4.109375" style="282" bestFit="1" customWidth="1"/>
    <col min="7929" max="7929" width="9.5546875" style="282" bestFit="1" customWidth="1"/>
    <col min="7930" max="7930" width="6.6640625" style="282" bestFit="1" customWidth="1"/>
    <col min="7931" max="7931" width="7" style="282" bestFit="1" customWidth="1"/>
    <col min="7932" max="7932" width="8.88671875" style="282"/>
    <col min="7933" max="7933" width="0" style="282" hidden="1" customWidth="1"/>
    <col min="7934" max="7941" width="6.33203125" style="282" customWidth="1"/>
    <col min="7942" max="7942" width="4.77734375" style="282" customWidth="1"/>
    <col min="7943" max="7943" width="8.88671875" style="282"/>
    <col min="7944" max="7944" width="13.109375" style="282" bestFit="1" customWidth="1"/>
    <col min="7945" max="7947" width="8.88671875" style="282"/>
    <col min="7948" max="7948" width="11.77734375" style="282" customWidth="1"/>
    <col min="7949" max="8183" width="8.88671875" style="282"/>
    <col min="8184" max="8184" width="4.109375" style="282" bestFit="1" customWidth="1"/>
    <col min="8185" max="8185" width="9.5546875" style="282" bestFit="1" customWidth="1"/>
    <col min="8186" max="8186" width="6.6640625" style="282" bestFit="1" customWidth="1"/>
    <col min="8187" max="8187" width="7" style="282" bestFit="1" customWidth="1"/>
    <col min="8188" max="8188" width="8.88671875" style="282"/>
    <col min="8189" max="8189" width="0" style="282" hidden="1" customWidth="1"/>
    <col min="8190" max="8197" width="6.33203125" style="282" customWidth="1"/>
    <col min="8198" max="8198" width="4.77734375" style="282" customWidth="1"/>
    <col min="8199" max="8199" width="8.88671875" style="282"/>
    <col min="8200" max="8200" width="13.109375" style="282" bestFit="1" customWidth="1"/>
    <col min="8201" max="8203" width="8.88671875" style="282"/>
    <col min="8204" max="8204" width="11.77734375" style="282" customWidth="1"/>
    <col min="8205" max="8439" width="8.88671875" style="282"/>
    <col min="8440" max="8440" width="4.109375" style="282" bestFit="1" customWidth="1"/>
    <col min="8441" max="8441" width="9.5546875" style="282" bestFit="1" customWidth="1"/>
    <col min="8442" max="8442" width="6.6640625" style="282" bestFit="1" customWidth="1"/>
    <col min="8443" max="8443" width="7" style="282" bestFit="1" customWidth="1"/>
    <col min="8444" max="8444" width="8.88671875" style="282"/>
    <col min="8445" max="8445" width="0" style="282" hidden="1" customWidth="1"/>
    <col min="8446" max="8453" width="6.33203125" style="282" customWidth="1"/>
    <col min="8454" max="8454" width="4.77734375" style="282" customWidth="1"/>
    <col min="8455" max="8455" width="8.88671875" style="282"/>
    <col min="8456" max="8456" width="13.109375" style="282" bestFit="1" customWidth="1"/>
    <col min="8457" max="8459" width="8.88671875" style="282"/>
    <col min="8460" max="8460" width="11.77734375" style="282" customWidth="1"/>
    <col min="8461" max="8695" width="8.88671875" style="282"/>
    <col min="8696" max="8696" width="4.109375" style="282" bestFit="1" customWidth="1"/>
    <col min="8697" max="8697" width="9.5546875" style="282" bestFit="1" customWidth="1"/>
    <col min="8698" max="8698" width="6.6640625" style="282" bestFit="1" customWidth="1"/>
    <col min="8699" max="8699" width="7" style="282" bestFit="1" customWidth="1"/>
    <col min="8700" max="8700" width="8.88671875" style="282"/>
    <col min="8701" max="8701" width="0" style="282" hidden="1" customWidth="1"/>
    <col min="8702" max="8709" width="6.33203125" style="282" customWidth="1"/>
    <col min="8710" max="8710" width="4.77734375" style="282" customWidth="1"/>
    <col min="8711" max="8711" width="8.88671875" style="282"/>
    <col min="8712" max="8712" width="13.109375" style="282" bestFit="1" customWidth="1"/>
    <col min="8713" max="8715" width="8.88671875" style="282"/>
    <col min="8716" max="8716" width="11.77734375" style="282" customWidth="1"/>
    <col min="8717" max="8951" width="8.88671875" style="282"/>
    <col min="8952" max="8952" width="4.109375" style="282" bestFit="1" customWidth="1"/>
    <col min="8953" max="8953" width="9.5546875" style="282" bestFit="1" customWidth="1"/>
    <col min="8954" max="8954" width="6.6640625" style="282" bestFit="1" customWidth="1"/>
    <col min="8955" max="8955" width="7" style="282" bestFit="1" customWidth="1"/>
    <col min="8956" max="8956" width="8.88671875" style="282"/>
    <col min="8957" max="8957" width="0" style="282" hidden="1" customWidth="1"/>
    <col min="8958" max="8965" width="6.33203125" style="282" customWidth="1"/>
    <col min="8966" max="8966" width="4.77734375" style="282" customWidth="1"/>
    <col min="8967" max="8967" width="8.88671875" style="282"/>
    <col min="8968" max="8968" width="13.109375" style="282" bestFit="1" customWidth="1"/>
    <col min="8969" max="8971" width="8.88671875" style="282"/>
    <col min="8972" max="8972" width="11.77734375" style="282" customWidth="1"/>
    <col min="8973" max="9207" width="8.88671875" style="282"/>
    <col min="9208" max="9208" width="4.109375" style="282" bestFit="1" customWidth="1"/>
    <col min="9209" max="9209" width="9.5546875" style="282" bestFit="1" customWidth="1"/>
    <col min="9210" max="9210" width="6.6640625" style="282" bestFit="1" customWidth="1"/>
    <col min="9211" max="9211" width="7" style="282" bestFit="1" customWidth="1"/>
    <col min="9212" max="9212" width="8.88671875" style="282"/>
    <col min="9213" max="9213" width="0" style="282" hidden="1" customWidth="1"/>
    <col min="9214" max="9221" width="6.33203125" style="282" customWidth="1"/>
    <col min="9222" max="9222" width="4.77734375" style="282" customWidth="1"/>
    <col min="9223" max="9223" width="8.88671875" style="282"/>
    <col min="9224" max="9224" width="13.109375" style="282" bestFit="1" customWidth="1"/>
    <col min="9225" max="9227" width="8.88671875" style="282"/>
    <col min="9228" max="9228" width="11.77734375" style="282" customWidth="1"/>
    <col min="9229" max="9463" width="8.88671875" style="282"/>
    <col min="9464" max="9464" width="4.109375" style="282" bestFit="1" customWidth="1"/>
    <col min="9465" max="9465" width="9.5546875" style="282" bestFit="1" customWidth="1"/>
    <col min="9466" max="9466" width="6.6640625" style="282" bestFit="1" customWidth="1"/>
    <col min="9467" max="9467" width="7" style="282" bestFit="1" customWidth="1"/>
    <col min="9468" max="9468" width="8.88671875" style="282"/>
    <col min="9469" max="9469" width="0" style="282" hidden="1" customWidth="1"/>
    <col min="9470" max="9477" width="6.33203125" style="282" customWidth="1"/>
    <col min="9478" max="9478" width="4.77734375" style="282" customWidth="1"/>
    <col min="9479" max="9479" width="8.88671875" style="282"/>
    <col min="9480" max="9480" width="13.109375" style="282" bestFit="1" customWidth="1"/>
    <col min="9481" max="9483" width="8.88671875" style="282"/>
    <col min="9484" max="9484" width="11.77734375" style="282" customWidth="1"/>
    <col min="9485" max="9719" width="8.88671875" style="282"/>
    <col min="9720" max="9720" width="4.109375" style="282" bestFit="1" customWidth="1"/>
    <col min="9721" max="9721" width="9.5546875" style="282" bestFit="1" customWidth="1"/>
    <col min="9722" max="9722" width="6.6640625" style="282" bestFit="1" customWidth="1"/>
    <col min="9723" max="9723" width="7" style="282" bestFit="1" customWidth="1"/>
    <col min="9724" max="9724" width="8.88671875" style="282"/>
    <col min="9725" max="9725" width="0" style="282" hidden="1" customWidth="1"/>
    <col min="9726" max="9733" width="6.33203125" style="282" customWidth="1"/>
    <col min="9734" max="9734" width="4.77734375" style="282" customWidth="1"/>
    <col min="9735" max="9735" width="8.88671875" style="282"/>
    <col min="9736" max="9736" width="13.109375" style="282" bestFit="1" customWidth="1"/>
    <col min="9737" max="9739" width="8.88671875" style="282"/>
    <col min="9740" max="9740" width="11.77734375" style="282" customWidth="1"/>
    <col min="9741" max="9975" width="8.88671875" style="282"/>
    <col min="9976" max="9976" width="4.109375" style="282" bestFit="1" customWidth="1"/>
    <col min="9977" max="9977" width="9.5546875" style="282" bestFit="1" customWidth="1"/>
    <col min="9978" max="9978" width="6.6640625" style="282" bestFit="1" customWidth="1"/>
    <col min="9979" max="9979" width="7" style="282" bestFit="1" customWidth="1"/>
    <col min="9980" max="9980" width="8.88671875" style="282"/>
    <col min="9981" max="9981" width="0" style="282" hidden="1" customWidth="1"/>
    <col min="9982" max="9989" width="6.33203125" style="282" customWidth="1"/>
    <col min="9990" max="9990" width="4.77734375" style="282" customWidth="1"/>
    <col min="9991" max="9991" width="8.88671875" style="282"/>
    <col min="9992" max="9992" width="13.109375" style="282" bestFit="1" customWidth="1"/>
    <col min="9993" max="9995" width="8.88671875" style="282"/>
    <col min="9996" max="9996" width="11.77734375" style="282" customWidth="1"/>
    <col min="9997" max="10231" width="8.88671875" style="282"/>
    <col min="10232" max="10232" width="4.109375" style="282" bestFit="1" customWidth="1"/>
    <col min="10233" max="10233" width="9.5546875" style="282" bestFit="1" customWidth="1"/>
    <col min="10234" max="10234" width="6.6640625" style="282" bestFit="1" customWidth="1"/>
    <col min="10235" max="10235" width="7" style="282" bestFit="1" customWidth="1"/>
    <col min="10236" max="10236" width="8.88671875" style="282"/>
    <col min="10237" max="10237" width="0" style="282" hidden="1" customWidth="1"/>
    <col min="10238" max="10245" width="6.33203125" style="282" customWidth="1"/>
    <col min="10246" max="10246" width="4.77734375" style="282" customWidth="1"/>
    <col min="10247" max="10247" width="8.88671875" style="282"/>
    <col min="10248" max="10248" width="13.109375" style="282" bestFit="1" customWidth="1"/>
    <col min="10249" max="10251" width="8.88671875" style="282"/>
    <col min="10252" max="10252" width="11.77734375" style="282" customWidth="1"/>
    <col min="10253" max="10487" width="8.88671875" style="282"/>
    <col min="10488" max="10488" width="4.109375" style="282" bestFit="1" customWidth="1"/>
    <col min="10489" max="10489" width="9.5546875" style="282" bestFit="1" customWidth="1"/>
    <col min="10490" max="10490" width="6.6640625" style="282" bestFit="1" customWidth="1"/>
    <col min="10491" max="10491" width="7" style="282" bestFit="1" customWidth="1"/>
    <col min="10492" max="10492" width="8.88671875" style="282"/>
    <col min="10493" max="10493" width="0" style="282" hidden="1" customWidth="1"/>
    <col min="10494" max="10501" width="6.33203125" style="282" customWidth="1"/>
    <col min="10502" max="10502" width="4.77734375" style="282" customWidth="1"/>
    <col min="10503" max="10503" width="8.88671875" style="282"/>
    <col min="10504" max="10504" width="13.109375" style="282" bestFit="1" customWidth="1"/>
    <col min="10505" max="10507" width="8.88671875" style="282"/>
    <col min="10508" max="10508" width="11.77734375" style="282" customWidth="1"/>
    <col min="10509" max="10743" width="8.88671875" style="282"/>
    <col min="10744" max="10744" width="4.109375" style="282" bestFit="1" customWidth="1"/>
    <col min="10745" max="10745" width="9.5546875" style="282" bestFit="1" customWidth="1"/>
    <col min="10746" max="10746" width="6.6640625" style="282" bestFit="1" customWidth="1"/>
    <col min="10747" max="10747" width="7" style="282" bestFit="1" customWidth="1"/>
    <col min="10748" max="10748" width="8.88671875" style="282"/>
    <col min="10749" max="10749" width="0" style="282" hidden="1" customWidth="1"/>
    <col min="10750" max="10757" width="6.33203125" style="282" customWidth="1"/>
    <col min="10758" max="10758" width="4.77734375" style="282" customWidth="1"/>
    <col min="10759" max="10759" width="8.88671875" style="282"/>
    <col min="10760" max="10760" width="13.109375" style="282" bestFit="1" customWidth="1"/>
    <col min="10761" max="10763" width="8.88671875" style="282"/>
    <col min="10764" max="10764" width="11.77734375" style="282" customWidth="1"/>
    <col min="10765" max="10999" width="8.88671875" style="282"/>
    <col min="11000" max="11000" width="4.109375" style="282" bestFit="1" customWidth="1"/>
    <col min="11001" max="11001" width="9.5546875" style="282" bestFit="1" customWidth="1"/>
    <col min="11002" max="11002" width="6.6640625" style="282" bestFit="1" customWidth="1"/>
    <col min="11003" max="11003" width="7" style="282" bestFit="1" customWidth="1"/>
    <col min="11004" max="11004" width="8.88671875" style="282"/>
    <col min="11005" max="11005" width="0" style="282" hidden="1" customWidth="1"/>
    <col min="11006" max="11013" width="6.33203125" style="282" customWidth="1"/>
    <col min="11014" max="11014" width="4.77734375" style="282" customWidth="1"/>
    <col min="11015" max="11015" width="8.88671875" style="282"/>
    <col min="11016" max="11016" width="13.109375" style="282" bestFit="1" customWidth="1"/>
    <col min="11017" max="11019" width="8.88671875" style="282"/>
    <col min="11020" max="11020" width="11.77734375" style="282" customWidth="1"/>
    <col min="11021" max="11255" width="8.88671875" style="282"/>
    <col min="11256" max="11256" width="4.109375" style="282" bestFit="1" customWidth="1"/>
    <col min="11257" max="11257" width="9.5546875" style="282" bestFit="1" customWidth="1"/>
    <col min="11258" max="11258" width="6.6640625" style="282" bestFit="1" customWidth="1"/>
    <col min="11259" max="11259" width="7" style="282" bestFit="1" customWidth="1"/>
    <col min="11260" max="11260" width="8.88671875" style="282"/>
    <col min="11261" max="11261" width="0" style="282" hidden="1" customWidth="1"/>
    <col min="11262" max="11269" width="6.33203125" style="282" customWidth="1"/>
    <col min="11270" max="11270" width="4.77734375" style="282" customWidth="1"/>
    <col min="11271" max="11271" width="8.88671875" style="282"/>
    <col min="11272" max="11272" width="13.109375" style="282" bestFit="1" customWidth="1"/>
    <col min="11273" max="11275" width="8.88671875" style="282"/>
    <col min="11276" max="11276" width="11.77734375" style="282" customWidth="1"/>
    <col min="11277" max="11511" width="8.88671875" style="282"/>
    <col min="11512" max="11512" width="4.109375" style="282" bestFit="1" customWidth="1"/>
    <col min="11513" max="11513" width="9.5546875" style="282" bestFit="1" customWidth="1"/>
    <col min="11514" max="11514" width="6.6640625" style="282" bestFit="1" customWidth="1"/>
    <col min="11515" max="11515" width="7" style="282" bestFit="1" customWidth="1"/>
    <col min="11516" max="11516" width="8.88671875" style="282"/>
    <col min="11517" max="11517" width="0" style="282" hidden="1" customWidth="1"/>
    <col min="11518" max="11525" width="6.33203125" style="282" customWidth="1"/>
    <col min="11526" max="11526" width="4.77734375" style="282" customWidth="1"/>
    <col min="11527" max="11527" width="8.88671875" style="282"/>
    <col min="11528" max="11528" width="13.109375" style="282" bestFit="1" customWidth="1"/>
    <col min="11529" max="11531" width="8.88671875" style="282"/>
    <col min="11532" max="11532" width="11.77734375" style="282" customWidth="1"/>
    <col min="11533" max="11767" width="8.88671875" style="282"/>
    <col min="11768" max="11768" width="4.109375" style="282" bestFit="1" customWidth="1"/>
    <col min="11769" max="11769" width="9.5546875" style="282" bestFit="1" customWidth="1"/>
    <col min="11770" max="11770" width="6.6640625" style="282" bestFit="1" customWidth="1"/>
    <col min="11771" max="11771" width="7" style="282" bestFit="1" customWidth="1"/>
    <col min="11772" max="11772" width="8.88671875" style="282"/>
    <col min="11773" max="11773" width="0" style="282" hidden="1" customWidth="1"/>
    <col min="11774" max="11781" width="6.33203125" style="282" customWidth="1"/>
    <col min="11782" max="11782" width="4.77734375" style="282" customWidth="1"/>
    <col min="11783" max="11783" width="8.88671875" style="282"/>
    <col min="11784" max="11784" width="13.109375" style="282" bestFit="1" customWidth="1"/>
    <col min="11785" max="11787" width="8.88671875" style="282"/>
    <col min="11788" max="11788" width="11.77734375" style="282" customWidth="1"/>
    <col min="11789" max="12023" width="8.88671875" style="282"/>
    <col min="12024" max="12024" width="4.109375" style="282" bestFit="1" customWidth="1"/>
    <col min="12025" max="12025" width="9.5546875" style="282" bestFit="1" customWidth="1"/>
    <col min="12026" max="12026" width="6.6640625" style="282" bestFit="1" customWidth="1"/>
    <col min="12027" max="12027" width="7" style="282" bestFit="1" customWidth="1"/>
    <col min="12028" max="12028" width="8.88671875" style="282"/>
    <col min="12029" max="12029" width="0" style="282" hidden="1" customWidth="1"/>
    <col min="12030" max="12037" width="6.33203125" style="282" customWidth="1"/>
    <col min="12038" max="12038" width="4.77734375" style="282" customWidth="1"/>
    <col min="12039" max="12039" width="8.88671875" style="282"/>
    <col min="12040" max="12040" width="13.109375" style="282" bestFit="1" customWidth="1"/>
    <col min="12041" max="12043" width="8.88671875" style="282"/>
    <col min="12044" max="12044" width="11.77734375" style="282" customWidth="1"/>
    <col min="12045" max="12279" width="8.88671875" style="282"/>
    <col min="12280" max="12280" width="4.109375" style="282" bestFit="1" customWidth="1"/>
    <col min="12281" max="12281" width="9.5546875" style="282" bestFit="1" customWidth="1"/>
    <col min="12282" max="12282" width="6.6640625" style="282" bestFit="1" customWidth="1"/>
    <col min="12283" max="12283" width="7" style="282" bestFit="1" customWidth="1"/>
    <col min="12284" max="12284" width="8.88671875" style="282"/>
    <col min="12285" max="12285" width="0" style="282" hidden="1" customWidth="1"/>
    <col min="12286" max="12293" width="6.33203125" style="282" customWidth="1"/>
    <col min="12294" max="12294" width="4.77734375" style="282" customWidth="1"/>
    <col min="12295" max="12295" width="8.88671875" style="282"/>
    <col min="12296" max="12296" width="13.109375" style="282" bestFit="1" customWidth="1"/>
    <col min="12297" max="12299" width="8.88671875" style="282"/>
    <col min="12300" max="12300" width="11.77734375" style="282" customWidth="1"/>
    <col min="12301" max="12535" width="8.88671875" style="282"/>
    <col min="12536" max="12536" width="4.109375" style="282" bestFit="1" customWidth="1"/>
    <col min="12537" max="12537" width="9.5546875" style="282" bestFit="1" customWidth="1"/>
    <col min="12538" max="12538" width="6.6640625" style="282" bestFit="1" customWidth="1"/>
    <col min="12539" max="12539" width="7" style="282" bestFit="1" customWidth="1"/>
    <col min="12540" max="12540" width="8.88671875" style="282"/>
    <col min="12541" max="12541" width="0" style="282" hidden="1" customWidth="1"/>
    <col min="12542" max="12549" width="6.33203125" style="282" customWidth="1"/>
    <col min="12550" max="12550" width="4.77734375" style="282" customWidth="1"/>
    <col min="12551" max="12551" width="8.88671875" style="282"/>
    <col min="12552" max="12552" width="13.109375" style="282" bestFit="1" customWidth="1"/>
    <col min="12553" max="12555" width="8.88671875" style="282"/>
    <col min="12556" max="12556" width="11.77734375" style="282" customWidth="1"/>
    <col min="12557" max="12791" width="8.88671875" style="282"/>
    <col min="12792" max="12792" width="4.109375" style="282" bestFit="1" customWidth="1"/>
    <col min="12793" max="12793" width="9.5546875" style="282" bestFit="1" customWidth="1"/>
    <col min="12794" max="12794" width="6.6640625" style="282" bestFit="1" customWidth="1"/>
    <col min="12795" max="12795" width="7" style="282" bestFit="1" customWidth="1"/>
    <col min="12796" max="12796" width="8.88671875" style="282"/>
    <col min="12797" max="12797" width="0" style="282" hidden="1" customWidth="1"/>
    <col min="12798" max="12805" width="6.33203125" style="282" customWidth="1"/>
    <col min="12806" max="12806" width="4.77734375" style="282" customWidth="1"/>
    <col min="12807" max="12807" width="8.88671875" style="282"/>
    <col min="12808" max="12808" width="13.109375" style="282" bestFit="1" customWidth="1"/>
    <col min="12809" max="12811" width="8.88671875" style="282"/>
    <col min="12812" max="12812" width="11.77734375" style="282" customWidth="1"/>
    <col min="12813" max="13047" width="8.88671875" style="282"/>
    <col min="13048" max="13048" width="4.109375" style="282" bestFit="1" customWidth="1"/>
    <col min="13049" max="13049" width="9.5546875" style="282" bestFit="1" customWidth="1"/>
    <col min="13050" max="13050" width="6.6640625" style="282" bestFit="1" customWidth="1"/>
    <col min="13051" max="13051" width="7" style="282" bestFit="1" customWidth="1"/>
    <col min="13052" max="13052" width="8.88671875" style="282"/>
    <col min="13053" max="13053" width="0" style="282" hidden="1" customWidth="1"/>
    <col min="13054" max="13061" width="6.33203125" style="282" customWidth="1"/>
    <col min="13062" max="13062" width="4.77734375" style="282" customWidth="1"/>
    <col min="13063" max="13063" width="8.88671875" style="282"/>
    <col min="13064" max="13064" width="13.109375" style="282" bestFit="1" customWidth="1"/>
    <col min="13065" max="13067" width="8.88671875" style="282"/>
    <col min="13068" max="13068" width="11.77734375" style="282" customWidth="1"/>
    <col min="13069" max="13303" width="8.88671875" style="282"/>
    <col min="13304" max="13304" width="4.109375" style="282" bestFit="1" customWidth="1"/>
    <col min="13305" max="13305" width="9.5546875" style="282" bestFit="1" customWidth="1"/>
    <col min="13306" max="13306" width="6.6640625" style="282" bestFit="1" customWidth="1"/>
    <col min="13307" max="13307" width="7" style="282" bestFit="1" customWidth="1"/>
    <col min="13308" max="13308" width="8.88671875" style="282"/>
    <col min="13309" max="13309" width="0" style="282" hidden="1" customWidth="1"/>
    <col min="13310" max="13317" width="6.33203125" style="282" customWidth="1"/>
    <col min="13318" max="13318" width="4.77734375" style="282" customWidth="1"/>
    <col min="13319" max="13319" width="8.88671875" style="282"/>
    <col min="13320" max="13320" width="13.109375" style="282" bestFit="1" customWidth="1"/>
    <col min="13321" max="13323" width="8.88671875" style="282"/>
    <col min="13324" max="13324" width="11.77734375" style="282" customWidth="1"/>
    <col min="13325" max="13559" width="8.88671875" style="282"/>
    <col min="13560" max="13560" width="4.109375" style="282" bestFit="1" customWidth="1"/>
    <col min="13561" max="13561" width="9.5546875" style="282" bestFit="1" customWidth="1"/>
    <col min="13562" max="13562" width="6.6640625" style="282" bestFit="1" customWidth="1"/>
    <col min="13563" max="13563" width="7" style="282" bestFit="1" customWidth="1"/>
    <col min="13564" max="13564" width="8.88671875" style="282"/>
    <col min="13565" max="13565" width="0" style="282" hidden="1" customWidth="1"/>
    <col min="13566" max="13573" width="6.33203125" style="282" customWidth="1"/>
    <col min="13574" max="13574" width="4.77734375" style="282" customWidth="1"/>
    <col min="13575" max="13575" width="8.88671875" style="282"/>
    <col min="13576" max="13576" width="13.109375" style="282" bestFit="1" customWidth="1"/>
    <col min="13577" max="13579" width="8.88671875" style="282"/>
    <col min="13580" max="13580" width="11.77734375" style="282" customWidth="1"/>
    <col min="13581" max="13815" width="8.88671875" style="282"/>
    <col min="13816" max="13816" width="4.109375" style="282" bestFit="1" customWidth="1"/>
    <col min="13817" max="13817" width="9.5546875" style="282" bestFit="1" customWidth="1"/>
    <col min="13818" max="13818" width="6.6640625" style="282" bestFit="1" customWidth="1"/>
    <col min="13819" max="13819" width="7" style="282" bestFit="1" customWidth="1"/>
    <col min="13820" max="13820" width="8.88671875" style="282"/>
    <col min="13821" max="13821" width="0" style="282" hidden="1" customWidth="1"/>
    <col min="13822" max="13829" width="6.33203125" style="282" customWidth="1"/>
    <col min="13830" max="13830" width="4.77734375" style="282" customWidth="1"/>
    <col min="13831" max="13831" width="8.88671875" style="282"/>
    <col min="13832" max="13832" width="13.109375" style="282" bestFit="1" customWidth="1"/>
    <col min="13833" max="13835" width="8.88671875" style="282"/>
    <col min="13836" max="13836" width="11.77734375" style="282" customWidth="1"/>
    <col min="13837" max="14071" width="8.88671875" style="282"/>
    <col min="14072" max="14072" width="4.109375" style="282" bestFit="1" customWidth="1"/>
    <col min="14073" max="14073" width="9.5546875" style="282" bestFit="1" customWidth="1"/>
    <col min="14074" max="14074" width="6.6640625" style="282" bestFit="1" customWidth="1"/>
    <col min="14075" max="14075" width="7" style="282" bestFit="1" customWidth="1"/>
    <col min="14076" max="14076" width="8.88671875" style="282"/>
    <col min="14077" max="14077" width="0" style="282" hidden="1" customWidth="1"/>
    <col min="14078" max="14085" width="6.33203125" style="282" customWidth="1"/>
    <col min="14086" max="14086" width="4.77734375" style="282" customWidth="1"/>
    <col min="14087" max="14087" width="8.88671875" style="282"/>
    <col min="14088" max="14088" width="13.109375" style="282" bestFit="1" customWidth="1"/>
    <col min="14089" max="14091" width="8.88671875" style="282"/>
    <col min="14092" max="14092" width="11.77734375" style="282" customWidth="1"/>
    <col min="14093" max="14327" width="8.88671875" style="282"/>
    <col min="14328" max="14328" width="4.109375" style="282" bestFit="1" customWidth="1"/>
    <col min="14329" max="14329" width="9.5546875" style="282" bestFit="1" customWidth="1"/>
    <col min="14330" max="14330" width="6.6640625" style="282" bestFit="1" customWidth="1"/>
    <col min="14331" max="14331" width="7" style="282" bestFit="1" customWidth="1"/>
    <col min="14332" max="14332" width="8.88671875" style="282"/>
    <col min="14333" max="14333" width="0" style="282" hidden="1" customWidth="1"/>
    <col min="14334" max="14341" width="6.33203125" style="282" customWidth="1"/>
    <col min="14342" max="14342" width="4.77734375" style="282" customWidth="1"/>
    <col min="14343" max="14343" width="8.88671875" style="282"/>
    <col min="14344" max="14344" width="13.109375" style="282" bestFit="1" customWidth="1"/>
    <col min="14345" max="14347" width="8.88671875" style="282"/>
    <col min="14348" max="14348" width="11.77734375" style="282" customWidth="1"/>
    <col min="14349" max="14583" width="8.88671875" style="282"/>
    <col min="14584" max="14584" width="4.109375" style="282" bestFit="1" customWidth="1"/>
    <col min="14585" max="14585" width="9.5546875" style="282" bestFit="1" customWidth="1"/>
    <col min="14586" max="14586" width="6.6640625" style="282" bestFit="1" customWidth="1"/>
    <col min="14587" max="14587" width="7" style="282" bestFit="1" customWidth="1"/>
    <col min="14588" max="14588" width="8.88671875" style="282"/>
    <col min="14589" max="14589" width="0" style="282" hidden="1" customWidth="1"/>
    <col min="14590" max="14597" width="6.33203125" style="282" customWidth="1"/>
    <col min="14598" max="14598" width="4.77734375" style="282" customWidth="1"/>
    <col min="14599" max="14599" width="8.88671875" style="282"/>
    <col min="14600" max="14600" width="13.109375" style="282" bestFit="1" customWidth="1"/>
    <col min="14601" max="14603" width="8.88671875" style="282"/>
    <col min="14604" max="14604" width="11.77734375" style="282" customWidth="1"/>
    <col min="14605" max="14839" width="8.88671875" style="282"/>
    <col min="14840" max="14840" width="4.109375" style="282" bestFit="1" customWidth="1"/>
    <col min="14841" max="14841" width="9.5546875" style="282" bestFit="1" customWidth="1"/>
    <col min="14842" max="14842" width="6.6640625" style="282" bestFit="1" customWidth="1"/>
    <col min="14843" max="14843" width="7" style="282" bestFit="1" customWidth="1"/>
    <col min="14844" max="14844" width="8.88671875" style="282"/>
    <col min="14845" max="14845" width="0" style="282" hidden="1" customWidth="1"/>
    <col min="14846" max="14853" width="6.33203125" style="282" customWidth="1"/>
    <col min="14854" max="14854" width="4.77734375" style="282" customWidth="1"/>
    <col min="14855" max="14855" width="8.88671875" style="282"/>
    <col min="14856" max="14856" width="13.109375" style="282" bestFit="1" customWidth="1"/>
    <col min="14857" max="14859" width="8.88671875" style="282"/>
    <col min="14860" max="14860" width="11.77734375" style="282" customWidth="1"/>
    <col min="14861" max="15095" width="8.88671875" style="282"/>
    <col min="15096" max="15096" width="4.109375" style="282" bestFit="1" customWidth="1"/>
    <col min="15097" max="15097" width="9.5546875" style="282" bestFit="1" customWidth="1"/>
    <col min="15098" max="15098" width="6.6640625" style="282" bestFit="1" customWidth="1"/>
    <col min="15099" max="15099" width="7" style="282" bestFit="1" customWidth="1"/>
    <col min="15100" max="15100" width="8.88671875" style="282"/>
    <col min="15101" max="15101" width="0" style="282" hidden="1" customWidth="1"/>
    <col min="15102" max="15109" width="6.33203125" style="282" customWidth="1"/>
    <col min="15110" max="15110" width="4.77734375" style="282" customWidth="1"/>
    <col min="15111" max="15111" width="8.88671875" style="282"/>
    <col min="15112" max="15112" width="13.109375" style="282" bestFit="1" customWidth="1"/>
    <col min="15113" max="15115" width="8.88671875" style="282"/>
    <col min="15116" max="15116" width="11.77734375" style="282" customWidth="1"/>
    <col min="15117" max="15351" width="8.88671875" style="282"/>
    <col min="15352" max="15352" width="4.109375" style="282" bestFit="1" customWidth="1"/>
    <col min="15353" max="15353" width="9.5546875" style="282" bestFit="1" customWidth="1"/>
    <col min="15354" max="15354" width="6.6640625" style="282" bestFit="1" customWidth="1"/>
    <col min="15355" max="15355" width="7" style="282" bestFit="1" customWidth="1"/>
    <col min="15356" max="15356" width="8.88671875" style="282"/>
    <col min="15357" max="15357" width="0" style="282" hidden="1" customWidth="1"/>
    <col min="15358" max="15365" width="6.33203125" style="282" customWidth="1"/>
    <col min="15366" max="15366" width="4.77734375" style="282" customWidth="1"/>
    <col min="15367" max="15367" width="8.88671875" style="282"/>
    <col min="15368" max="15368" width="13.109375" style="282" bestFit="1" customWidth="1"/>
    <col min="15369" max="15371" width="8.88671875" style="282"/>
    <col min="15372" max="15372" width="11.77734375" style="282" customWidth="1"/>
    <col min="15373" max="15607" width="8.88671875" style="282"/>
    <col min="15608" max="15608" width="4.109375" style="282" bestFit="1" customWidth="1"/>
    <col min="15609" max="15609" width="9.5546875" style="282" bestFit="1" customWidth="1"/>
    <col min="15610" max="15610" width="6.6640625" style="282" bestFit="1" customWidth="1"/>
    <col min="15611" max="15611" width="7" style="282" bestFit="1" customWidth="1"/>
    <col min="15612" max="15612" width="8.88671875" style="282"/>
    <col min="15613" max="15613" width="0" style="282" hidden="1" customWidth="1"/>
    <col min="15614" max="15621" width="6.33203125" style="282" customWidth="1"/>
    <col min="15622" max="15622" width="4.77734375" style="282" customWidth="1"/>
    <col min="15623" max="15623" width="8.88671875" style="282"/>
    <col min="15624" max="15624" width="13.109375" style="282" bestFit="1" customWidth="1"/>
    <col min="15625" max="15627" width="8.88671875" style="282"/>
    <col min="15628" max="15628" width="11.77734375" style="282" customWidth="1"/>
    <col min="15629" max="15863" width="8.88671875" style="282"/>
    <col min="15864" max="15864" width="4.109375" style="282" bestFit="1" customWidth="1"/>
    <col min="15865" max="15865" width="9.5546875" style="282" bestFit="1" customWidth="1"/>
    <col min="15866" max="15866" width="6.6640625" style="282" bestFit="1" customWidth="1"/>
    <col min="15867" max="15867" width="7" style="282" bestFit="1" customWidth="1"/>
    <col min="15868" max="15868" width="8.88671875" style="282"/>
    <col min="15869" max="15869" width="0" style="282" hidden="1" customWidth="1"/>
    <col min="15870" max="15877" width="6.33203125" style="282" customWidth="1"/>
    <col min="15878" max="15878" width="4.77734375" style="282" customWidth="1"/>
    <col min="15879" max="15879" width="8.88671875" style="282"/>
    <col min="15880" max="15880" width="13.109375" style="282" bestFit="1" customWidth="1"/>
    <col min="15881" max="15883" width="8.88671875" style="282"/>
    <col min="15884" max="15884" width="11.77734375" style="282" customWidth="1"/>
    <col min="15885" max="16119" width="8.88671875" style="282"/>
    <col min="16120" max="16120" width="4.109375" style="282" bestFit="1" customWidth="1"/>
    <col min="16121" max="16121" width="9.5546875" style="282" bestFit="1" customWidth="1"/>
    <col min="16122" max="16122" width="6.6640625" style="282" bestFit="1" customWidth="1"/>
    <col min="16123" max="16123" width="7" style="282" bestFit="1" customWidth="1"/>
    <col min="16124" max="16124" width="8.88671875" style="282"/>
    <col min="16125" max="16125" width="0" style="282" hidden="1" customWidth="1"/>
    <col min="16126" max="16133" width="6.33203125" style="282" customWidth="1"/>
    <col min="16134" max="16134" width="4.77734375" style="282" customWidth="1"/>
    <col min="16135" max="16135" width="8.88671875" style="282"/>
    <col min="16136" max="16136" width="13.109375" style="282" bestFit="1" customWidth="1"/>
    <col min="16137" max="16139" width="8.88671875" style="282"/>
    <col min="16140" max="16140" width="11.77734375" style="282" customWidth="1"/>
    <col min="16141" max="16384" width="8.88671875" style="282"/>
  </cols>
  <sheetData>
    <row r="1" spans="1:19" ht="50.1" customHeight="1">
      <c r="A1" s="1389" t="s">
        <v>606</v>
      </c>
      <c r="B1" s="1389"/>
      <c r="C1" s="1389"/>
      <c r="D1" s="1389"/>
      <c r="E1" s="1389"/>
      <c r="F1" s="1389"/>
    </row>
    <row r="2" spans="1:19" s="283" customFormat="1" ht="35.1" customHeight="1">
      <c r="A2" s="1391" t="s">
        <v>342</v>
      </c>
      <c r="B2" s="1394" t="s">
        <v>31</v>
      </c>
      <c r="C2" s="1394" t="s">
        <v>343</v>
      </c>
      <c r="D2" s="1397" t="s">
        <v>344</v>
      </c>
      <c r="E2" s="1397" t="s">
        <v>607</v>
      </c>
      <c r="F2" s="1384" t="s">
        <v>355</v>
      </c>
      <c r="H2" s="284" t="s">
        <v>435</v>
      </c>
    </row>
    <row r="3" spans="1:19" s="283" customFormat="1" ht="35.1" customHeight="1">
      <c r="A3" s="1392"/>
      <c r="B3" s="1395"/>
      <c r="C3" s="1395"/>
      <c r="D3" s="1398"/>
      <c r="E3" s="1398"/>
      <c r="F3" s="1385"/>
      <c r="H3" s="284">
        <f>0.11</f>
        <v>0.11</v>
      </c>
    </row>
    <row r="4" spans="1:19" s="283" customFormat="1" ht="35.1" customHeight="1">
      <c r="A4" s="1393"/>
      <c r="B4" s="1396"/>
      <c r="C4" s="1396"/>
      <c r="D4" s="1399"/>
      <c r="E4" s="1399"/>
      <c r="F4" s="1386"/>
    </row>
    <row r="5" spans="1:19" ht="35.1" customHeight="1">
      <c r="A5" s="271"/>
      <c r="B5" s="444"/>
      <c r="C5" s="444"/>
      <c r="D5" s="444"/>
      <c r="E5" s="285">
        <f>D5-$H$3</f>
        <v>-0.11</v>
      </c>
      <c r="F5" s="293"/>
      <c r="G5" s="286"/>
      <c r="H5" s="287"/>
      <c r="I5" s="252"/>
      <c r="J5" s="396"/>
      <c r="K5" s="396"/>
      <c r="L5" s="283"/>
    </row>
    <row r="6" spans="1:19" ht="35.1" customHeight="1">
      <c r="A6" s="271"/>
      <c r="B6" s="444"/>
      <c r="C6" s="444"/>
      <c r="D6" s="444"/>
      <c r="E6" s="285">
        <f>D6-$H$3</f>
        <v>-0.11</v>
      </c>
      <c r="F6" s="293"/>
      <c r="G6" s="286"/>
      <c r="H6" s="287"/>
      <c r="I6" s="252"/>
      <c r="J6" s="396"/>
      <c r="K6" s="396"/>
      <c r="L6" s="283"/>
    </row>
    <row r="7" spans="1:19" ht="35.1" customHeight="1">
      <c r="A7" s="271"/>
      <c r="B7" s="444"/>
      <c r="C7" s="444"/>
      <c r="D7" s="444"/>
      <c r="E7" s="285">
        <f>D7-$H$3</f>
        <v>-0.11</v>
      </c>
      <c r="F7" s="293"/>
      <c r="G7" s="286"/>
      <c r="H7" s="287"/>
      <c r="I7" s="252"/>
      <c r="J7" s="396"/>
      <c r="K7" s="396"/>
      <c r="L7" s="283"/>
    </row>
    <row r="8" spans="1:19" ht="35.1" customHeight="1">
      <c r="A8" s="271"/>
      <c r="B8" s="444"/>
      <c r="C8" s="444"/>
      <c r="D8" s="444"/>
      <c r="E8" s="285">
        <f>D8-$H$3</f>
        <v>-0.11</v>
      </c>
      <c r="F8" s="293"/>
      <c r="G8" s="286"/>
      <c r="H8" s="287"/>
      <c r="I8" s="252"/>
      <c r="J8" s="396"/>
      <c r="K8" s="396"/>
      <c r="L8" s="283"/>
    </row>
    <row r="9" spans="1:19" s="283" customFormat="1" ht="35.1" customHeight="1">
      <c r="A9" s="1387" t="s">
        <v>351</v>
      </c>
      <c r="B9" s="1388"/>
      <c r="C9" s="445">
        <f>COUNT(A5:A8)</f>
        <v>0</v>
      </c>
      <c r="D9" s="446">
        <f>SUM(D5:D8)</f>
        <v>0</v>
      </c>
      <c r="E9" s="446"/>
      <c r="F9" s="288"/>
    </row>
    <row r="10" spans="1:19" s="283" customFormat="1" ht="35.1" customHeight="1">
      <c r="A10" s="1387" t="s">
        <v>352</v>
      </c>
      <c r="B10" s="1388"/>
      <c r="C10" s="439">
        <f>IFERROR(D9/C9,0)</f>
        <v>0</v>
      </c>
      <c r="D10" s="440"/>
      <c r="E10" s="440"/>
      <c r="F10" s="290"/>
      <c r="J10" s="282"/>
      <c r="K10" s="282"/>
      <c r="N10" s="282"/>
      <c r="O10" s="282"/>
      <c r="P10" s="282"/>
    </row>
    <row r="11" spans="1:19" ht="24" customHeight="1">
      <c r="A11" s="291"/>
      <c r="B11" s="291"/>
      <c r="C11" s="291"/>
      <c r="D11" s="292"/>
      <c r="E11" s="292"/>
      <c r="F11" s="291"/>
      <c r="I11" s="283"/>
      <c r="J11" s="283"/>
      <c r="K11" s="283"/>
      <c r="L11" s="294"/>
      <c r="M11" s="294"/>
      <c r="N11" s="283"/>
      <c r="O11" s="283"/>
      <c r="P11" s="283"/>
      <c r="Q11" s="283"/>
      <c r="R11" s="283"/>
      <c r="S11" s="283"/>
    </row>
    <row r="12" spans="1:19" ht="24" customHeight="1">
      <c r="A12" s="291"/>
      <c r="B12" s="291"/>
      <c r="C12" s="291"/>
      <c r="D12" s="292"/>
      <c r="E12" s="292"/>
      <c r="F12" s="291"/>
      <c r="I12" s="283"/>
      <c r="Q12" s="283"/>
      <c r="R12" s="283"/>
      <c r="S12" s="283"/>
    </row>
    <row r="13" spans="1:19" ht="24" customHeight="1">
      <c r="A13" s="291"/>
      <c r="B13" s="291"/>
      <c r="C13" s="291"/>
      <c r="D13" s="292"/>
      <c r="E13" s="292"/>
      <c r="F13" s="291"/>
      <c r="I13" s="283"/>
    </row>
    <row r="14" spans="1:19" ht="24" customHeight="1">
      <c r="A14" s="291"/>
      <c r="B14" s="291"/>
      <c r="C14" s="291"/>
      <c r="D14" s="292"/>
      <c r="E14" s="292"/>
      <c r="F14" s="291"/>
      <c r="I14" s="283"/>
    </row>
    <row r="15" spans="1:19" ht="24" customHeight="1">
      <c r="A15" s="291"/>
      <c r="B15" s="291"/>
      <c r="C15" s="291"/>
      <c r="D15" s="292"/>
      <c r="E15" s="292"/>
      <c r="F15" s="291"/>
      <c r="I15" s="283"/>
    </row>
    <row r="16" spans="1:19" ht="20.100000000000001" customHeight="1">
      <c r="A16" s="291"/>
      <c r="B16" s="291"/>
      <c r="C16" s="291"/>
      <c r="D16" s="292"/>
      <c r="E16" s="292"/>
      <c r="F16" s="291"/>
      <c r="I16" s="283"/>
    </row>
    <row r="17" spans="1:9" ht="30" customHeight="1">
      <c r="A17" s="291"/>
      <c r="B17" s="291"/>
      <c r="C17" s="291"/>
      <c r="D17" s="292"/>
      <c r="E17" s="292"/>
      <c r="F17" s="291"/>
      <c r="I17" s="283"/>
    </row>
    <row r="18" spans="1:9" ht="30" customHeight="1">
      <c r="A18" s="291"/>
      <c r="B18" s="291"/>
      <c r="C18" s="291"/>
      <c r="D18" s="292"/>
      <c r="E18" s="292"/>
      <c r="F18" s="291"/>
      <c r="I18" s="283"/>
    </row>
    <row r="19" spans="1:9" ht="30" customHeight="1">
      <c r="A19" s="291"/>
      <c r="B19" s="291"/>
      <c r="C19" s="291"/>
      <c r="D19" s="292"/>
      <c r="E19" s="292"/>
      <c r="F19" s="291"/>
      <c r="I19" s="283"/>
    </row>
    <row r="20" spans="1:9" ht="30" customHeight="1">
      <c r="A20" s="291"/>
      <c r="B20" s="291"/>
      <c r="C20" s="291"/>
      <c r="D20" s="292"/>
      <c r="E20" s="292"/>
      <c r="F20" s="291"/>
      <c r="I20" s="283"/>
    </row>
    <row r="21" spans="1:9" ht="30" customHeight="1">
      <c r="A21" s="291"/>
      <c r="B21" s="291"/>
      <c r="C21" s="291"/>
      <c r="D21" s="292"/>
      <c r="E21" s="292"/>
      <c r="F21" s="291"/>
      <c r="I21" s="283"/>
    </row>
    <row r="22" spans="1:9" ht="30" customHeight="1">
      <c r="A22" s="291"/>
      <c r="B22" s="291"/>
      <c r="C22" s="291"/>
      <c r="D22" s="292"/>
      <c r="E22" s="292"/>
      <c r="F22" s="291"/>
      <c r="I22" s="283"/>
    </row>
    <row r="23" spans="1:9" ht="30" customHeight="1">
      <c r="A23" s="291"/>
      <c r="B23" s="291"/>
      <c r="C23" s="291"/>
      <c r="D23" s="292"/>
      <c r="E23" s="292"/>
      <c r="F23" s="291"/>
      <c r="I23" s="283"/>
    </row>
    <row r="24" spans="1:9" ht="30" customHeight="1">
      <c r="A24" s="291"/>
      <c r="B24" s="291"/>
      <c r="C24" s="291"/>
      <c r="D24" s="292"/>
      <c r="E24" s="292"/>
      <c r="F24" s="291"/>
      <c r="I24" s="283"/>
    </row>
    <row r="25" spans="1:9" ht="30" customHeight="1">
      <c r="A25" s="291"/>
      <c r="B25" s="291"/>
      <c r="C25" s="291"/>
      <c r="D25" s="292"/>
      <c r="E25" s="292"/>
      <c r="F25" s="291"/>
      <c r="I25" s="283"/>
    </row>
    <row r="26" spans="1:9" ht="30" customHeight="1">
      <c r="A26" s="291"/>
      <c r="B26" s="291"/>
      <c r="D26" s="292"/>
      <c r="E26" s="292"/>
      <c r="F26" s="291"/>
      <c r="I26" s="283"/>
    </row>
    <row r="27" spans="1:9" ht="30" customHeight="1">
      <c r="A27" s="282"/>
      <c r="B27" s="282"/>
      <c r="I27" s="283"/>
    </row>
    <row r="28" spans="1:9" ht="30" customHeight="1">
      <c r="A28" s="282"/>
      <c r="B28" s="282"/>
      <c r="I28" s="283"/>
    </row>
    <row r="29" spans="1:9" ht="30" customHeight="1">
      <c r="A29" s="282"/>
      <c r="B29" s="282"/>
      <c r="I29" s="283"/>
    </row>
    <row r="30" spans="1:9" ht="30" customHeight="1">
      <c r="A30" s="282"/>
      <c r="B30" s="282"/>
      <c r="I30" s="283"/>
    </row>
    <row r="31" spans="1:9" ht="30" customHeight="1">
      <c r="A31" s="282"/>
      <c r="B31" s="282"/>
      <c r="I31" s="283"/>
    </row>
    <row r="32" spans="1:9" ht="30" customHeight="1">
      <c r="A32" s="282"/>
      <c r="B32" s="282"/>
      <c r="I32" s="283"/>
    </row>
    <row r="33" spans="1:9" ht="30" customHeight="1">
      <c r="A33" s="282"/>
      <c r="B33" s="282"/>
      <c r="I33" s="283"/>
    </row>
    <row r="34" spans="1:9" ht="30" customHeight="1">
      <c r="A34" s="282"/>
      <c r="B34" s="282"/>
      <c r="I34" s="283"/>
    </row>
    <row r="35" spans="1:9" ht="30" customHeight="1">
      <c r="A35" s="282"/>
      <c r="B35" s="282"/>
      <c r="I35" s="283"/>
    </row>
    <row r="36" spans="1:9" ht="30" customHeight="1">
      <c r="A36" s="282"/>
      <c r="B36" s="282"/>
      <c r="I36" s="283"/>
    </row>
    <row r="37" spans="1:9" ht="30" customHeight="1">
      <c r="A37" s="282"/>
      <c r="B37" s="282"/>
      <c r="I37" s="283"/>
    </row>
    <row r="38" spans="1:9" ht="30" customHeight="1">
      <c r="A38" s="282"/>
      <c r="B38" s="282"/>
      <c r="I38" s="283"/>
    </row>
    <row r="39" spans="1:9" ht="30" customHeight="1">
      <c r="A39" s="282"/>
      <c r="B39" s="282"/>
      <c r="I39" s="283"/>
    </row>
    <row r="40" spans="1:9" ht="30" customHeight="1">
      <c r="A40" s="282"/>
      <c r="B40" s="282"/>
      <c r="I40" s="283"/>
    </row>
    <row r="41" spans="1:9" ht="30" customHeight="1">
      <c r="A41" s="282"/>
      <c r="B41" s="282"/>
      <c r="I41" s="283"/>
    </row>
    <row r="42" spans="1:9" ht="30" customHeight="1">
      <c r="A42" s="282"/>
      <c r="B42" s="282"/>
      <c r="I42" s="283"/>
    </row>
    <row r="43" spans="1:9" ht="30" customHeight="1">
      <c r="A43" s="282"/>
      <c r="B43" s="282"/>
      <c r="I43" s="283"/>
    </row>
    <row r="44" spans="1:9" ht="30" customHeight="1">
      <c r="A44" s="282"/>
      <c r="B44" s="282"/>
      <c r="I44" s="283"/>
    </row>
    <row r="45" spans="1:9" ht="30" customHeight="1">
      <c r="A45" s="282"/>
      <c r="B45" s="282"/>
      <c r="I45" s="283"/>
    </row>
    <row r="46" spans="1:9" ht="30" customHeight="1">
      <c r="A46" s="282"/>
      <c r="B46" s="282"/>
      <c r="I46" s="283"/>
    </row>
    <row r="47" spans="1:9" ht="30" customHeight="1">
      <c r="A47" s="282"/>
      <c r="B47" s="282"/>
      <c r="I47" s="283"/>
    </row>
    <row r="48" spans="1:9" ht="30" customHeight="1">
      <c r="A48" s="282"/>
      <c r="B48" s="282"/>
      <c r="I48" s="283"/>
    </row>
    <row r="49" spans="1:19" ht="30" customHeight="1">
      <c r="A49" s="282"/>
      <c r="B49" s="282"/>
      <c r="I49" s="283"/>
      <c r="L49" s="283"/>
      <c r="M49" s="283"/>
    </row>
    <row r="50" spans="1:19" ht="30" customHeight="1">
      <c r="A50" s="282"/>
      <c r="B50" s="282"/>
      <c r="I50" s="283"/>
      <c r="L50" s="283"/>
      <c r="M50" s="283"/>
    </row>
    <row r="51" spans="1:19" ht="30" customHeight="1">
      <c r="A51" s="282"/>
      <c r="B51" s="282"/>
      <c r="I51" s="283"/>
      <c r="L51" s="283"/>
      <c r="M51" s="283"/>
    </row>
    <row r="52" spans="1:19" ht="30" customHeight="1">
      <c r="A52" s="282"/>
      <c r="B52" s="282"/>
      <c r="I52" s="283"/>
    </row>
    <row r="53" spans="1:19" ht="30" customHeight="1">
      <c r="A53" s="282"/>
      <c r="B53" s="282"/>
      <c r="I53" s="283"/>
    </row>
    <row r="54" spans="1:19" ht="30" customHeight="1">
      <c r="A54" s="282"/>
      <c r="B54" s="282"/>
      <c r="I54" s="283"/>
    </row>
    <row r="55" spans="1:19" ht="30" customHeight="1">
      <c r="A55" s="282"/>
      <c r="B55" s="282"/>
      <c r="I55" s="283"/>
    </row>
    <row r="56" spans="1:19" ht="30" customHeight="1">
      <c r="A56" s="282"/>
      <c r="B56" s="282"/>
      <c r="I56" s="283"/>
    </row>
    <row r="57" spans="1:19" ht="30" customHeight="1">
      <c r="A57" s="282"/>
      <c r="B57" s="282"/>
      <c r="I57" s="283"/>
    </row>
    <row r="58" spans="1:19" ht="30" customHeight="1">
      <c r="A58" s="282"/>
      <c r="B58" s="282"/>
      <c r="I58" s="283"/>
    </row>
    <row r="59" spans="1:19" ht="30" customHeight="1">
      <c r="A59" s="282"/>
      <c r="B59" s="282"/>
      <c r="I59" s="283"/>
    </row>
    <row r="60" spans="1:19" ht="30" customHeight="1">
      <c r="A60" s="282"/>
      <c r="B60" s="282"/>
      <c r="I60" s="283"/>
    </row>
    <row r="61" spans="1:19" ht="30" customHeight="1">
      <c r="A61" s="282"/>
      <c r="B61" s="282"/>
      <c r="I61" s="283"/>
      <c r="L61" s="283"/>
      <c r="M61" s="283"/>
      <c r="Q61" s="283"/>
      <c r="R61" s="283"/>
      <c r="S61" s="283"/>
    </row>
    <row r="62" spans="1:19" ht="30" customHeight="1">
      <c r="A62" s="282"/>
      <c r="B62" s="282"/>
      <c r="I62" s="283"/>
      <c r="L62" s="283"/>
      <c r="M62" s="283"/>
      <c r="Q62" s="283"/>
      <c r="R62" s="283"/>
      <c r="S62" s="283"/>
    </row>
    <row r="63" spans="1:19" ht="30" customHeight="1">
      <c r="A63" s="282"/>
      <c r="B63" s="282"/>
    </row>
    <row r="64" spans="1:19" ht="30" customHeight="1">
      <c r="A64" s="282"/>
      <c r="B64" s="282"/>
    </row>
    <row r="65" spans="1:2" ht="30" customHeight="1">
      <c r="A65" s="282"/>
      <c r="B65" s="282"/>
    </row>
    <row r="66" spans="1:2" ht="30" customHeight="1">
      <c r="A66" s="282"/>
      <c r="B66" s="282"/>
    </row>
    <row r="67" spans="1:2" ht="30" customHeight="1">
      <c r="A67" s="282"/>
      <c r="B67" s="282"/>
    </row>
    <row r="68" spans="1:2" ht="30" customHeight="1">
      <c r="A68" s="282"/>
      <c r="B68" s="282"/>
    </row>
    <row r="69" spans="1:2" ht="30" customHeight="1">
      <c r="A69" s="282"/>
      <c r="B69" s="282"/>
    </row>
    <row r="70" spans="1:2" ht="30" customHeight="1">
      <c r="A70" s="282"/>
      <c r="B70" s="282"/>
    </row>
    <row r="71" spans="1:2" ht="30" customHeight="1">
      <c r="A71" s="282"/>
      <c r="B71" s="282"/>
    </row>
    <row r="72" spans="1:2" ht="30" customHeight="1">
      <c r="A72" s="282"/>
      <c r="B72" s="282"/>
    </row>
    <row r="73" spans="1:2" ht="30" customHeight="1">
      <c r="A73" s="282"/>
      <c r="B73" s="282"/>
    </row>
    <row r="74" spans="1:2" ht="30" customHeight="1">
      <c r="A74" s="282"/>
      <c r="B74" s="282"/>
    </row>
    <row r="75" spans="1:2" ht="30" customHeight="1">
      <c r="A75" s="282"/>
      <c r="B75" s="282"/>
    </row>
    <row r="76" spans="1:2" ht="30" customHeight="1">
      <c r="A76" s="282"/>
      <c r="B76" s="282"/>
    </row>
    <row r="77" spans="1:2" ht="30" customHeight="1">
      <c r="A77" s="282"/>
      <c r="B77" s="282"/>
    </row>
    <row r="78" spans="1:2" ht="30" customHeight="1">
      <c r="A78" s="282"/>
      <c r="B78" s="282"/>
    </row>
    <row r="79" spans="1:2" ht="30" customHeight="1">
      <c r="A79" s="282"/>
      <c r="B79" s="282"/>
    </row>
    <row r="80" spans="1:2" ht="30" customHeight="1">
      <c r="A80" s="282"/>
      <c r="B80" s="282"/>
    </row>
    <row r="81" spans="1:2" ht="30" customHeight="1">
      <c r="A81" s="282"/>
      <c r="B81" s="282"/>
    </row>
    <row r="82" spans="1:2" ht="30" customHeight="1">
      <c r="A82" s="282"/>
      <c r="B82" s="282"/>
    </row>
    <row r="83" spans="1:2" ht="30" customHeight="1">
      <c r="A83" s="282"/>
      <c r="B83" s="282"/>
    </row>
    <row r="84" spans="1:2" ht="30" customHeight="1">
      <c r="A84" s="282"/>
      <c r="B84" s="282"/>
    </row>
    <row r="85" spans="1:2" ht="30" customHeight="1">
      <c r="A85" s="282"/>
      <c r="B85" s="282"/>
    </row>
    <row r="86" spans="1:2" ht="30" customHeight="1">
      <c r="A86" s="282"/>
      <c r="B86" s="282"/>
    </row>
    <row r="87" spans="1:2" ht="30" customHeight="1">
      <c r="A87" s="282"/>
      <c r="B87" s="282"/>
    </row>
    <row r="88" spans="1:2" ht="30" customHeight="1">
      <c r="A88" s="282"/>
      <c r="B88" s="282"/>
    </row>
    <row r="89" spans="1:2" ht="30" customHeight="1">
      <c r="A89" s="282"/>
      <c r="B89" s="282"/>
    </row>
    <row r="90" spans="1:2" ht="30" customHeight="1">
      <c r="A90" s="282"/>
      <c r="B90" s="282"/>
    </row>
    <row r="91" spans="1:2" ht="30" customHeight="1">
      <c r="A91" s="282"/>
      <c r="B91" s="282"/>
    </row>
    <row r="92" spans="1:2" ht="30" customHeight="1">
      <c r="A92" s="282"/>
      <c r="B92" s="282"/>
    </row>
    <row r="93" spans="1:2" ht="30" customHeight="1">
      <c r="A93" s="282"/>
      <c r="B93" s="282"/>
    </row>
    <row r="94" spans="1:2" ht="30" customHeight="1">
      <c r="A94" s="282"/>
      <c r="B94" s="282"/>
    </row>
    <row r="95" spans="1:2" ht="30" customHeight="1">
      <c r="A95" s="282"/>
      <c r="B95" s="282"/>
    </row>
    <row r="96" spans="1:2" ht="30" customHeight="1">
      <c r="A96" s="282"/>
      <c r="B96" s="282"/>
    </row>
  </sheetData>
  <mergeCells count="9">
    <mergeCell ref="F2:F4"/>
    <mergeCell ref="A9:B9"/>
    <mergeCell ref="A10:B10"/>
    <mergeCell ref="A1:F1"/>
    <mergeCell ref="A2:A4"/>
    <mergeCell ref="B2:B4"/>
    <mergeCell ref="C2:C4"/>
    <mergeCell ref="D2:D4"/>
    <mergeCell ref="E2:E4"/>
  </mergeCells>
  <phoneticPr fontId="13" type="noConversion"/>
  <printOptions horizontalCentered="1" gridLines="1"/>
  <pageMargins left="0.43307086614173229" right="0.31496062992125984" top="0.98425196850393704" bottom="0.78740157480314965" header="0.51181102362204722" footer="0.51181102362204722"/>
  <pageSetup paperSize="9" orientation="portrait" r:id="rId1"/>
  <headerFooter alignWithMargins="0">
    <oddHeader>&amp;C&amp;"돋움,굵게"&amp;14오수각형2호맨홀 수량산출근거-차도측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0000"/>
  </sheetPr>
  <dimension ref="A1:S96"/>
  <sheetViews>
    <sheetView workbookViewId="0">
      <selection sqref="A1:F1"/>
    </sheetView>
  </sheetViews>
  <sheetFormatPr defaultRowHeight="30" customHeight="1"/>
  <cols>
    <col min="1" max="1" width="4.109375" style="283" bestFit="1" customWidth="1"/>
    <col min="2" max="2" width="15.21875" style="283" customWidth="1"/>
    <col min="3" max="3" width="15.21875" style="282" customWidth="1"/>
    <col min="4" max="5" width="15.21875" style="287" customWidth="1"/>
    <col min="6" max="6" width="15.21875" style="282" customWidth="1"/>
    <col min="7" max="7" width="8.88671875" style="282"/>
    <col min="8" max="8" width="13.109375" style="282" bestFit="1" customWidth="1"/>
    <col min="9" max="11" width="8.88671875" style="282"/>
    <col min="12" max="12" width="11.77734375" style="282" customWidth="1"/>
    <col min="13" max="247" width="8.88671875" style="282"/>
    <col min="248" max="248" width="4.109375" style="282" bestFit="1" customWidth="1"/>
    <col min="249" max="249" width="9.5546875" style="282" bestFit="1" customWidth="1"/>
    <col min="250" max="250" width="6.6640625" style="282" bestFit="1" customWidth="1"/>
    <col min="251" max="251" width="7" style="282" bestFit="1" customWidth="1"/>
    <col min="252" max="252" width="8.88671875" style="282"/>
    <col min="253" max="253" width="0" style="282" hidden="1" customWidth="1"/>
    <col min="254" max="261" width="6.33203125" style="282" customWidth="1"/>
    <col min="262" max="262" width="4.77734375" style="282" customWidth="1"/>
    <col min="263" max="263" width="8.88671875" style="282"/>
    <col min="264" max="264" width="13.109375" style="282" bestFit="1" customWidth="1"/>
    <col min="265" max="267" width="8.88671875" style="282"/>
    <col min="268" max="268" width="11.77734375" style="282" customWidth="1"/>
    <col min="269" max="503" width="8.88671875" style="282"/>
    <col min="504" max="504" width="4.109375" style="282" bestFit="1" customWidth="1"/>
    <col min="505" max="505" width="9.5546875" style="282" bestFit="1" customWidth="1"/>
    <col min="506" max="506" width="6.6640625" style="282" bestFit="1" customWidth="1"/>
    <col min="507" max="507" width="7" style="282" bestFit="1" customWidth="1"/>
    <col min="508" max="508" width="8.88671875" style="282"/>
    <col min="509" max="509" width="0" style="282" hidden="1" customWidth="1"/>
    <col min="510" max="517" width="6.33203125" style="282" customWidth="1"/>
    <col min="518" max="518" width="4.77734375" style="282" customWidth="1"/>
    <col min="519" max="519" width="8.88671875" style="282"/>
    <col min="520" max="520" width="13.109375" style="282" bestFit="1" customWidth="1"/>
    <col min="521" max="523" width="8.88671875" style="282"/>
    <col min="524" max="524" width="11.77734375" style="282" customWidth="1"/>
    <col min="525" max="759" width="8.88671875" style="282"/>
    <col min="760" max="760" width="4.109375" style="282" bestFit="1" customWidth="1"/>
    <col min="761" max="761" width="9.5546875" style="282" bestFit="1" customWidth="1"/>
    <col min="762" max="762" width="6.6640625" style="282" bestFit="1" customWidth="1"/>
    <col min="763" max="763" width="7" style="282" bestFit="1" customWidth="1"/>
    <col min="764" max="764" width="8.88671875" style="282"/>
    <col min="765" max="765" width="0" style="282" hidden="1" customWidth="1"/>
    <col min="766" max="773" width="6.33203125" style="282" customWidth="1"/>
    <col min="774" max="774" width="4.77734375" style="282" customWidth="1"/>
    <col min="775" max="775" width="8.88671875" style="282"/>
    <col min="776" max="776" width="13.109375" style="282" bestFit="1" customWidth="1"/>
    <col min="777" max="779" width="8.88671875" style="282"/>
    <col min="780" max="780" width="11.77734375" style="282" customWidth="1"/>
    <col min="781" max="1015" width="8.88671875" style="282"/>
    <col min="1016" max="1016" width="4.109375" style="282" bestFit="1" customWidth="1"/>
    <col min="1017" max="1017" width="9.5546875" style="282" bestFit="1" customWidth="1"/>
    <col min="1018" max="1018" width="6.6640625" style="282" bestFit="1" customWidth="1"/>
    <col min="1019" max="1019" width="7" style="282" bestFit="1" customWidth="1"/>
    <col min="1020" max="1020" width="8.88671875" style="282"/>
    <col min="1021" max="1021" width="0" style="282" hidden="1" customWidth="1"/>
    <col min="1022" max="1029" width="6.33203125" style="282" customWidth="1"/>
    <col min="1030" max="1030" width="4.77734375" style="282" customWidth="1"/>
    <col min="1031" max="1031" width="8.88671875" style="282"/>
    <col min="1032" max="1032" width="13.109375" style="282" bestFit="1" customWidth="1"/>
    <col min="1033" max="1035" width="8.88671875" style="282"/>
    <col min="1036" max="1036" width="11.77734375" style="282" customWidth="1"/>
    <col min="1037" max="1271" width="8.88671875" style="282"/>
    <col min="1272" max="1272" width="4.109375" style="282" bestFit="1" customWidth="1"/>
    <col min="1273" max="1273" width="9.5546875" style="282" bestFit="1" customWidth="1"/>
    <col min="1274" max="1274" width="6.6640625" style="282" bestFit="1" customWidth="1"/>
    <col min="1275" max="1275" width="7" style="282" bestFit="1" customWidth="1"/>
    <col min="1276" max="1276" width="8.88671875" style="282"/>
    <col min="1277" max="1277" width="0" style="282" hidden="1" customWidth="1"/>
    <col min="1278" max="1285" width="6.33203125" style="282" customWidth="1"/>
    <col min="1286" max="1286" width="4.77734375" style="282" customWidth="1"/>
    <col min="1287" max="1287" width="8.88671875" style="282"/>
    <col min="1288" max="1288" width="13.109375" style="282" bestFit="1" customWidth="1"/>
    <col min="1289" max="1291" width="8.88671875" style="282"/>
    <col min="1292" max="1292" width="11.77734375" style="282" customWidth="1"/>
    <col min="1293" max="1527" width="8.88671875" style="282"/>
    <col min="1528" max="1528" width="4.109375" style="282" bestFit="1" customWidth="1"/>
    <col min="1529" max="1529" width="9.5546875" style="282" bestFit="1" customWidth="1"/>
    <col min="1530" max="1530" width="6.6640625" style="282" bestFit="1" customWidth="1"/>
    <col min="1531" max="1531" width="7" style="282" bestFit="1" customWidth="1"/>
    <col min="1532" max="1532" width="8.88671875" style="282"/>
    <col min="1533" max="1533" width="0" style="282" hidden="1" customWidth="1"/>
    <col min="1534" max="1541" width="6.33203125" style="282" customWidth="1"/>
    <col min="1542" max="1542" width="4.77734375" style="282" customWidth="1"/>
    <col min="1543" max="1543" width="8.88671875" style="282"/>
    <col min="1544" max="1544" width="13.109375" style="282" bestFit="1" customWidth="1"/>
    <col min="1545" max="1547" width="8.88671875" style="282"/>
    <col min="1548" max="1548" width="11.77734375" style="282" customWidth="1"/>
    <col min="1549" max="1783" width="8.88671875" style="282"/>
    <col min="1784" max="1784" width="4.109375" style="282" bestFit="1" customWidth="1"/>
    <col min="1785" max="1785" width="9.5546875" style="282" bestFit="1" customWidth="1"/>
    <col min="1786" max="1786" width="6.6640625" style="282" bestFit="1" customWidth="1"/>
    <col min="1787" max="1787" width="7" style="282" bestFit="1" customWidth="1"/>
    <col min="1788" max="1788" width="8.88671875" style="282"/>
    <col min="1789" max="1789" width="0" style="282" hidden="1" customWidth="1"/>
    <col min="1790" max="1797" width="6.33203125" style="282" customWidth="1"/>
    <col min="1798" max="1798" width="4.77734375" style="282" customWidth="1"/>
    <col min="1799" max="1799" width="8.88671875" style="282"/>
    <col min="1800" max="1800" width="13.109375" style="282" bestFit="1" customWidth="1"/>
    <col min="1801" max="1803" width="8.88671875" style="282"/>
    <col min="1804" max="1804" width="11.77734375" style="282" customWidth="1"/>
    <col min="1805" max="2039" width="8.88671875" style="282"/>
    <col min="2040" max="2040" width="4.109375" style="282" bestFit="1" customWidth="1"/>
    <col min="2041" max="2041" width="9.5546875" style="282" bestFit="1" customWidth="1"/>
    <col min="2042" max="2042" width="6.6640625" style="282" bestFit="1" customWidth="1"/>
    <col min="2043" max="2043" width="7" style="282" bestFit="1" customWidth="1"/>
    <col min="2044" max="2044" width="8.88671875" style="282"/>
    <col min="2045" max="2045" width="0" style="282" hidden="1" customWidth="1"/>
    <col min="2046" max="2053" width="6.33203125" style="282" customWidth="1"/>
    <col min="2054" max="2054" width="4.77734375" style="282" customWidth="1"/>
    <col min="2055" max="2055" width="8.88671875" style="282"/>
    <col min="2056" max="2056" width="13.109375" style="282" bestFit="1" customWidth="1"/>
    <col min="2057" max="2059" width="8.88671875" style="282"/>
    <col min="2060" max="2060" width="11.77734375" style="282" customWidth="1"/>
    <col min="2061" max="2295" width="8.88671875" style="282"/>
    <col min="2296" max="2296" width="4.109375" style="282" bestFit="1" customWidth="1"/>
    <col min="2297" max="2297" width="9.5546875" style="282" bestFit="1" customWidth="1"/>
    <col min="2298" max="2298" width="6.6640625" style="282" bestFit="1" customWidth="1"/>
    <col min="2299" max="2299" width="7" style="282" bestFit="1" customWidth="1"/>
    <col min="2300" max="2300" width="8.88671875" style="282"/>
    <col min="2301" max="2301" width="0" style="282" hidden="1" customWidth="1"/>
    <col min="2302" max="2309" width="6.33203125" style="282" customWidth="1"/>
    <col min="2310" max="2310" width="4.77734375" style="282" customWidth="1"/>
    <col min="2311" max="2311" width="8.88671875" style="282"/>
    <col min="2312" max="2312" width="13.109375" style="282" bestFit="1" customWidth="1"/>
    <col min="2313" max="2315" width="8.88671875" style="282"/>
    <col min="2316" max="2316" width="11.77734375" style="282" customWidth="1"/>
    <col min="2317" max="2551" width="8.88671875" style="282"/>
    <col min="2552" max="2552" width="4.109375" style="282" bestFit="1" customWidth="1"/>
    <col min="2553" max="2553" width="9.5546875" style="282" bestFit="1" customWidth="1"/>
    <col min="2554" max="2554" width="6.6640625" style="282" bestFit="1" customWidth="1"/>
    <col min="2555" max="2555" width="7" style="282" bestFit="1" customWidth="1"/>
    <col min="2556" max="2556" width="8.88671875" style="282"/>
    <col min="2557" max="2557" width="0" style="282" hidden="1" customWidth="1"/>
    <col min="2558" max="2565" width="6.33203125" style="282" customWidth="1"/>
    <col min="2566" max="2566" width="4.77734375" style="282" customWidth="1"/>
    <col min="2567" max="2567" width="8.88671875" style="282"/>
    <col min="2568" max="2568" width="13.109375" style="282" bestFit="1" customWidth="1"/>
    <col min="2569" max="2571" width="8.88671875" style="282"/>
    <col min="2572" max="2572" width="11.77734375" style="282" customWidth="1"/>
    <col min="2573" max="2807" width="8.88671875" style="282"/>
    <col min="2808" max="2808" width="4.109375" style="282" bestFit="1" customWidth="1"/>
    <col min="2809" max="2809" width="9.5546875" style="282" bestFit="1" customWidth="1"/>
    <col min="2810" max="2810" width="6.6640625" style="282" bestFit="1" customWidth="1"/>
    <col min="2811" max="2811" width="7" style="282" bestFit="1" customWidth="1"/>
    <col min="2812" max="2812" width="8.88671875" style="282"/>
    <col min="2813" max="2813" width="0" style="282" hidden="1" customWidth="1"/>
    <col min="2814" max="2821" width="6.33203125" style="282" customWidth="1"/>
    <col min="2822" max="2822" width="4.77734375" style="282" customWidth="1"/>
    <col min="2823" max="2823" width="8.88671875" style="282"/>
    <col min="2824" max="2824" width="13.109375" style="282" bestFit="1" customWidth="1"/>
    <col min="2825" max="2827" width="8.88671875" style="282"/>
    <col min="2828" max="2828" width="11.77734375" style="282" customWidth="1"/>
    <col min="2829" max="3063" width="8.88671875" style="282"/>
    <col min="3064" max="3064" width="4.109375" style="282" bestFit="1" customWidth="1"/>
    <col min="3065" max="3065" width="9.5546875" style="282" bestFit="1" customWidth="1"/>
    <col min="3066" max="3066" width="6.6640625" style="282" bestFit="1" customWidth="1"/>
    <col min="3067" max="3067" width="7" style="282" bestFit="1" customWidth="1"/>
    <col min="3068" max="3068" width="8.88671875" style="282"/>
    <col min="3069" max="3069" width="0" style="282" hidden="1" customWidth="1"/>
    <col min="3070" max="3077" width="6.33203125" style="282" customWidth="1"/>
    <col min="3078" max="3078" width="4.77734375" style="282" customWidth="1"/>
    <col min="3079" max="3079" width="8.88671875" style="282"/>
    <col min="3080" max="3080" width="13.109375" style="282" bestFit="1" customWidth="1"/>
    <col min="3081" max="3083" width="8.88671875" style="282"/>
    <col min="3084" max="3084" width="11.77734375" style="282" customWidth="1"/>
    <col min="3085" max="3319" width="8.88671875" style="282"/>
    <col min="3320" max="3320" width="4.109375" style="282" bestFit="1" customWidth="1"/>
    <col min="3321" max="3321" width="9.5546875" style="282" bestFit="1" customWidth="1"/>
    <col min="3322" max="3322" width="6.6640625" style="282" bestFit="1" customWidth="1"/>
    <col min="3323" max="3323" width="7" style="282" bestFit="1" customWidth="1"/>
    <col min="3324" max="3324" width="8.88671875" style="282"/>
    <col min="3325" max="3325" width="0" style="282" hidden="1" customWidth="1"/>
    <col min="3326" max="3333" width="6.33203125" style="282" customWidth="1"/>
    <col min="3334" max="3334" width="4.77734375" style="282" customWidth="1"/>
    <col min="3335" max="3335" width="8.88671875" style="282"/>
    <col min="3336" max="3336" width="13.109375" style="282" bestFit="1" customWidth="1"/>
    <col min="3337" max="3339" width="8.88671875" style="282"/>
    <col min="3340" max="3340" width="11.77734375" style="282" customWidth="1"/>
    <col min="3341" max="3575" width="8.88671875" style="282"/>
    <col min="3576" max="3576" width="4.109375" style="282" bestFit="1" customWidth="1"/>
    <col min="3577" max="3577" width="9.5546875" style="282" bestFit="1" customWidth="1"/>
    <col min="3578" max="3578" width="6.6640625" style="282" bestFit="1" customWidth="1"/>
    <col min="3579" max="3579" width="7" style="282" bestFit="1" customWidth="1"/>
    <col min="3580" max="3580" width="8.88671875" style="282"/>
    <col min="3581" max="3581" width="0" style="282" hidden="1" customWidth="1"/>
    <col min="3582" max="3589" width="6.33203125" style="282" customWidth="1"/>
    <col min="3590" max="3590" width="4.77734375" style="282" customWidth="1"/>
    <col min="3591" max="3591" width="8.88671875" style="282"/>
    <col min="3592" max="3592" width="13.109375" style="282" bestFit="1" customWidth="1"/>
    <col min="3593" max="3595" width="8.88671875" style="282"/>
    <col min="3596" max="3596" width="11.77734375" style="282" customWidth="1"/>
    <col min="3597" max="3831" width="8.88671875" style="282"/>
    <col min="3832" max="3832" width="4.109375" style="282" bestFit="1" customWidth="1"/>
    <col min="3833" max="3833" width="9.5546875" style="282" bestFit="1" customWidth="1"/>
    <col min="3834" max="3834" width="6.6640625" style="282" bestFit="1" customWidth="1"/>
    <col min="3835" max="3835" width="7" style="282" bestFit="1" customWidth="1"/>
    <col min="3836" max="3836" width="8.88671875" style="282"/>
    <col min="3837" max="3837" width="0" style="282" hidden="1" customWidth="1"/>
    <col min="3838" max="3845" width="6.33203125" style="282" customWidth="1"/>
    <col min="3846" max="3846" width="4.77734375" style="282" customWidth="1"/>
    <col min="3847" max="3847" width="8.88671875" style="282"/>
    <col min="3848" max="3848" width="13.109375" style="282" bestFit="1" customWidth="1"/>
    <col min="3849" max="3851" width="8.88671875" style="282"/>
    <col min="3852" max="3852" width="11.77734375" style="282" customWidth="1"/>
    <col min="3853" max="4087" width="8.88671875" style="282"/>
    <col min="4088" max="4088" width="4.109375" style="282" bestFit="1" customWidth="1"/>
    <col min="4089" max="4089" width="9.5546875" style="282" bestFit="1" customWidth="1"/>
    <col min="4090" max="4090" width="6.6640625" style="282" bestFit="1" customWidth="1"/>
    <col min="4091" max="4091" width="7" style="282" bestFit="1" customWidth="1"/>
    <col min="4092" max="4092" width="8.88671875" style="282"/>
    <col min="4093" max="4093" width="0" style="282" hidden="1" customWidth="1"/>
    <col min="4094" max="4101" width="6.33203125" style="282" customWidth="1"/>
    <col min="4102" max="4102" width="4.77734375" style="282" customWidth="1"/>
    <col min="4103" max="4103" width="8.88671875" style="282"/>
    <col min="4104" max="4104" width="13.109375" style="282" bestFit="1" customWidth="1"/>
    <col min="4105" max="4107" width="8.88671875" style="282"/>
    <col min="4108" max="4108" width="11.77734375" style="282" customWidth="1"/>
    <col min="4109" max="4343" width="8.88671875" style="282"/>
    <col min="4344" max="4344" width="4.109375" style="282" bestFit="1" customWidth="1"/>
    <col min="4345" max="4345" width="9.5546875" style="282" bestFit="1" customWidth="1"/>
    <col min="4346" max="4346" width="6.6640625" style="282" bestFit="1" customWidth="1"/>
    <col min="4347" max="4347" width="7" style="282" bestFit="1" customWidth="1"/>
    <col min="4348" max="4348" width="8.88671875" style="282"/>
    <col min="4349" max="4349" width="0" style="282" hidden="1" customWidth="1"/>
    <col min="4350" max="4357" width="6.33203125" style="282" customWidth="1"/>
    <col min="4358" max="4358" width="4.77734375" style="282" customWidth="1"/>
    <col min="4359" max="4359" width="8.88671875" style="282"/>
    <col min="4360" max="4360" width="13.109375" style="282" bestFit="1" customWidth="1"/>
    <col min="4361" max="4363" width="8.88671875" style="282"/>
    <col min="4364" max="4364" width="11.77734375" style="282" customWidth="1"/>
    <col min="4365" max="4599" width="8.88671875" style="282"/>
    <col min="4600" max="4600" width="4.109375" style="282" bestFit="1" customWidth="1"/>
    <col min="4601" max="4601" width="9.5546875" style="282" bestFit="1" customWidth="1"/>
    <col min="4602" max="4602" width="6.6640625" style="282" bestFit="1" customWidth="1"/>
    <col min="4603" max="4603" width="7" style="282" bestFit="1" customWidth="1"/>
    <col min="4604" max="4604" width="8.88671875" style="282"/>
    <col min="4605" max="4605" width="0" style="282" hidden="1" customWidth="1"/>
    <col min="4606" max="4613" width="6.33203125" style="282" customWidth="1"/>
    <col min="4614" max="4614" width="4.77734375" style="282" customWidth="1"/>
    <col min="4615" max="4615" width="8.88671875" style="282"/>
    <col min="4616" max="4616" width="13.109375" style="282" bestFit="1" customWidth="1"/>
    <col min="4617" max="4619" width="8.88671875" style="282"/>
    <col min="4620" max="4620" width="11.77734375" style="282" customWidth="1"/>
    <col min="4621" max="4855" width="8.88671875" style="282"/>
    <col min="4856" max="4856" width="4.109375" style="282" bestFit="1" customWidth="1"/>
    <col min="4857" max="4857" width="9.5546875" style="282" bestFit="1" customWidth="1"/>
    <col min="4858" max="4858" width="6.6640625" style="282" bestFit="1" customWidth="1"/>
    <col min="4859" max="4859" width="7" style="282" bestFit="1" customWidth="1"/>
    <col min="4860" max="4860" width="8.88671875" style="282"/>
    <col min="4861" max="4861" width="0" style="282" hidden="1" customWidth="1"/>
    <col min="4862" max="4869" width="6.33203125" style="282" customWidth="1"/>
    <col min="4870" max="4870" width="4.77734375" style="282" customWidth="1"/>
    <col min="4871" max="4871" width="8.88671875" style="282"/>
    <col min="4872" max="4872" width="13.109375" style="282" bestFit="1" customWidth="1"/>
    <col min="4873" max="4875" width="8.88671875" style="282"/>
    <col min="4876" max="4876" width="11.77734375" style="282" customWidth="1"/>
    <col min="4877" max="5111" width="8.88671875" style="282"/>
    <col min="5112" max="5112" width="4.109375" style="282" bestFit="1" customWidth="1"/>
    <col min="5113" max="5113" width="9.5546875" style="282" bestFit="1" customWidth="1"/>
    <col min="5114" max="5114" width="6.6640625" style="282" bestFit="1" customWidth="1"/>
    <col min="5115" max="5115" width="7" style="282" bestFit="1" customWidth="1"/>
    <col min="5116" max="5116" width="8.88671875" style="282"/>
    <col min="5117" max="5117" width="0" style="282" hidden="1" customWidth="1"/>
    <col min="5118" max="5125" width="6.33203125" style="282" customWidth="1"/>
    <col min="5126" max="5126" width="4.77734375" style="282" customWidth="1"/>
    <col min="5127" max="5127" width="8.88671875" style="282"/>
    <col min="5128" max="5128" width="13.109375" style="282" bestFit="1" customWidth="1"/>
    <col min="5129" max="5131" width="8.88671875" style="282"/>
    <col min="5132" max="5132" width="11.77734375" style="282" customWidth="1"/>
    <col min="5133" max="5367" width="8.88671875" style="282"/>
    <col min="5368" max="5368" width="4.109375" style="282" bestFit="1" customWidth="1"/>
    <col min="5369" max="5369" width="9.5546875" style="282" bestFit="1" customWidth="1"/>
    <col min="5370" max="5370" width="6.6640625" style="282" bestFit="1" customWidth="1"/>
    <col min="5371" max="5371" width="7" style="282" bestFit="1" customWidth="1"/>
    <col min="5372" max="5372" width="8.88671875" style="282"/>
    <col min="5373" max="5373" width="0" style="282" hidden="1" customWidth="1"/>
    <col min="5374" max="5381" width="6.33203125" style="282" customWidth="1"/>
    <col min="5382" max="5382" width="4.77734375" style="282" customWidth="1"/>
    <col min="5383" max="5383" width="8.88671875" style="282"/>
    <col min="5384" max="5384" width="13.109375" style="282" bestFit="1" customWidth="1"/>
    <col min="5385" max="5387" width="8.88671875" style="282"/>
    <col min="5388" max="5388" width="11.77734375" style="282" customWidth="1"/>
    <col min="5389" max="5623" width="8.88671875" style="282"/>
    <col min="5624" max="5624" width="4.109375" style="282" bestFit="1" customWidth="1"/>
    <col min="5625" max="5625" width="9.5546875" style="282" bestFit="1" customWidth="1"/>
    <col min="5626" max="5626" width="6.6640625" style="282" bestFit="1" customWidth="1"/>
    <col min="5627" max="5627" width="7" style="282" bestFit="1" customWidth="1"/>
    <col min="5628" max="5628" width="8.88671875" style="282"/>
    <col min="5629" max="5629" width="0" style="282" hidden="1" customWidth="1"/>
    <col min="5630" max="5637" width="6.33203125" style="282" customWidth="1"/>
    <col min="5638" max="5638" width="4.77734375" style="282" customWidth="1"/>
    <col min="5639" max="5639" width="8.88671875" style="282"/>
    <col min="5640" max="5640" width="13.109375" style="282" bestFit="1" customWidth="1"/>
    <col min="5641" max="5643" width="8.88671875" style="282"/>
    <col min="5644" max="5644" width="11.77734375" style="282" customWidth="1"/>
    <col min="5645" max="5879" width="8.88671875" style="282"/>
    <col min="5880" max="5880" width="4.109375" style="282" bestFit="1" customWidth="1"/>
    <col min="5881" max="5881" width="9.5546875" style="282" bestFit="1" customWidth="1"/>
    <col min="5882" max="5882" width="6.6640625" style="282" bestFit="1" customWidth="1"/>
    <col min="5883" max="5883" width="7" style="282" bestFit="1" customWidth="1"/>
    <col min="5884" max="5884" width="8.88671875" style="282"/>
    <col min="5885" max="5885" width="0" style="282" hidden="1" customWidth="1"/>
    <col min="5886" max="5893" width="6.33203125" style="282" customWidth="1"/>
    <col min="5894" max="5894" width="4.77734375" style="282" customWidth="1"/>
    <col min="5895" max="5895" width="8.88671875" style="282"/>
    <col min="5896" max="5896" width="13.109375" style="282" bestFit="1" customWidth="1"/>
    <col min="5897" max="5899" width="8.88671875" style="282"/>
    <col min="5900" max="5900" width="11.77734375" style="282" customWidth="1"/>
    <col min="5901" max="6135" width="8.88671875" style="282"/>
    <col min="6136" max="6136" width="4.109375" style="282" bestFit="1" customWidth="1"/>
    <col min="6137" max="6137" width="9.5546875" style="282" bestFit="1" customWidth="1"/>
    <col min="6138" max="6138" width="6.6640625" style="282" bestFit="1" customWidth="1"/>
    <col min="6139" max="6139" width="7" style="282" bestFit="1" customWidth="1"/>
    <col min="6140" max="6140" width="8.88671875" style="282"/>
    <col min="6141" max="6141" width="0" style="282" hidden="1" customWidth="1"/>
    <col min="6142" max="6149" width="6.33203125" style="282" customWidth="1"/>
    <col min="6150" max="6150" width="4.77734375" style="282" customWidth="1"/>
    <col min="6151" max="6151" width="8.88671875" style="282"/>
    <col min="6152" max="6152" width="13.109375" style="282" bestFit="1" customWidth="1"/>
    <col min="6153" max="6155" width="8.88671875" style="282"/>
    <col min="6156" max="6156" width="11.77734375" style="282" customWidth="1"/>
    <col min="6157" max="6391" width="8.88671875" style="282"/>
    <col min="6392" max="6392" width="4.109375" style="282" bestFit="1" customWidth="1"/>
    <col min="6393" max="6393" width="9.5546875" style="282" bestFit="1" customWidth="1"/>
    <col min="6394" max="6394" width="6.6640625" style="282" bestFit="1" customWidth="1"/>
    <col min="6395" max="6395" width="7" style="282" bestFit="1" customWidth="1"/>
    <col min="6396" max="6396" width="8.88671875" style="282"/>
    <col min="6397" max="6397" width="0" style="282" hidden="1" customWidth="1"/>
    <col min="6398" max="6405" width="6.33203125" style="282" customWidth="1"/>
    <col min="6406" max="6406" width="4.77734375" style="282" customWidth="1"/>
    <col min="6407" max="6407" width="8.88671875" style="282"/>
    <col min="6408" max="6408" width="13.109375" style="282" bestFit="1" customWidth="1"/>
    <col min="6409" max="6411" width="8.88671875" style="282"/>
    <col min="6412" max="6412" width="11.77734375" style="282" customWidth="1"/>
    <col min="6413" max="6647" width="8.88671875" style="282"/>
    <col min="6648" max="6648" width="4.109375" style="282" bestFit="1" customWidth="1"/>
    <col min="6649" max="6649" width="9.5546875" style="282" bestFit="1" customWidth="1"/>
    <col min="6650" max="6650" width="6.6640625" style="282" bestFit="1" customWidth="1"/>
    <col min="6651" max="6651" width="7" style="282" bestFit="1" customWidth="1"/>
    <col min="6652" max="6652" width="8.88671875" style="282"/>
    <col min="6653" max="6653" width="0" style="282" hidden="1" customWidth="1"/>
    <col min="6654" max="6661" width="6.33203125" style="282" customWidth="1"/>
    <col min="6662" max="6662" width="4.77734375" style="282" customWidth="1"/>
    <col min="6663" max="6663" width="8.88671875" style="282"/>
    <col min="6664" max="6664" width="13.109375" style="282" bestFit="1" customWidth="1"/>
    <col min="6665" max="6667" width="8.88671875" style="282"/>
    <col min="6668" max="6668" width="11.77734375" style="282" customWidth="1"/>
    <col min="6669" max="6903" width="8.88671875" style="282"/>
    <col min="6904" max="6904" width="4.109375" style="282" bestFit="1" customWidth="1"/>
    <col min="6905" max="6905" width="9.5546875" style="282" bestFit="1" customWidth="1"/>
    <col min="6906" max="6906" width="6.6640625" style="282" bestFit="1" customWidth="1"/>
    <col min="6907" max="6907" width="7" style="282" bestFit="1" customWidth="1"/>
    <col min="6908" max="6908" width="8.88671875" style="282"/>
    <col min="6909" max="6909" width="0" style="282" hidden="1" customWidth="1"/>
    <col min="6910" max="6917" width="6.33203125" style="282" customWidth="1"/>
    <col min="6918" max="6918" width="4.77734375" style="282" customWidth="1"/>
    <col min="6919" max="6919" width="8.88671875" style="282"/>
    <col min="6920" max="6920" width="13.109375" style="282" bestFit="1" customWidth="1"/>
    <col min="6921" max="6923" width="8.88671875" style="282"/>
    <col min="6924" max="6924" width="11.77734375" style="282" customWidth="1"/>
    <col min="6925" max="7159" width="8.88671875" style="282"/>
    <col min="7160" max="7160" width="4.109375" style="282" bestFit="1" customWidth="1"/>
    <col min="7161" max="7161" width="9.5546875" style="282" bestFit="1" customWidth="1"/>
    <col min="7162" max="7162" width="6.6640625" style="282" bestFit="1" customWidth="1"/>
    <col min="7163" max="7163" width="7" style="282" bestFit="1" customWidth="1"/>
    <col min="7164" max="7164" width="8.88671875" style="282"/>
    <col min="7165" max="7165" width="0" style="282" hidden="1" customWidth="1"/>
    <col min="7166" max="7173" width="6.33203125" style="282" customWidth="1"/>
    <col min="7174" max="7174" width="4.77734375" style="282" customWidth="1"/>
    <col min="7175" max="7175" width="8.88671875" style="282"/>
    <col min="7176" max="7176" width="13.109375" style="282" bestFit="1" customWidth="1"/>
    <col min="7177" max="7179" width="8.88671875" style="282"/>
    <col min="7180" max="7180" width="11.77734375" style="282" customWidth="1"/>
    <col min="7181" max="7415" width="8.88671875" style="282"/>
    <col min="7416" max="7416" width="4.109375" style="282" bestFit="1" customWidth="1"/>
    <col min="7417" max="7417" width="9.5546875" style="282" bestFit="1" customWidth="1"/>
    <col min="7418" max="7418" width="6.6640625" style="282" bestFit="1" customWidth="1"/>
    <col min="7419" max="7419" width="7" style="282" bestFit="1" customWidth="1"/>
    <col min="7420" max="7420" width="8.88671875" style="282"/>
    <col min="7421" max="7421" width="0" style="282" hidden="1" customWidth="1"/>
    <col min="7422" max="7429" width="6.33203125" style="282" customWidth="1"/>
    <col min="7430" max="7430" width="4.77734375" style="282" customWidth="1"/>
    <col min="7431" max="7431" width="8.88671875" style="282"/>
    <col min="7432" max="7432" width="13.109375" style="282" bestFit="1" customWidth="1"/>
    <col min="7433" max="7435" width="8.88671875" style="282"/>
    <col min="7436" max="7436" width="11.77734375" style="282" customWidth="1"/>
    <col min="7437" max="7671" width="8.88671875" style="282"/>
    <col min="7672" max="7672" width="4.109375" style="282" bestFit="1" customWidth="1"/>
    <col min="7673" max="7673" width="9.5546875" style="282" bestFit="1" customWidth="1"/>
    <col min="7674" max="7674" width="6.6640625" style="282" bestFit="1" customWidth="1"/>
    <col min="7675" max="7675" width="7" style="282" bestFit="1" customWidth="1"/>
    <col min="7676" max="7676" width="8.88671875" style="282"/>
    <col min="7677" max="7677" width="0" style="282" hidden="1" customWidth="1"/>
    <col min="7678" max="7685" width="6.33203125" style="282" customWidth="1"/>
    <col min="7686" max="7686" width="4.77734375" style="282" customWidth="1"/>
    <col min="7687" max="7687" width="8.88671875" style="282"/>
    <col min="7688" max="7688" width="13.109375" style="282" bestFit="1" customWidth="1"/>
    <col min="7689" max="7691" width="8.88671875" style="282"/>
    <col min="7692" max="7692" width="11.77734375" style="282" customWidth="1"/>
    <col min="7693" max="7927" width="8.88671875" style="282"/>
    <col min="7928" max="7928" width="4.109375" style="282" bestFit="1" customWidth="1"/>
    <col min="7929" max="7929" width="9.5546875" style="282" bestFit="1" customWidth="1"/>
    <col min="7930" max="7930" width="6.6640625" style="282" bestFit="1" customWidth="1"/>
    <col min="7931" max="7931" width="7" style="282" bestFit="1" customWidth="1"/>
    <col min="7932" max="7932" width="8.88671875" style="282"/>
    <col min="7933" max="7933" width="0" style="282" hidden="1" customWidth="1"/>
    <col min="7934" max="7941" width="6.33203125" style="282" customWidth="1"/>
    <col min="7942" max="7942" width="4.77734375" style="282" customWidth="1"/>
    <col min="7943" max="7943" width="8.88671875" style="282"/>
    <col min="7944" max="7944" width="13.109375" style="282" bestFit="1" customWidth="1"/>
    <col min="7945" max="7947" width="8.88671875" style="282"/>
    <col min="7948" max="7948" width="11.77734375" style="282" customWidth="1"/>
    <col min="7949" max="8183" width="8.88671875" style="282"/>
    <col min="8184" max="8184" width="4.109375" style="282" bestFit="1" customWidth="1"/>
    <col min="8185" max="8185" width="9.5546875" style="282" bestFit="1" customWidth="1"/>
    <col min="8186" max="8186" width="6.6640625" style="282" bestFit="1" customWidth="1"/>
    <col min="8187" max="8187" width="7" style="282" bestFit="1" customWidth="1"/>
    <col min="8188" max="8188" width="8.88671875" style="282"/>
    <col min="8189" max="8189" width="0" style="282" hidden="1" customWidth="1"/>
    <col min="8190" max="8197" width="6.33203125" style="282" customWidth="1"/>
    <col min="8198" max="8198" width="4.77734375" style="282" customWidth="1"/>
    <col min="8199" max="8199" width="8.88671875" style="282"/>
    <col min="8200" max="8200" width="13.109375" style="282" bestFit="1" customWidth="1"/>
    <col min="8201" max="8203" width="8.88671875" style="282"/>
    <col min="8204" max="8204" width="11.77734375" style="282" customWidth="1"/>
    <col min="8205" max="8439" width="8.88671875" style="282"/>
    <col min="8440" max="8440" width="4.109375" style="282" bestFit="1" customWidth="1"/>
    <col min="8441" max="8441" width="9.5546875" style="282" bestFit="1" customWidth="1"/>
    <col min="8442" max="8442" width="6.6640625" style="282" bestFit="1" customWidth="1"/>
    <col min="8443" max="8443" width="7" style="282" bestFit="1" customWidth="1"/>
    <col min="8444" max="8444" width="8.88671875" style="282"/>
    <col min="8445" max="8445" width="0" style="282" hidden="1" customWidth="1"/>
    <col min="8446" max="8453" width="6.33203125" style="282" customWidth="1"/>
    <col min="8454" max="8454" width="4.77734375" style="282" customWidth="1"/>
    <col min="8455" max="8455" width="8.88671875" style="282"/>
    <col min="8456" max="8456" width="13.109375" style="282" bestFit="1" customWidth="1"/>
    <col min="8457" max="8459" width="8.88671875" style="282"/>
    <col min="8460" max="8460" width="11.77734375" style="282" customWidth="1"/>
    <col min="8461" max="8695" width="8.88671875" style="282"/>
    <col min="8696" max="8696" width="4.109375" style="282" bestFit="1" customWidth="1"/>
    <col min="8697" max="8697" width="9.5546875" style="282" bestFit="1" customWidth="1"/>
    <col min="8698" max="8698" width="6.6640625" style="282" bestFit="1" customWidth="1"/>
    <col min="8699" max="8699" width="7" style="282" bestFit="1" customWidth="1"/>
    <col min="8700" max="8700" width="8.88671875" style="282"/>
    <col min="8701" max="8701" width="0" style="282" hidden="1" customWidth="1"/>
    <col min="8702" max="8709" width="6.33203125" style="282" customWidth="1"/>
    <col min="8710" max="8710" width="4.77734375" style="282" customWidth="1"/>
    <col min="8711" max="8711" width="8.88671875" style="282"/>
    <col min="8712" max="8712" width="13.109375" style="282" bestFit="1" customWidth="1"/>
    <col min="8713" max="8715" width="8.88671875" style="282"/>
    <col min="8716" max="8716" width="11.77734375" style="282" customWidth="1"/>
    <col min="8717" max="8951" width="8.88671875" style="282"/>
    <col min="8952" max="8952" width="4.109375" style="282" bestFit="1" customWidth="1"/>
    <col min="8953" max="8953" width="9.5546875" style="282" bestFit="1" customWidth="1"/>
    <col min="8954" max="8954" width="6.6640625" style="282" bestFit="1" customWidth="1"/>
    <col min="8955" max="8955" width="7" style="282" bestFit="1" customWidth="1"/>
    <col min="8956" max="8956" width="8.88671875" style="282"/>
    <col min="8957" max="8957" width="0" style="282" hidden="1" customWidth="1"/>
    <col min="8958" max="8965" width="6.33203125" style="282" customWidth="1"/>
    <col min="8966" max="8966" width="4.77734375" style="282" customWidth="1"/>
    <col min="8967" max="8967" width="8.88671875" style="282"/>
    <col min="8968" max="8968" width="13.109375" style="282" bestFit="1" customWidth="1"/>
    <col min="8969" max="8971" width="8.88671875" style="282"/>
    <col min="8972" max="8972" width="11.77734375" style="282" customWidth="1"/>
    <col min="8973" max="9207" width="8.88671875" style="282"/>
    <col min="9208" max="9208" width="4.109375" style="282" bestFit="1" customWidth="1"/>
    <col min="9209" max="9209" width="9.5546875" style="282" bestFit="1" customWidth="1"/>
    <col min="9210" max="9210" width="6.6640625" style="282" bestFit="1" customWidth="1"/>
    <col min="9211" max="9211" width="7" style="282" bestFit="1" customWidth="1"/>
    <col min="9212" max="9212" width="8.88671875" style="282"/>
    <col min="9213" max="9213" width="0" style="282" hidden="1" customWidth="1"/>
    <col min="9214" max="9221" width="6.33203125" style="282" customWidth="1"/>
    <col min="9222" max="9222" width="4.77734375" style="282" customWidth="1"/>
    <col min="9223" max="9223" width="8.88671875" style="282"/>
    <col min="9224" max="9224" width="13.109375" style="282" bestFit="1" customWidth="1"/>
    <col min="9225" max="9227" width="8.88671875" style="282"/>
    <col min="9228" max="9228" width="11.77734375" style="282" customWidth="1"/>
    <col min="9229" max="9463" width="8.88671875" style="282"/>
    <col min="9464" max="9464" width="4.109375" style="282" bestFit="1" customWidth="1"/>
    <col min="9465" max="9465" width="9.5546875" style="282" bestFit="1" customWidth="1"/>
    <col min="9466" max="9466" width="6.6640625" style="282" bestFit="1" customWidth="1"/>
    <col min="9467" max="9467" width="7" style="282" bestFit="1" customWidth="1"/>
    <col min="9468" max="9468" width="8.88671875" style="282"/>
    <col min="9469" max="9469" width="0" style="282" hidden="1" customWidth="1"/>
    <col min="9470" max="9477" width="6.33203125" style="282" customWidth="1"/>
    <col min="9478" max="9478" width="4.77734375" style="282" customWidth="1"/>
    <col min="9479" max="9479" width="8.88671875" style="282"/>
    <col min="9480" max="9480" width="13.109375" style="282" bestFit="1" customWidth="1"/>
    <col min="9481" max="9483" width="8.88671875" style="282"/>
    <col min="9484" max="9484" width="11.77734375" style="282" customWidth="1"/>
    <col min="9485" max="9719" width="8.88671875" style="282"/>
    <col min="9720" max="9720" width="4.109375" style="282" bestFit="1" customWidth="1"/>
    <col min="9721" max="9721" width="9.5546875" style="282" bestFit="1" customWidth="1"/>
    <col min="9722" max="9722" width="6.6640625" style="282" bestFit="1" customWidth="1"/>
    <col min="9723" max="9723" width="7" style="282" bestFit="1" customWidth="1"/>
    <col min="9724" max="9724" width="8.88671875" style="282"/>
    <col min="9725" max="9725" width="0" style="282" hidden="1" customWidth="1"/>
    <col min="9726" max="9733" width="6.33203125" style="282" customWidth="1"/>
    <col min="9734" max="9734" width="4.77734375" style="282" customWidth="1"/>
    <col min="9735" max="9735" width="8.88671875" style="282"/>
    <col min="9736" max="9736" width="13.109375" style="282" bestFit="1" customWidth="1"/>
    <col min="9737" max="9739" width="8.88671875" style="282"/>
    <col min="9740" max="9740" width="11.77734375" style="282" customWidth="1"/>
    <col min="9741" max="9975" width="8.88671875" style="282"/>
    <col min="9976" max="9976" width="4.109375" style="282" bestFit="1" customWidth="1"/>
    <col min="9977" max="9977" width="9.5546875" style="282" bestFit="1" customWidth="1"/>
    <col min="9978" max="9978" width="6.6640625" style="282" bestFit="1" customWidth="1"/>
    <col min="9979" max="9979" width="7" style="282" bestFit="1" customWidth="1"/>
    <col min="9980" max="9980" width="8.88671875" style="282"/>
    <col min="9981" max="9981" width="0" style="282" hidden="1" customWidth="1"/>
    <col min="9982" max="9989" width="6.33203125" style="282" customWidth="1"/>
    <col min="9990" max="9990" width="4.77734375" style="282" customWidth="1"/>
    <col min="9991" max="9991" width="8.88671875" style="282"/>
    <col min="9992" max="9992" width="13.109375" style="282" bestFit="1" customWidth="1"/>
    <col min="9993" max="9995" width="8.88671875" style="282"/>
    <col min="9996" max="9996" width="11.77734375" style="282" customWidth="1"/>
    <col min="9997" max="10231" width="8.88671875" style="282"/>
    <col min="10232" max="10232" width="4.109375" style="282" bestFit="1" customWidth="1"/>
    <col min="10233" max="10233" width="9.5546875" style="282" bestFit="1" customWidth="1"/>
    <col min="10234" max="10234" width="6.6640625" style="282" bestFit="1" customWidth="1"/>
    <col min="10235" max="10235" width="7" style="282" bestFit="1" customWidth="1"/>
    <col min="10236" max="10236" width="8.88671875" style="282"/>
    <col min="10237" max="10237" width="0" style="282" hidden="1" customWidth="1"/>
    <col min="10238" max="10245" width="6.33203125" style="282" customWidth="1"/>
    <col min="10246" max="10246" width="4.77734375" style="282" customWidth="1"/>
    <col min="10247" max="10247" width="8.88671875" style="282"/>
    <col min="10248" max="10248" width="13.109375" style="282" bestFit="1" customWidth="1"/>
    <col min="10249" max="10251" width="8.88671875" style="282"/>
    <col min="10252" max="10252" width="11.77734375" style="282" customWidth="1"/>
    <col min="10253" max="10487" width="8.88671875" style="282"/>
    <col min="10488" max="10488" width="4.109375" style="282" bestFit="1" customWidth="1"/>
    <col min="10489" max="10489" width="9.5546875" style="282" bestFit="1" customWidth="1"/>
    <col min="10490" max="10490" width="6.6640625" style="282" bestFit="1" customWidth="1"/>
    <col min="10491" max="10491" width="7" style="282" bestFit="1" customWidth="1"/>
    <col min="10492" max="10492" width="8.88671875" style="282"/>
    <col min="10493" max="10493" width="0" style="282" hidden="1" customWidth="1"/>
    <col min="10494" max="10501" width="6.33203125" style="282" customWidth="1"/>
    <col min="10502" max="10502" width="4.77734375" style="282" customWidth="1"/>
    <col min="10503" max="10503" width="8.88671875" style="282"/>
    <col min="10504" max="10504" width="13.109375" style="282" bestFit="1" customWidth="1"/>
    <col min="10505" max="10507" width="8.88671875" style="282"/>
    <col min="10508" max="10508" width="11.77734375" style="282" customWidth="1"/>
    <col min="10509" max="10743" width="8.88671875" style="282"/>
    <col min="10744" max="10744" width="4.109375" style="282" bestFit="1" customWidth="1"/>
    <col min="10745" max="10745" width="9.5546875" style="282" bestFit="1" customWidth="1"/>
    <col min="10746" max="10746" width="6.6640625" style="282" bestFit="1" customWidth="1"/>
    <col min="10747" max="10747" width="7" style="282" bestFit="1" customWidth="1"/>
    <col min="10748" max="10748" width="8.88671875" style="282"/>
    <col min="10749" max="10749" width="0" style="282" hidden="1" customWidth="1"/>
    <col min="10750" max="10757" width="6.33203125" style="282" customWidth="1"/>
    <col min="10758" max="10758" width="4.77734375" style="282" customWidth="1"/>
    <col min="10759" max="10759" width="8.88671875" style="282"/>
    <col min="10760" max="10760" width="13.109375" style="282" bestFit="1" customWidth="1"/>
    <col min="10761" max="10763" width="8.88671875" style="282"/>
    <col min="10764" max="10764" width="11.77734375" style="282" customWidth="1"/>
    <col min="10765" max="10999" width="8.88671875" style="282"/>
    <col min="11000" max="11000" width="4.109375" style="282" bestFit="1" customWidth="1"/>
    <col min="11001" max="11001" width="9.5546875" style="282" bestFit="1" customWidth="1"/>
    <col min="11002" max="11002" width="6.6640625" style="282" bestFit="1" customWidth="1"/>
    <col min="11003" max="11003" width="7" style="282" bestFit="1" customWidth="1"/>
    <col min="11004" max="11004" width="8.88671875" style="282"/>
    <col min="11005" max="11005" width="0" style="282" hidden="1" customWidth="1"/>
    <col min="11006" max="11013" width="6.33203125" style="282" customWidth="1"/>
    <col min="11014" max="11014" width="4.77734375" style="282" customWidth="1"/>
    <col min="11015" max="11015" width="8.88671875" style="282"/>
    <col min="11016" max="11016" width="13.109375" style="282" bestFit="1" customWidth="1"/>
    <col min="11017" max="11019" width="8.88671875" style="282"/>
    <col min="11020" max="11020" width="11.77734375" style="282" customWidth="1"/>
    <col min="11021" max="11255" width="8.88671875" style="282"/>
    <col min="11256" max="11256" width="4.109375" style="282" bestFit="1" customWidth="1"/>
    <col min="11257" max="11257" width="9.5546875" style="282" bestFit="1" customWidth="1"/>
    <col min="11258" max="11258" width="6.6640625" style="282" bestFit="1" customWidth="1"/>
    <col min="11259" max="11259" width="7" style="282" bestFit="1" customWidth="1"/>
    <col min="11260" max="11260" width="8.88671875" style="282"/>
    <col min="11261" max="11261" width="0" style="282" hidden="1" customWidth="1"/>
    <col min="11262" max="11269" width="6.33203125" style="282" customWidth="1"/>
    <col min="11270" max="11270" width="4.77734375" style="282" customWidth="1"/>
    <col min="11271" max="11271" width="8.88671875" style="282"/>
    <col min="11272" max="11272" width="13.109375" style="282" bestFit="1" customWidth="1"/>
    <col min="11273" max="11275" width="8.88671875" style="282"/>
    <col min="11276" max="11276" width="11.77734375" style="282" customWidth="1"/>
    <col min="11277" max="11511" width="8.88671875" style="282"/>
    <col min="11512" max="11512" width="4.109375" style="282" bestFit="1" customWidth="1"/>
    <col min="11513" max="11513" width="9.5546875" style="282" bestFit="1" customWidth="1"/>
    <col min="11514" max="11514" width="6.6640625" style="282" bestFit="1" customWidth="1"/>
    <col min="11515" max="11515" width="7" style="282" bestFit="1" customWidth="1"/>
    <col min="11516" max="11516" width="8.88671875" style="282"/>
    <col min="11517" max="11517" width="0" style="282" hidden="1" customWidth="1"/>
    <col min="11518" max="11525" width="6.33203125" style="282" customWidth="1"/>
    <col min="11526" max="11526" width="4.77734375" style="282" customWidth="1"/>
    <col min="11527" max="11527" width="8.88671875" style="282"/>
    <col min="11528" max="11528" width="13.109375" style="282" bestFit="1" customWidth="1"/>
    <col min="11529" max="11531" width="8.88671875" style="282"/>
    <col min="11532" max="11532" width="11.77734375" style="282" customWidth="1"/>
    <col min="11533" max="11767" width="8.88671875" style="282"/>
    <col min="11768" max="11768" width="4.109375" style="282" bestFit="1" customWidth="1"/>
    <col min="11769" max="11769" width="9.5546875" style="282" bestFit="1" customWidth="1"/>
    <col min="11770" max="11770" width="6.6640625" style="282" bestFit="1" customWidth="1"/>
    <col min="11771" max="11771" width="7" style="282" bestFit="1" customWidth="1"/>
    <col min="11772" max="11772" width="8.88671875" style="282"/>
    <col min="11773" max="11773" width="0" style="282" hidden="1" customWidth="1"/>
    <col min="11774" max="11781" width="6.33203125" style="282" customWidth="1"/>
    <col min="11782" max="11782" width="4.77734375" style="282" customWidth="1"/>
    <col min="11783" max="11783" width="8.88671875" style="282"/>
    <col min="11784" max="11784" width="13.109375" style="282" bestFit="1" customWidth="1"/>
    <col min="11785" max="11787" width="8.88671875" style="282"/>
    <col min="11788" max="11788" width="11.77734375" style="282" customWidth="1"/>
    <col min="11789" max="12023" width="8.88671875" style="282"/>
    <col min="12024" max="12024" width="4.109375" style="282" bestFit="1" customWidth="1"/>
    <col min="12025" max="12025" width="9.5546875" style="282" bestFit="1" customWidth="1"/>
    <col min="12026" max="12026" width="6.6640625" style="282" bestFit="1" customWidth="1"/>
    <col min="12027" max="12027" width="7" style="282" bestFit="1" customWidth="1"/>
    <col min="12028" max="12028" width="8.88671875" style="282"/>
    <col min="12029" max="12029" width="0" style="282" hidden="1" customWidth="1"/>
    <col min="12030" max="12037" width="6.33203125" style="282" customWidth="1"/>
    <col min="12038" max="12038" width="4.77734375" style="282" customWidth="1"/>
    <col min="12039" max="12039" width="8.88671875" style="282"/>
    <col min="12040" max="12040" width="13.109375" style="282" bestFit="1" customWidth="1"/>
    <col min="12041" max="12043" width="8.88671875" style="282"/>
    <col min="12044" max="12044" width="11.77734375" style="282" customWidth="1"/>
    <col min="12045" max="12279" width="8.88671875" style="282"/>
    <col min="12280" max="12280" width="4.109375" style="282" bestFit="1" customWidth="1"/>
    <col min="12281" max="12281" width="9.5546875" style="282" bestFit="1" customWidth="1"/>
    <col min="12282" max="12282" width="6.6640625" style="282" bestFit="1" customWidth="1"/>
    <col min="12283" max="12283" width="7" style="282" bestFit="1" customWidth="1"/>
    <col min="12284" max="12284" width="8.88671875" style="282"/>
    <col min="12285" max="12285" width="0" style="282" hidden="1" customWidth="1"/>
    <col min="12286" max="12293" width="6.33203125" style="282" customWidth="1"/>
    <col min="12294" max="12294" width="4.77734375" style="282" customWidth="1"/>
    <col min="12295" max="12295" width="8.88671875" style="282"/>
    <col min="12296" max="12296" width="13.109375" style="282" bestFit="1" customWidth="1"/>
    <col min="12297" max="12299" width="8.88671875" style="282"/>
    <col min="12300" max="12300" width="11.77734375" style="282" customWidth="1"/>
    <col min="12301" max="12535" width="8.88671875" style="282"/>
    <col min="12536" max="12536" width="4.109375" style="282" bestFit="1" customWidth="1"/>
    <col min="12537" max="12537" width="9.5546875" style="282" bestFit="1" customWidth="1"/>
    <col min="12538" max="12538" width="6.6640625" style="282" bestFit="1" customWidth="1"/>
    <col min="12539" max="12539" width="7" style="282" bestFit="1" customWidth="1"/>
    <col min="12540" max="12540" width="8.88671875" style="282"/>
    <col min="12541" max="12541" width="0" style="282" hidden="1" customWidth="1"/>
    <col min="12542" max="12549" width="6.33203125" style="282" customWidth="1"/>
    <col min="12550" max="12550" width="4.77734375" style="282" customWidth="1"/>
    <col min="12551" max="12551" width="8.88671875" style="282"/>
    <col min="12552" max="12552" width="13.109375" style="282" bestFit="1" customWidth="1"/>
    <col min="12553" max="12555" width="8.88671875" style="282"/>
    <col min="12556" max="12556" width="11.77734375" style="282" customWidth="1"/>
    <col min="12557" max="12791" width="8.88671875" style="282"/>
    <col min="12792" max="12792" width="4.109375" style="282" bestFit="1" customWidth="1"/>
    <col min="12793" max="12793" width="9.5546875" style="282" bestFit="1" customWidth="1"/>
    <col min="12794" max="12794" width="6.6640625" style="282" bestFit="1" customWidth="1"/>
    <col min="12795" max="12795" width="7" style="282" bestFit="1" customWidth="1"/>
    <col min="12796" max="12796" width="8.88671875" style="282"/>
    <col min="12797" max="12797" width="0" style="282" hidden="1" customWidth="1"/>
    <col min="12798" max="12805" width="6.33203125" style="282" customWidth="1"/>
    <col min="12806" max="12806" width="4.77734375" style="282" customWidth="1"/>
    <col min="12807" max="12807" width="8.88671875" style="282"/>
    <col min="12808" max="12808" width="13.109375" style="282" bestFit="1" customWidth="1"/>
    <col min="12809" max="12811" width="8.88671875" style="282"/>
    <col min="12812" max="12812" width="11.77734375" style="282" customWidth="1"/>
    <col min="12813" max="13047" width="8.88671875" style="282"/>
    <col min="13048" max="13048" width="4.109375" style="282" bestFit="1" customWidth="1"/>
    <col min="13049" max="13049" width="9.5546875" style="282" bestFit="1" customWidth="1"/>
    <col min="13050" max="13050" width="6.6640625" style="282" bestFit="1" customWidth="1"/>
    <col min="13051" max="13051" width="7" style="282" bestFit="1" customWidth="1"/>
    <col min="13052" max="13052" width="8.88671875" style="282"/>
    <col min="13053" max="13053" width="0" style="282" hidden="1" customWidth="1"/>
    <col min="13054" max="13061" width="6.33203125" style="282" customWidth="1"/>
    <col min="13062" max="13062" width="4.77734375" style="282" customWidth="1"/>
    <col min="13063" max="13063" width="8.88671875" style="282"/>
    <col min="13064" max="13064" width="13.109375" style="282" bestFit="1" customWidth="1"/>
    <col min="13065" max="13067" width="8.88671875" style="282"/>
    <col min="13068" max="13068" width="11.77734375" style="282" customWidth="1"/>
    <col min="13069" max="13303" width="8.88671875" style="282"/>
    <col min="13304" max="13304" width="4.109375" style="282" bestFit="1" customWidth="1"/>
    <col min="13305" max="13305" width="9.5546875" style="282" bestFit="1" customWidth="1"/>
    <col min="13306" max="13306" width="6.6640625" style="282" bestFit="1" customWidth="1"/>
    <col min="13307" max="13307" width="7" style="282" bestFit="1" customWidth="1"/>
    <col min="13308" max="13308" width="8.88671875" style="282"/>
    <col min="13309" max="13309" width="0" style="282" hidden="1" customWidth="1"/>
    <col min="13310" max="13317" width="6.33203125" style="282" customWidth="1"/>
    <col min="13318" max="13318" width="4.77734375" style="282" customWidth="1"/>
    <col min="13319" max="13319" width="8.88671875" style="282"/>
    <col min="13320" max="13320" width="13.109375" style="282" bestFit="1" customWidth="1"/>
    <col min="13321" max="13323" width="8.88671875" style="282"/>
    <col min="13324" max="13324" width="11.77734375" style="282" customWidth="1"/>
    <col min="13325" max="13559" width="8.88671875" style="282"/>
    <col min="13560" max="13560" width="4.109375" style="282" bestFit="1" customWidth="1"/>
    <col min="13561" max="13561" width="9.5546875" style="282" bestFit="1" customWidth="1"/>
    <col min="13562" max="13562" width="6.6640625" style="282" bestFit="1" customWidth="1"/>
    <col min="13563" max="13563" width="7" style="282" bestFit="1" customWidth="1"/>
    <col min="13564" max="13564" width="8.88671875" style="282"/>
    <col min="13565" max="13565" width="0" style="282" hidden="1" customWidth="1"/>
    <col min="13566" max="13573" width="6.33203125" style="282" customWidth="1"/>
    <col min="13574" max="13574" width="4.77734375" style="282" customWidth="1"/>
    <col min="13575" max="13575" width="8.88671875" style="282"/>
    <col min="13576" max="13576" width="13.109375" style="282" bestFit="1" customWidth="1"/>
    <col min="13577" max="13579" width="8.88671875" style="282"/>
    <col min="13580" max="13580" width="11.77734375" style="282" customWidth="1"/>
    <col min="13581" max="13815" width="8.88671875" style="282"/>
    <col min="13816" max="13816" width="4.109375" style="282" bestFit="1" customWidth="1"/>
    <col min="13817" max="13817" width="9.5546875" style="282" bestFit="1" customWidth="1"/>
    <col min="13818" max="13818" width="6.6640625" style="282" bestFit="1" customWidth="1"/>
    <col min="13819" max="13819" width="7" style="282" bestFit="1" customWidth="1"/>
    <col min="13820" max="13820" width="8.88671875" style="282"/>
    <col min="13821" max="13821" width="0" style="282" hidden="1" customWidth="1"/>
    <col min="13822" max="13829" width="6.33203125" style="282" customWidth="1"/>
    <col min="13830" max="13830" width="4.77734375" style="282" customWidth="1"/>
    <col min="13831" max="13831" width="8.88671875" style="282"/>
    <col min="13832" max="13832" width="13.109375" style="282" bestFit="1" customWidth="1"/>
    <col min="13833" max="13835" width="8.88671875" style="282"/>
    <col min="13836" max="13836" width="11.77734375" style="282" customWidth="1"/>
    <col min="13837" max="14071" width="8.88671875" style="282"/>
    <col min="14072" max="14072" width="4.109375" style="282" bestFit="1" customWidth="1"/>
    <col min="14073" max="14073" width="9.5546875" style="282" bestFit="1" customWidth="1"/>
    <col min="14074" max="14074" width="6.6640625" style="282" bestFit="1" customWidth="1"/>
    <col min="14075" max="14075" width="7" style="282" bestFit="1" customWidth="1"/>
    <col min="14076" max="14076" width="8.88671875" style="282"/>
    <col min="14077" max="14077" width="0" style="282" hidden="1" customWidth="1"/>
    <col min="14078" max="14085" width="6.33203125" style="282" customWidth="1"/>
    <col min="14086" max="14086" width="4.77734375" style="282" customWidth="1"/>
    <col min="14087" max="14087" width="8.88671875" style="282"/>
    <col min="14088" max="14088" width="13.109375" style="282" bestFit="1" customWidth="1"/>
    <col min="14089" max="14091" width="8.88671875" style="282"/>
    <col min="14092" max="14092" width="11.77734375" style="282" customWidth="1"/>
    <col min="14093" max="14327" width="8.88671875" style="282"/>
    <col min="14328" max="14328" width="4.109375" style="282" bestFit="1" customWidth="1"/>
    <col min="14329" max="14329" width="9.5546875" style="282" bestFit="1" customWidth="1"/>
    <col min="14330" max="14330" width="6.6640625" style="282" bestFit="1" customWidth="1"/>
    <col min="14331" max="14331" width="7" style="282" bestFit="1" customWidth="1"/>
    <col min="14332" max="14332" width="8.88671875" style="282"/>
    <col min="14333" max="14333" width="0" style="282" hidden="1" customWidth="1"/>
    <col min="14334" max="14341" width="6.33203125" style="282" customWidth="1"/>
    <col min="14342" max="14342" width="4.77734375" style="282" customWidth="1"/>
    <col min="14343" max="14343" width="8.88671875" style="282"/>
    <col min="14344" max="14344" width="13.109375" style="282" bestFit="1" customWidth="1"/>
    <col min="14345" max="14347" width="8.88671875" style="282"/>
    <col min="14348" max="14348" width="11.77734375" style="282" customWidth="1"/>
    <col min="14349" max="14583" width="8.88671875" style="282"/>
    <col min="14584" max="14584" width="4.109375" style="282" bestFit="1" customWidth="1"/>
    <col min="14585" max="14585" width="9.5546875" style="282" bestFit="1" customWidth="1"/>
    <col min="14586" max="14586" width="6.6640625" style="282" bestFit="1" customWidth="1"/>
    <col min="14587" max="14587" width="7" style="282" bestFit="1" customWidth="1"/>
    <col min="14588" max="14588" width="8.88671875" style="282"/>
    <col min="14589" max="14589" width="0" style="282" hidden="1" customWidth="1"/>
    <col min="14590" max="14597" width="6.33203125" style="282" customWidth="1"/>
    <col min="14598" max="14598" width="4.77734375" style="282" customWidth="1"/>
    <col min="14599" max="14599" width="8.88671875" style="282"/>
    <col min="14600" max="14600" width="13.109375" style="282" bestFit="1" customWidth="1"/>
    <col min="14601" max="14603" width="8.88671875" style="282"/>
    <col min="14604" max="14604" width="11.77734375" style="282" customWidth="1"/>
    <col min="14605" max="14839" width="8.88671875" style="282"/>
    <col min="14840" max="14840" width="4.109375" style="282" bestFit="1" customWidth="1"/>
    <col min="14841" max="14841" width="9.5546875" style="282" bestFit="1" customWidth="1"/>
    <col min="14842" max="14842" width="6.6640625" style="282" bestFit="1" customWidth="1"/>
    <col min="14843" max="14843" width="7" style="282" bestFit="1" customWidth="1"/>
    <col min="14844" max="14844" width="8.88671875" style="282"/>
    <col min="14845" max="14845" width="0" style="282" hidden="1" customWidth="1"/>
    <col min="14846" max="14853" width="6.33203125" style="282" customWidth="1"/>
    <col min="14854" max="14854" width="4.77734375" style="282" customWidth="1"/>
    <col min="14855" max="14855" width="8.88671875" style="282"/>
    <col min="14856" max="14856" width="13.109375" style="282" bestFit="1" customWidth="1"/>
    <col min="14857" max="14859" width="8.88671875" style="282"/>
    <col min="14860" max="14860" width="11.77734375" style="282" customWidth="1"/>
    <col min="14861" max="15095" width="8.88671875" style="282"/>
    <col min="15096" max="15096" width="4.109375" style="282" bestFit="1" customWidth="1"/>
    <col min="15097" max="15097" width="9.5546875" style="282" bestFit="1" customWidth="1"/>
    <col min="15098" max="15098" width="6.6640625" style="282" bestFit="1" customWidth="1"/>
    <col min="15099" max="15099" width="7" style="282" bestFit="1" customWidth="1"/>
    <col min="15100" max="15100" width="8.88671875" style="282"/>
    <col min="15101" max="15101" width="0" style="282" hidden="1" customWidth="1"/>
    <col min="15102" max="15109" width="6.33203125" style="282" customWidth="1"/>
    <col min="15110" max="15110" width="4.77734375" style="282" customWidth="1"/>
    <col min="15111" max="15111" width="8.88671875" style="282"/>
    <col min="15112" max="15112" width="13.109375" style="282" bestFit="1" customWidth="1"/>
    <col min="15113" max="15115" width="8.88671875" style="282"/>
    <col min="15116" max="15116" width="11.77734375" style="282" customWidth="1"/>
    <col min="15117" max="15351" width="8.88671875" style="282"/>
    <col min="15352" max="15352" width="4.109375" style="282" bestFit="1" customWidth="1"/>
    <col min="15353" max="15353" width="9.5546875" style="282" bestFit="1" customWidth="1"/>
    <col min="15354" max="15354" width="6.6640625" style="282" bestFit="1" customWidth="1"/>
    <col min="15355" max="15355" width="7" style="282" bestFit="1" customWidth="1"/>
    <col min="15356" max="15356" width="8.88671875" style="282"/>
    <col min="15357" max="15357" width="0" style="282" hidden="1" customWidth="1"/>
    <col min="15358" max="15365" width="6.33203125" style="282" customWidth="1"/>
    <col min="15366" max="15366" width="4.77734375" style="282" customWidth="1"/>
    <col min="15367" max="15367" width="8.88671875" style="282"/>
    <col min="15368" max="15368" width="13.109375" style="282" bestFit="1" customWidth="1"/>
    <col min="15369" max="15371" width="8.88671875" style="282"/>
    <col min="15372" max="15372" width="11.77734375" style="282" customWidth="1"/>
    <col min="15373" max="15607" width="8.88671875" style="282"/>
    <col min="15608" max="15608" width="4.109375" style="282" bestFit="1" customWidth="1"/>
    <col min="15609" max="15609" width="9.5546875" style="282" bestFit="1" customWidth="1"/>
    <col min="15610" max="15610" width="6.6640625" style="282" bestFit="1" customWidth="1"/>
    <col min="15611" max="15611" width="7" style="282" bestFit="1" customWidth="1"/>
    <col min="15612" max="15612" width="8.88671875" style="282"/>
    <col min="15613" max="15613" width="0" style="282" hidden="1" customWidth="1"/>
    <col min="15614" max="15621" width="6.33203125" style="282" customWidth="1"/>
    <col min="15622" max="15622" width="4.77734375" style="282" customWidth="1"/>
    <col min="15623" max="15623" width="8.88671875" style="282"/>
    <col min="15624" max="15624" width="13.109375" style="282" bestFit="1" customWidth="1"/>
    <col min="15625" max="15627" width="8.88671875" style="282"/>
    <col min="15628" max="15628" width="11.77734375" style="282" customWidth="1"/>
    <col min="15629" max="15863" width="8.88671875" style="282"/>
    <col min="15864" max="15864" width="4.109375" style="282" bestFit="1" customWidth="1"/>
    <col min="15865" max="15865" width="9.5546875" style="282" bestFit="1" customWidth="1"/>
    <col min="15866" max="15866" width="6.6640625" style="282" bestFit="1" customWidth="1"/>
    <col min="15867" max="15867" width="7" style="282" bestFit="1" customWidth="1"/>
    <col min="15868" max="15868" width="8.88671875" style="282"/>
    <col min="15869" max="15869" width="0" style="282" hidden="1" customWidth="1"/>
    <col min="15870" max="15877" width="6.33203125" style="282" customWidth="1"/>
    <col min="15878" max="15878" width="4.77734375" style="282" customWidth="1"/>
    <col min="15879" max="15879" width="8.88671875" style="282"/>
    <col min="15880" max="15880" width="13.109375" style="282" bestFit="1" customWidth="1"/>
    <col min="15881" max="15883" width="8.88671875" style="282"/>
    <col min="15884" max="15884" width="11.77734375" style="282" customWidth="1"/>
    <col min="15885" max="16119" width="8.88671875" style="282"/>
    <col min="16120" max="16120" width="4.109375" style="282" bestFit="1" customWidth="1"/>
    <col min="16121" max="16121" width="9.5546875" style="282" bestFit="1" customWidth="1"/>
    <col min="16122" max="16122" width="6.6640625" style="282" bestFit="1" customWidth="1"/>
    <col min="16123" max="16123" width="7" style="282" bestFit="1" customWidth="1"/>
    <col min="16124" max="16124" width="8.88671875" style="282"/>
    <col min="16125" max="16125" width="0" style="282" hidden="1" customWidth="1"/>
    <col min="16126" max="16133" width="6.33203125" style="282" customWidth="1"/>
    <col min="16134" max="16134" width="4.77734375" style="282" customWidth="1"/>
    <col min="16135" max="16135" width="8.88671875" style="282"/>
    <col min="16136" max="16136" width="13.109375" style="282" bestFit="1" customWidth="1"/>
    <col min="16137" max="16139" width="8.88671875" style="282"/>
    <col min="16140" max="16140" width="11.77734375" style="282" customWidth="1"/>
    <col min="16141" max="16384" width="8.88671875" style="282"/>
  </cols>
  <sheetData>
    <row r="1" spans="1:19" ht="50.1" customHeight="1">
      <c r="A1" s="1389" t="s">
        <v>660</v>
      </c>
      <c r="B1" s="1389"/>
      <c r="C1" s="1389"/>
      <c r="D1" s="1389"/>
      <c r="E1" s="1389"/>
      <c r="F1" s="1389"/>
    </row>
    <row r="2" spans="1:19" s="283" customFormat="1" ht="35.1" customHeight="1">
      <c r="A2" s="1391" t="s">
        <v>342</v>
      </c>
      <c r="B2" s="1394" t="s">
        <v>31</v>
      </c>
      <c r="C2" s="1394" t="s">
        <v>343</v>
      </c>
      <c r="D2" s="1397" t="s">
        <v>344</v>
      </c>
      <c r="E2" s="1397" t="s">
        <v>607</v>
      </c>
      <c r="F2" s="1384" t="s">
        <v>355</v>
      </c>
      <c r="H2" s="284" t="s">
        <v>435</v>
      </c>
    </row>
    <row r="3" spans="1:19" s="283" customFormat="1" ht="35.1" customHeight="1">
      <c r="A3" s="1392"/>
      <c r="B3" s="1395"/>
      <c r="C3" s="1395"/>
      <c r="D3" s="1398"/>
      <c r="E3" s="1398"/>
      <c r="F3" s="1385"/>
      <c r="H3" s="284">
        <f>0.11</f>
        <v>0.11</v>
      </c>
    </row>
    <row r="4" spans="1:19" s="283" customFormat="1" ht="35.1" customHeight="1">
      <c r="A4" s="1393"/>
      <c r="B4" s="1396"/>
      <c r="C4" s="1396"/>
      <c r="D4" s="1399"/>
      <c r="E4" s="1399"/>
      <c r="F4" s="1386"/>
    </row>
    <row r="5" spans="1:19" ht="35.1" customHeight="1">
      <c r="A5" s="271"/>
      <c r="B5" s="444"/>
      <c r="C5" s="444"/>
      <c r="D5" s="444"/>
      <c r="E5" s="285">
        <f>D5-$H$3</f>
        <v>-0.11</v>
      </c>
      <c r="F5" s="293"/>
      <c r="G5" s="286"/>
      <c r="H5" s="287"/>
      <c r="I5" s="252"/>
      <c r="J5" s="396"/>
      <c r="K5" s="396"/>
      <c r="L5" s="283"/>
    </row>
    <row r="6" spans="1:19" ht="35.1" customHeight="1">
      <c r="A6" s="271"/>
      <c r="B6" s="444"/>
      <c r="C6" s="444"/>
      <c r="D6" s="444"/>
      <c r="E6" s="285">
        <f>D6-$H$3</f>
        <v>-0.11</v>
      </c>
      <c r="F6" s="293"/>
      <c r="G6" s="286"/>
      <c r="H6" s="287"/>
      <c r="I6" s="252"/>
      <c r="J6" s="396"/>
      <c r="K6" s="396"/>
      <c r="L6" s="283"/>
    </row>
    <row r="7" spans="1:19" ht="35.1" customHeight="1">
      <c r="A7" s="271"/>
      <c r="B7" s="444"/>
      <c r="C7" s="444"/>
      <c r="D7" s="444"/>
      <c r="E7" s="285">
        <f>D7-$H$3</f>
        <v>-0.11</v>
      </c>
      <c r="F7" s="293"/>
      <c r="G7" s="286"/>
      <c r="H7" s="287"/>
      <c r="I7" s="252"/>
      <c r="J7" s="396"/>
      <c r="K7" s="396"/>
      <c r="L7" s="283"/>
    </row>
    <row r="8" spans="1:19" ht="35.1" customHeight="1">
      <c r="A8" s="271"/>
      <c r="B8" s="444"/>
      <c r="C8" s="444"/>
      <c r="D8" s="444"/>
      <c r="E8" s="285">
        <f>D8-$H$3</f>
        <v>-0.11</v>
      </c>
      <c r="F8" s="293"/>
      <c r="G8" s="286"/>
      <c r="H8" s="287"/>
      <c r="I8" s="252"/>
      <c r="J8" s="396"/>
      <c r="K8" s="396"/>
      <c r="L8" s="283"/>
    </row>
    <row r="9" spans="1:19" s="283" customFormat="1" ht="35.1" customHeight="1">
      <c r="A9" s="1387" t="s">
        <v>351</v>
      </c>
      <c r="B9" s="1388"/>
      <c r="C9" s="504">
        <f>COUNT(A5:A8)</f>
        <v>0</v>
      </c>
      <c r="D9" s="446">
        <f>SUM(D5:D8)</f>
        <v>0</v>
      </c>
      <c r="E9" s="446"/>
      <c r="F9" s="288"/>
    </row>
    <row r="10" spans="1:19" s="283" customFormat="1" ht="35.1" customHeight="1">
      <c r="A10" s="1387" t="s">
        <v>352</v>
      </c>
      <c r="B10" s="1388"/>
      <c r="C10" s="439">
        <f>IFERROR(D9/C9,0)</f>
        <v>0</v>
      </c>
      <c r="D10" s="440"/>
      <c r="E10" s="440"/>
      <c r="F10" s="505"/>
      <c r="J10" s="282"/>
      <c r="K10" s="282"/>
      <c r="N10" s="282"/>
      <c r="O10" s="282"/>
      <c r="P10" s="282"/>
    </row>
    <row r="11" spans="1:19" ht="24" customHeight="1">
      <c r="A11" s="291"/>
      <c r="B11" s="291"/>
      <c r="C11" s="291"/>
      <c r="D11" s="292"/>
      <c r="E11" s="292"/>
      <c r="F11" s="291"/>
      <c r="I11" s="283"/>
      <c r="J11" s="283"/>
      <c r="K11" s="283"/>
      <c r="L11" s="294"/>
      <c r="M11" s="294"/>
      <c r="N11" s="283"/>
      <c r="O11" s="283"/>
      <c r="P11" s="283"/>
      <c r="Q11" s="283"/>
      <c r="R11" s="283"/>
      <c r="S11" s="283"/>
    </row>
    <row r="12" spans="1:19" ht="24" customHeight="1">
      <c r="A12" s="291"/>
      <c r="B12" s="291"/>
      <c r="C12" s="291"/>
      <c r="D12" s="292"/>
      <c r="E12" s="292"/>
      <c r="F12" s="291"/>
      <c r="I12" s="283"/>
      <c r="Q12" s="283"/>
      <c r="R12" s="283"/>
      <c r="S12" s="283"/>
    </row>
    <row r="13" spans="1:19" ht="24" customHeight="1">
      <c r="A13" s="291"/>
      <c r="B13" s="291"/>
      <c r="C13" s="291"/>
      <c r="D13" s="292"/>
      <c r="E13" s="292"/>
      <c r="F13" s="291"/>
      <c r="I13" s="283"/>
    </row>
    <row r="14" spans="1:19" ht="24" customHeight="1">
      <c r="A14" s="291"/>
      <c r="B14" s="291"/>
      <c r="C14" s="291"/>
      <c r="D14" s="292"/>
      <c r="E14" s="292"/>
      <c r="F14" s="291"/>
      <c r="I14" s="283"/>
    </row>
    <row r="15" spans="1:19" ht="24" customHeight="1">
      <c r="A15" s="291"/>
      <c r="B15" s="291"/>
      <c r="C15" s="291"/>
      <c r="D15" s="292"/>
      <c r="E15" s="292"/>
      <c r="F15" s="291"/>
      <c r="I15" s="283"/>
    </row>
    <row r="16" spans="1:19" ht="20.100000000000001" customHeight="1">
      <c r="A16" s="291"/>
      <c r="B16" s="291"/>
      <c r="C16" s="291"/>
      <c r="D16" s="292"/>
      <c r="E16" s="292"/>
      <c r="F16" s="291"/>
      <c r="I16" s="283"/>
    </row>
    <row r="17" spans="1:9" ht="30" customHeight="1">
      <c r="A17" s="291"/>
      <c r="B17" s="291"/>
      <c r="C17" s="291"/>
      <c r="D17" s="292"/>
      <c r="E17" s="292"/>
      <c r="F17" s="291"/>
      <c r="I17" s="283"/>
    </row>
    <row r="18" spans="1:9" ht="30" customHeight="1">
      <c r="A18" s="291"/>
      <c r="B18" s="291"/>
      <c r="C18" s="291"/>
      <c r="D18" s="292"/>
      <c r="E18" s="292"/>
      <c r="F18" s="291"/>
      <c r="I18" s="283"/>
    </row>
    <row r="19" spans="1:9" ht="30" customHeight="1">
      <c r="A19" s="291"/>
      <c r="B19" s="291"/>
      <c r="C19" s="291"/>
      <c r="D19" s="292"/>
      <c r="E19" s="292"/>
      <c r="F19" s="291"/>
      <c r="I19" s="283"/>
    </row>
    <row r="20" spans="1:9" ht="30" customHeight="1">
      <c r="A20" s="291"/>
      <c r="B20" s="291"/>
      <c r="C20" s="291"/>
      <c r="D20" s="292"/>
      <c r="E20" s="292"/>
      <c r="F20" s="291"/>
      <c r="I20" s="283"/>
    </row>
    <row r="21" spans="1:9" ht="30" customHeight="1">
      <c r="A21" s="291"/>
      <c r="B21" s="291"/>
      <c r="C21" s="291"/>
      <c r="D21" s="292"/>
      <c r="E21" s="292"/>
      <c r="F21" s="291"/>
      <c r="I21" s="283"/>
    </row>
    <row r="22" spans="1:9" ht="30" customHeight="1">
      <c r="A22" s="291"/>
      <c r="B22" s="291"/>
      <c r="C22" s="291"/>
      <c r="D22" s="292"/>
      <c r="E22" s="292"/>
      <c r="F22" s="291"/>
      <c r="I22" s="283"/>
    </row>
    <row r="23" spans="1:9" ht="30" customHeight="1">
      <c r="A23" s="291"/>
      <c r="B23" s="291"/>
      <c r="C23" s="291"/>
      <c r="D23" s="292"/>
      <c r="E23" s="292"/>
      <c r="F23" s="291"/>
      <c r="I23" s="283"/>
    </row>
    <row r="24" spans="1:9" ht="30" customHeight="1">
      <c r="A24" s="291"/>
      <c r="B24" s="291"/>
      <c r="C24" s="291"/>
      <c r="D24" s="292"/>
      <c r="E24" s="292"/>
      <c r="F24" s="291"/>
      <c r="I24" s="283"/>
    </row>
    <row r="25" spans="1:9" ht="30" customHeight="1">
      <c r="A25" s="291"/>
      <c r="B25" s="291"/>
      <c r="C25" s="291"/>
      <c r="D25" s="292"/>
      <c r="E25" s="292"/>
      <c r="F25" s="291"/>
      <c r="I25" s="283"/>
    </row>
    <row r="26" spans="1:9" ht="30" customHeight="1">
      <c r="A26" s="291"/>
      <c r="B26" s="291"/>
      <c r="D26" s="292"/>
      <c r="E26" s="292"/>
      <c r="F26" s="291"/>
      <c r="I26" s="283"/>
    </row>
    <row r="27" spans="1:9" ht="30" customHeight="1">
      <c r="A27" s="282"/>
      <c r="B27" s="282"/>
      <c r="I27" s="283"/>
    </row>
    <row r="28" spans="1:9" ht="30" customHeight="1">
      <c r="A28" s="282"/>
      <c r="B28" s="282"/>
      <c r="I28" s="283"/>
    </row>
    <row r="29" spans="1:9" ht="30" customHeight="1">
      <c r="A29" s="282"/>
      <c r="B29" s="282"/>
      <c r="I29" s="283"/>
    </row>
    <row r="30" spans="1:9" ht="30" customHeight="1">
      <c r="A30" s="282"/>
      <c r="B30" s="282"/>
      <c r="I30" s="283"/>
    </row>
    <row r="31" spans="1:9" ht="30" customHeight="1">
      <c r="A31" s="282"/>
      <c r="B31" s="282"/>
      <c r="I31" s="283"/>
    </row>
    <row r="32" spans="1:9" ht="30" customHeight="1">
      <c r="A32" s="282"/>
      <c r="B32" s="282"/>
      <c r="I32" s="283"/>
    </row>
    <row r="33" spans="1:9" ht="30" customHeight="1">
      <c r="A33" s="282"/>
      <c r="B33" s="282"/>
      <c r="I33" s="283"/>
    </row>
    <row r="34" spans="1:9" ht="30" customHeight="1">
      <c r="A34" s="282"/>
      <c r="B34" s="282"/>
      <c r="I34" s="283"/>
    </row>
    <row r="35" spans="1:9" ht="30" customHeight="1">
      <c r="A35" s="282"/>
      <c r="B35" s="282"/>
      <c r="I35" s="283"/>
    </row>
    <row r="36" spans="1:9" ht="30" customHeight="1">
      <c r="A36" s="282"/>
      <c r="B36" s="282"/>
      <c r="I36" s="283"/>
    </row>
    <row r="37" spans="1:9" ht="30" customHeight="1">
      <c r="A37" s="282"/>
      <c r="B37" s="282"/>
      <c r="I37" s="283"/>
    </row>
    <row r="38" spans="1:9" ht="30" customHeight="1">
      <c r="A38" s="282"/>
      <c r="B38" s="282"/>
      <c r="I38" s="283"/>
    </row>
    <row r="39" spans="1:9" ht="30" customHeight="1">
      <c r="A39" s="282"/>
      <c r="B39" s="282"/>
      <c r="I39" s="283"/>
    </row>
    <row r="40" spans="1:9" ht="30" customHeight="1">
      <c r="A40" s="282"/>
      <c r="B40" s="282"/>
      <c r="I40" s="283"/>
    </row>
    <row r="41" spans="1:9" ht="30" customHeight="1">
      <c r="A41" s="282"/>
      <c r="B41" s="282"/>
      <c r="I41" s="283"/>
    </row>
    <row r="42" spans="1:9" ht="30" customHeight="1">
      <c r="A42" s="282"/>
      <c r="B42" s="282"/>
      <c r="I42" s="283"/>
    </row>
    <row r="43" spans="1:9" ht="30" customHeight="1">
      <c r="A43" s="282"/>
      <c r="B43" s="282"/>
      <c r="I43" s="283"/>
    </row>
    <row r="44" spans="1:9" ht="30" customHeight="1">
      <c r="A44" s="282"/>
      <c r="B44" s="282"/>
      <c r="I44" s="283"/>
    </row>
    <row r="45" spans="1:9" ht="30" customHeight="1">
      <c r="A45" s="282"/>
      <c r="B45" s="282"/>
      <c r="I45" s="283"/>
    </row>
    <row r="46" spans="1:9" ht="30" customHeight="1">
      <c r="A46" s="282"/>
      <c r="B46" s="282"/>
      <c r="I46" s="283"/>
    </row>
    <row r="47" spans="1:9" ht="30" customHeight="1">
      <c r="A47" s="282"/>
      <c r="B47" s="282"/>
      <c r="I47" s="283"/>
    </row>
    <row r="48" spans="1:9" ht="30" customHeight="1">
      <c r="A48" s="282"/>
      <c r="B48" s="282"/>
      <c r="I48" s="283"/>
    </row>
    <row r="49" spans="1:19" ht="30" customHeight="1">
      <c r="A49" s="282"/>
      <c r="B49" s="282"/>
      <c r="I49" s="283"/>
      <c r="L49" s="283"/>
      <c r="M49" s="283"/>
    </row>
    <row r="50" spans="1:19" ht="30" customHeight="1">
      <c r="A50" s="282"/>
      <c r="B50" s="282"/>
      <c r="I50" s="283"/>
      <c r="L50" s="283"/>
      <c r="M50" s="283"/>
    </row>
    <row r="51" spans="1:19" ht="30" customHeight="1">
      <c r="A51" s="282"/>
      <c r="B51" s="282"/>
      <c r="I51" s="283"/>
      <c r="L51" s="283"/>
      <c r="M51" s="283"/>
    </row>
    <row r="52" spans="1:19" ht="30" customHeight="1">
      <c r="A52" s="282"/>
      <c r="B52" s="282"/>
      <c r="I52" s="283"/>
    </row>
    <row r="53" spans="1:19" ht="30" customHeight="1">
      <c r="A53" s="282"/>
      <c r="B53" s="282"/>
      <c r="I53" s="283"/>
    </row>
    <row r="54" spans="1:19" ht="30" customHeight="1">
      <c r="A54" s="282"/>
      <c r="B54" s="282"/>
      <c r="I54" s="283"/>
    </row>
    <row r="55" spans="1:19" ht="30" customHeight="1">
      <c r="A55" s="282"/>
      <c r="B55" s="282"/>
      <c r="I55" s="283"/>
    </row>
    <row r="56" spans="1:19" ht="30" customHeight="1">
      <c r="A56" s="282"/>
      <c r="B56" s="282"/>
      <c r="I56" s="283"/>
    </row>
    <row r="57" spans="1:19" ht="30" customHeight="1">
      <c r="A57" s="282"/>
      <c r="B57" s="282"/>
      <c r="I57" s="283"/>
    </row>
    <row r="58" spans="1:19" ht="30" customHeight="1">
      <c r="A58" s="282"/>
      <c r="B58" s="282"/>
      <c r="I58" s="283"/>
    </row>
    <row r="59" spans="1:19" ht="30" customHeight="1">
      <c r="A59" s="282"/>
      <c r="B59" s="282"/>
      <c r="I59" s="283"/>
    </row>
    <row r="60" spans="1:19" ht="30" customHeight="1">
      <c r="A60" s="282"/>
      <c r="B60" s="282"/>
      <c r="I60" s="283"/>
    </row>
    <row r="61" spans="1:19" ht="30" customHeight="1">
      <c r="A61" s="282"/>
      <c r="B61" s="282"/>
      <c r="I61" s="283"/>
      <c r="L61" s="283"/>
      <c r="M61" s="283"/>
      <c r="Q61" s="283"/>
      <c r="R61" s="283"/>
      <c r="S61" s="283"/>
    </row>
    <row r="62" spans="1:19" ht="30" customHeight="1">
      <c r="A62" s="282"/>
      <c r="B62" s="282"/>
      <c r="I62" s="283"/>
      <c r="L62" s="283"/>
      <c r="M62" s="283"/>
      <c r="Q62" s="283"/>
      <c r="R62" s="283"/>
      <c r="S62" s="283"/>
    </row>
    <row r="63" spans="1:19" ht="30" customHeight="1">
      <c r="A63" s="282"/>
      <c r="B63" s="282"/>
    </row>
    <row r="64" spans="1:19" ht="30" customHeight="1">
      <c r="A64" s="282"/>
      <c r="B64" s="282"/>
    </row>
    <row r="65" spans="1:2" ht="30" customHeight="1">
      <c r="A65" s="282"/>
      <c r="B65" s="282"/>
    </row>
    <row r="66" spans="1:2" ht="30" customHeight="1">
      <c r="A66" s="282"/>
      <c r="B66" s="282"/>
    </row>
    <row r="67" spans="1:2" ht="30" customHeight="1">
      <c r="A67" s="282"/>
      <c r="B67" s="282"/>
    </row>
    <row r="68" spans="1:2" ht="30" customHeight="1">
      <c r="A68" s="282"/>
      <c r="B68" s="282"/>
    </row>
    <row r="69" spans="1:2" ht="30" customHeight="1">
      <c r="A69" s="282"/>
      <c r="B69" s="282"/>
    </row>
    <row r="70" spans="1:2" ht="30" customHeight="1">
      <c r="A70" s="282"/>
      <c r="B70" s="282"/>
    </row>
    <row r="71" spans="1:2" ht="30" customHeight="1">
      <c r="A71" s="282"/>
      <c r="B71" s="282"/>
    </row>
    <row r="72" spans="1:2" ht="30" customHeight="1">
      <c r="A72" s="282"/>
      <c r="B72" s="282"/>
    </row>
    <row r="73" spans="1:2" ht="30" customHeight="1">
      <c r="A73" s="282"/>
      <c r="B73" s="282"/>
    </row>
    <row r="74" spans="1:2" ht="30" customHeight="1">
      <c r="A74" s="282"/>
      <c r="B74" s="282"/>
    </row>
    <row r="75" spans="1:2" ht="30" customHeight="1">
      <c r="A75" s="282"/>
      <c r="B75" s="282"/>
    </row>
    <row r="76" spans="1:2" ht="30" customHeight="1">
      <c r="A76" s="282"/>
      <c r="B76" s="282"/>
    </row>
    <row r="77" spans="1:2" ht="30" customHeight="1">
      <c r="A77" s="282"/>
      <c r="B77" s="282"/>
    </row>
    <row r="78" spans="1:2" ht="30" customHeight="1">
      <c r="A78" s="282"/>
      <c r="B78" s="282"/>
    </row>
    <row r="79" spans="1:2" ht="30" customHeight="1">
      <c r="A79" s="282"/>
      <c r="B79" s="282"/>
    </row>
    <row r="80" spans="1:2" ht="30" customHeight="1">
      <c r="A80" s="282"/>
      <c r="B80" s="282"/>
    </row>
    <row r="81" spans="1:2" ht="30" customHeight="1">
      <c r="A81" s="282"/>
      <c r="B81" s="282"/>
    </row>
    <row r="82" spans="1:2" ht="30" customHeight="1">
      <c r="A82" s="282"/>
      <c r="B82" s="282"/>
    </row>
    <row r="83" spans="1:2" ht="30" customHeight="1">
      <c r="A83" s="282"/>
      <c r="B83" s="282"/>
    </row>
    <row r="84" spans="1:2" ht="30" customHeight="1">
      <c r="A84" s="282"/>
      <c r="B84" s="282"/>
    </row>
    <row r="85" spans="1:2" ht="30" customHeight="1">
      <c r="A85" s="282"/>
      <c r="B85" s="282"/>
    </row>
    <row r="86" spans="1:2" ht="30" customHeight="1">
      <c r="A86" s="282"/>
      <c r="B86" s="282"/>
    </row>
    <row r="87" spans="1:2" ht="30" customHeight="1">
      <c r="A87" s="282"/>
      <c r="B87" s="282"/>
    </row>
    <row r="88" spans="1:2" ht="30" customHeight="1">
      <c r="A88" s="282"/>
      <c r="B88" s="282"/>
    </row>
    <row r="89" spans="1:2" ht="30" customHeight="1">
      <c r="A89" s="282"/>
      <c r="B89" s="282"/>
    </row>
    <row r="90" spans="1:2" ht="30" customHeight="1">
      <c r="A90" s="282"/>
      <c r="B90" s="282"/>
    </row>
    <row r="91" spans="1:2" ht="30" customHeight="1">
      <c r="A91" s="282"/>
      <c r="B91" s="282"/>
    </row>
    <row r="92" spans="1:2" ht="30" customHeight="1">
      <c r="A92" s="282"/>
      <c r="B92" s="282"/>
    </row>
    <row r="93" spans="1:2" ht="30" customHeight="1">
      <c r="A93" s="282"/>
      <c r="B93" s="282"/>
    </row>
    <row r="94" spans="1:2" ht="30" customHeight="1">
      <c r="A94" s="282"/>
      <c r="B94" s="282"/>
    </row>
    <row r="95" spans="1:2" ht="30" customHeight="1">
      <c r="A95" s="282"/>
      <c r="B95" s="282"/>
    </row>
    <row r="96" spans="1:2" ht="30" customHeight="1">
      <c r="A96" s="282"/>
      <c r="B96" s="282"/>
    </row>
  </sheetData>
  <mergeCells count="9">
    <mergeCell ref="A9:B9"/>
    <mergeCell ref="A10:B10"/>
    <mergeCell ref="A1:F1"/>
    <mergeCell ref="A2:A4"/>
    <mergeCell ref="B2:B4"/>
    <mergeCell ref="C2:C4"/>
    <mergeCell ref="D2:D4"/>
    <mergeCell ref="E2:E4"/>
    <mergeCell ref="F2:F4"/>
  </mergeCells>
  <phoneticPr fontId="13" type="noConversion"/>
  <printOptions horizontalCentered="1" gridLines="1"/>
  <pageMargins left="0.43307086614173229" right="0.31496062992125984" top="0.98425196850393704" bottom="0.78740157480314965" header="0.51181102362204722" footer="0.51181102362204722"/>
  <pageSetup paperSize="9" orientation="portrait" r:id="rId1"/>
  <headerFooter alignWithMargins="0">
    <oddHeader>&amp;C&amp;"돋움,굵게"&amp;14오수각형2호맨홀 수량산출근거-차도측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0000"/>
  </sheetPr>
  <dimension ref="A1:I162"/>
  <sheetViews>
    <sheetView workbookViewId="0">
      <selection sqref="A1:I1"/>
    </sheetView>
  </sheetViews>
  <sheetFormatPr defaultRowHeight="21.95" customHeight="1"/>
  <cols>
    <col min="1" max="1" width="3.77734375" style="109" customWidth="1"/>
    <col min="2" max="2" width="4.5546875" style="109" customWidth="1"/>
    <col min="3" max="3" width="9" style="109" customWidth="1"/>
    <col min="4" max="4" width="12.33203125" style="109" customWidth="1"/>
    <col min="5" max="5" width="6.33203125" style="109" customWidth="1"/>
    <col min="6" max="6" width="8.5546875" style="109" customWidth="1"/>
    <col min="7" max="7" width="10.33203125" style="109" customWidth="1"/>
    <col min="8" max="8" width="9" style="109" customWidth="1"/>
    <col min="9" max="9" width="12.5546875" style="109" customWidth="1"/>
    <col min="10" max="10" width="13.109375" style="109" customWidth="1"/>
    <col min="11" max="16384" width="8.88671875" style="109"/>
  </cols>
  <sheetData>
    <row r="1" spans="1:9" s="108" customFormat="1" ht="30" customHeight="1">
      <c r="A1" s="1508" t="s">
        <v>96</v>
      </c>
      <c r="B1" s="1508"/>
      <c r="C1" s="1508"/>
      <c r="D1" s="1508"/>
      <c r="E1" s="1508"/>
      <c r="F1" s="1508"/>
      <c r="G1" s="1508"/>
      <c r="H1" s="1508"/>
      <c r="I1" s="1508"/>
    </row>
    <row r="2" spans="1:9" ht="15" customHeight="1">
      <c r="A2" s="162"/>
      <c r="B2" s="162"/>
      <c r="C2" s="162"/>
      <c r="D2" s="162"/>
      <c r="E2" s="162"/>
      <c r="F2" s="162"/>
      <c r="G2" s="162"/>
      <c r="H2" s="162"/>
      <c r="I2" s="163" t="e">
        <f>CONCATENATE("평균토피H'=",F5,"")</f>
        <v>#REF!</v>
      </c>
    </row>
    <row r="3" spans="1:9" ht="23.45" customHeight="1">
      <c r="A3" s="1496" t="s">
        <v>275</v>
      </c>
      <c r="B3" s="1497"/>
      <c r="C3" s="1498"/>
      <c r="D3" s="164" t="s">
        <v>97</v>
      </c>
      <c r="E3" s="164" t="s">
        <v>98</v>
      </c>
      <c r="F3" s="164" t="s">
        <v>233</v>
      </c>
      <c r="G3" s="164" t="s">
        <v>99</v>
      </c>
      <c r="H3" s="164" t="s">
        <v>100</v>
      </c>
      <c r="I3" s="164" t="s">
        <v>22</v>
      </c>
    </row>
    <row r="4" spans="1:9" ht="23.45" customHeight="1">
      <c r="A4" s="1492" t="s">
        <v>101</v>
      </c>
      <c r="B4" s="1469" t="s">
        <v>102</v>
      </c>
      <c r="C4" s="1469"/>
      <c r="D4" s="165" t="s">
        <v>9</v>
      </c>
      <c r="E4" s="165" t="s">
        <v>15</v>
      </c>
      <c r="F4" s="165"/>
      <c r="G4" s="166">
        <f>특2호맨홀단위수량!E4</f>
        <v>0.88700000000000001</v>
      </c>
      <c r="H4" s="166">
        <f>G4</f>
        <v>0.88700000000000001</v>
      </c>
      <c r="I4" s="167"/>
    </row>
    <row r="5" spans="1:9" ht="23.45" customHeight="1">
      <c r="A5" s="1515"/>
      <c r="B5" s="1469" t="s">
        <v>103</v>
      </c>
      <c r="C5" s="1469" t="s">
        <v>2</v>
      </c>
      <c r="D5" s="1495" t="s">
        <v>9</v>
      </c>
      <c r="E5" s="1469" t="s">
        <v>15</v>
      </c>
      <c r="F5" s="1517" t="e">
        <f>#REF!</f>
        <v>#REF!</v>
      </c>
      <c r="G5" s="168">
        <f>특2호맨홀단위수량!E5</f>
        <v>1.8</v>
      </c>
      <c r="H5" s="1519" t="e">
        <f>G6</f>
        <v>#REF!</v>
      </c>
      <c r="I5" s="1469"/>
    </row>
    <row r="6" spans="1:9" ht="23.45" customHeight="1">
      <c r="A6" s="1515"/>
      <c r="B6" s="1469"/>
      <c r="C6" s="1469"/>
      <c r="D6" s="1495"/>
      <c r="E6" s="1469"/>
      <c r="F6" s="1518"/>
      <c r="G6" s="166" t="e">
        <f>ROUND(F5*G5,3)</f>
        <v>#REF!</v>
      </c>
      <c r="H6" s="1510"/>
      <c r="I6" s="1469"/>
    </row>
    <row r="7" spans="1:9" ht="23.45" customHeight="1">
      <c r="A7" s="1515"/>
      <c r="B7" s="1469"/>
      <c r="C7" s="165" t="s">
        <v>3</v>
      </c>
      <c r="D7" s="169" t="s">
        <v>9</v>
      </c>
      <c r="E7" s="165" t="s">
        <v>15</v>
      </c>
      <c r="F7" s="165"/>
      <c r="G7" s="166">
        <f>특2호맨홀단위수량!E6</f>
        <v>1.2</v>
      </c>
      <c r="H7" s="166">
        <f>ROUND(G7,3)</f>
        <v>1.2</v>
      </c>
      <c r="I7" s="165"/>
    </row>
    <row r="8" spans="1:9" ht="23.45" customHeight="1">
      <c r="A8" s="1515"/>
      <c r="B8" s="1469" t="s">
        <v>104</v>
      </c>
      <c r="C8" s="1469"/>
      <c r="D8" s="165"/>
      <c r="E8" s="165"/>
      <c r="F8" s="165"/>
      <c r="G8" s="166"/>
      <c r="H8" s="166" t="e">
        <f>SUM(H4:H7)</f>
        <v>#REF!</v>
      </c>
      <c r="I8" s="167"/>
    </row>
    <row r="9" spans="1:9" ht="24.95" customHeight="1">
      <c r="A9" s="1516"/>
      <c r="B9" s="1487" t="s">
        <v>105</v>
      </c>
      <c r="C9" s="1487"/>
      <c r="D9" s="169" t="s">
        <v>287</v>
      </c>
      <c r="E9" s="165" t="s">
        <v>15</v>
      </c>
      <c r="F9" s="165"/>
      <c r="G9" s="166">
        <f>특2호맨홀단위수량!E7</f>
        <v>3.7999999999999999E-2</v>
      </c>
      <c r="H9" s="166">
        <f>G9</f>
        <v>3.7999999999999999E-2</v>
      </c>
      <c r="I9" s="165"/>
    </row>
    <row r="10" spans="1:9" ht="23.45" customHeight="1">
      <c r="A10" s="1495" t="s">
        <v>120</v>
      </c>
      <c r="B10" s="1469" t="s">
        <v>121</v>
      </c>
      <c r="C10" s="165" t="s">
        <v>122</v>
      </c>
      <c r="D10" s="165" t="s">
        <v>106</v>
      </c>
      <c r="E10" s="165" t="s">
        <v>123</v>
      </c>
      <c r="F10" s="165"/>
      <c r="G10" s="166">
        <f>특2호맨홀단위수량!E8</f>
        <v>1.157</v>
      </c>
      <c r="H10" s="166">
        <f>G10</f>
        <v>1.157</v>
      </c>
      <c r="I10" s="165" t="s">
        <v>107</v>
      </c>
    </row>
    <row r="11" spans="1:9" ht="23.45" customHeight="1">
      <c r="A11" s="1495"/>
      <c r="B11" s="1469"/>
      <c r="C11" s="165" t="s">
        <v>122</v>
      </c>
      <c r="D11" s="165" t="s">
        <v>106</v>
      </c>
      <c r="E11" s="165" t="s">
        <v>123</v>
      </c>
      <c r="F11" s="165"/>
      <c r="G11" s="166">
        <f>특2호맨홀단위수량!E9</f>
        <v>2.16</v>
      </c>
      <c r="H11" s="166">
        <f>G11</f>
        <v>2.16</v>
      </c>
      <c r="I11" s="165" t="s">
        <v>124</v>
      </c>
    </row>
    <row r="12" spans="1:9" ht="23.45" customHeight="1">
      <c r="A12" s="1495"/>
      <c r="B12" s="1469"/>
      <c r="C12" s="165" t="s">
        <v>125</v>
      </c>
      <c r="D12" s="165" t="s">
        <v>106</v>
      </c>
      <c r="E12" s="165" t="s">
        <v>123</v>
      </c>
      <c r="F12" s="165"/>
      <c r="G12" s="166">
        <f>특2호맨홀단위수량!E10</f>
        <v>2.4</v>
      </c>
      <c r="H12" s="166">
        <f>G12</f>
        <v>2.4</v>
      </c>
      <c r="I12" s="165"/>
    </row>
    <row r="13" spans="1:9" ht="23.45" customHeight="1">
      <c r="A13" s="1495"/>
      <c r="B13" s="1469"/>
      <c r="C13" s="1469" t="s">
        <v>108</v>
      </c>
      <c r="D13" s="1469" t="s">
        <v>106</v>
      </c>
      <c r="E13" s="1469" t="s">
        <v>123</v>
      </c>
      <c r="F13" s="1469" t="e">
        <f>F5</f>
        <v>#REF!</v>
      </c>
      <c r="G13" s="168">
        <f>특2호맨홀단위수량!E11</f>
        <v>12</v>
      </c>
      <c r="H13" s="1509" t="e">
        <f>G14</f>
        <v>#REF!</v>
      </c>
      <c r="I13" s="1469"/>
    </row>
    <row r="14" spans="1:9" ht="23.45" customHeight="1">
      <c r="A14" s="1495"/>
      <c r="B14" s="1469"/>
      <c r="C14" s="1469"/>
      <c r="D14" s="1469"/>
      <c r="E14" s="1469"/>
      <c r="F14" s="1469"/>
      <c r="G14" s="166" t="e">
        <f>ROUND(F13*G13,3)</f>
        <v>#REF!</v>
      </c>
      <c r="H14" s="1510"/>
      <c r="I14" s="1469"/>
    </row>
    <row r="15" spans="1:9" ht="23.45" customHeight="1">
      <c r="A15" s="1495"/>
      <c r="B15" s="1469"/>
      <c r="C15" s="165" t="s">
        <v>122</v>
      </c>
      <c r="D15" s="1469" t="s">
        <v>106</v>
      </c>
      <c r="E15" s="165" t="s">
        <v>123</v>
      </c>
      <c r="F15" s="165"/>
      <c r="G15" s="166">
        <f>특2호맨홀단위수량!E12</f>
        <v>0.56499999999999995</v>
      </c>
      <c r="H15" s="166">
        <f>G15</f>
        <v>0.56499999999999995</v>
      </c>
      <c r="I15" s="165" t="s">
        <v>109</v>
      </c>
    </row>
    <row r="16" spans="1:9" ht="23.45" customHeight="1">
      <c r="A16" s="1495"/>
      <c r="B16" s="1469"/>
      <c r="C16" s="165" t="s">
        <v>20</v>
      </c>
      <c r="D16" s="1469"/>
      <c r="E16" s="165" t="s">
        <v>123</v>
      </c>
      <c r="F16" s="165"/>
      <c r="G16" s="166">
        <f>특2호맨홀단위수량!E13</f>
        <v>0.377</v>
      </c>
      <c r="H16" s="166">
        <f>G16</f>
        <v>0.377</v>
      </c>
      <c r="I16" s="165"/>
    </row>
    <row r="17" spans="1:9" ht="23.45" customHeight="1">
      <c r="A17" s="1495"/>
      <c r="B17" s="1469"/>
      <c r="C17" s="165" t="s">
        <v>110</v>
      </c>
      <c r="D17" s="165" t="s">
        <v>111</v>
      </c>
      <c r="E17" s="165"/>
      <c r="F17" s="165"/>
      <c r="G17" s="166"/>
      <c r="H17" s="166" t="e">
        <f>SUM(H10:H16)</f>
        <v>#REF!</v>
      </c>
      <c r="I17" s="165"/>
    </row>
    <row r="18" spans="1:9" ht="23.1" customHeight="1">
      <c r="A18" s="1469" t="s">
        <v>4</v>
      </c>
      <c r="B18" s="1469"/>
      <c r="C18" s="1469"/>
      <c r="D18" s="1469" t="s">
        <v>126</v>
      </c>
      <c r="E18" s="1469" t="s">
        <v>112</v>
      </c>
      <c r="F18" s="1469" t="e">
        <f>F5-0.6</f>
        <v>#REF!</v>
      </c>
      <c r="G18" s="170" t="e">
        <f>F18</f>
        <v>#REF!</v>
      </c>
      <c r="H18" s="1512" t="e">
        <f>ROUNDUP(G18/G19,0)</f>
        <v>#REF!</v>
      </c>
      <c r="I18" s="1514" t="s">
        <v>113</v>
      </c>
    </row>
    <row r="19" spans="1:9" ht="23.1" customHeight="1">
      <c r="A19" s="1469"/>
      <c r="B19" s="1469"/>
      <c r="C19" s="1469"/>
      <c r="D19" s="1469"/>
      <c r="E19" s="1469"/>
      <c r="F19" s="1469"/>
      <c r="G19" s="166">
        <v>0.3</v>
      </c>
      <c r="H19" s="1513"/>
      <c r="I19" s="1514"/>
    </row>
    <row r="20" spans="1:9" ht="23.1" customHeight="1">
      <c r="A20" s="1469" t="s">
        <v>114</v>
      </c>
      <c r="B20" s="1469"/>
      <c r="C20" s="1469"/>
      <c r="D20" s="1469" t="s">
        <v>115</v>
      </c>
      <c r="E20" s="1469" t="s">
        <v>116</v>
      </c>
      <c r="F20" s="1511" t="e">
        <f>F5</f>
        <v>#REF!</v>
      </c>
      <c r="G20" s="170">
        <f>특2호맨홀단위수량!E15</f>
        <v>1.157</v>
      </c>
      <c r="H20" s="1479" t="e">
        <f>ROUND(G21*90/100,3)</f>
        <v>#REF!</v>
      </c>
      <c r="I20" s="1482">
        <v>0.9</v>
      </c>
    </row>
    <row r="21" spans="1:9" ht="23.1" customHeight="1">
      <c r="A21" s="1469"/>
      <c r="B21" s="1469"/>
      <c r="C21" s="1469"/>
      <c r="D21" s="1469"/>
      <c r="E21" s="1469"/>
      <c r="F21" s="1469"/>
      <c r="G21" s="166" t="e">
        <f>ROUND(F20*G20,3)</f>
        <v>#REF!</v>
      </c>
      <c r="H21" s="1480"/>
      <c r="I21" s="1356"/>
    </row>
    <row r="22" spans="1:9" ht="23.45" customHeight="1">
      <c r="A22" s="1469" t="s">
        <v>284</v>
      </c>
      <c r="B22" s="1469"/>
      <c r="C22" s="1469"/>
      <c r="D22" s="171"/>
      <c r="E22" s="171" t="s">
        <v>234</v>
      </c>
      <c r="F22" s="172" t="e">
        <f>F5</f>
        <v>#REF!</v>
      </c>
      <c r="G22" s="173" t="e">
        <f>(2*4)*(F23-0.5)</f>
        <v>#REF!</v>
      </c>
      <c r="H22" s="173" t="e">
        <f>G22</f>
        <v>#REF!</v>
      </c>
      <c r="I22" s="171"/>
    </row>
    <row r="23" spans="1:9" ht="23.45" customHeight="1">
      <c r="A23" s="1469" t="s">
        <v>280</v>
      </c>
      <c r="B23" s="1469"/>
      <c r="C23" s="1469"/>
      <c r="D23" s="1469" t="s">
        <v>117</v>
      </c>
      <c r="E23" s="1469" t="s">
        <v>234</v>
      </c>
      <c r="F23" s="1469" t="e">
        <f>F5</f>
        <v>#REF!</v>
      </c>
      <c r="G23" s="170">
        <f>특2호맨홀단위수량!E17</f>
        <v>9.6</v>
      </c>
      <c r="H23" s="1509" t="e">
        <f>G24</f>
        <v>#REF!</v>
      </c>
      <c r="I23" s="1469"/>
    </row>
    <row r="24" spans="1:9" ht="23.45" customHeight="1">
      <c r="A24" s="1469"/>
      <c r="B24" s="1469"/>
      <c r="C24" s="1469"/>
      <c r="D24" s="1469"/>
      <c r="E24" s="1469"/>
      <c r="F24" s="1469"/>
      <c r="G24" s="166" t="e">
        <f>ROUND(F23*G23,3)</f>
        <v>#REF!</v>
      </c>
      <c r="H24" s="1510"/>
      <c r="I24" s="1469"/>
    </row>
    <row r="25" spans="1:9" ht="23.45" customHeight="1">
      <c r="A25" s="1469" t="s">
        <v>278</v>
      </c>
      <c r="B25" s="1469"/>
      <c r="C25" s="1469"/>
      <c r="D25" s="165" t="s">
        <v>235</v>
      </c>
      <c r="E25" s="165" t="s">
        <v>234</v>
      </c>
      <c r="F25" s="165"/>
      <c r="G25" s="166">
        <f>특2호맨홀단위수량!E18</f>
        <v>6.9569999999999999</v>
      </c>
      <c r="H25" s="166">
        <f>G25</f>
        <v>6.9569999999999999</v>
      </c>
      <c r="I25" s="165"/>
    </row>
    <row r="26" spans="1:9" ht="23.45" customHeight="1">
      <c r="A26" s="1499" t="s">
        <v>236</v>
      </c>
      <c r="B26" s="1500"/>
      <c r="C26" s="1501"/>
      <c r="D26" s="165" t="s">
        <v>237</v>
      </c>
      <c r="E26" s="165" t="s">
        <v>118</v>
      </c>
      <c r="F26" s="165"/>
      <c r="G26" s="166">
        <f>특2호맨홀단위수량!E19</f>
        <v>0</v>
      </c>
      <c r="H26" s="166">
        <f>G26</f>
        <v>0</v>
      </c>
      <c r="I26" s="165"/>
    </row>
    <row r="27" spans="1:9" ht="23.45" customHeight="1">
      <c r="A27" s="1502"/>
      <c r="B27" s="1503"/>
      <c r="C27" s="1504"/>
      <c r="D27" s="165" t="s">
        <v>238</v>
      </c>
      <c r="E27" s="165" t="s">
        <v>118</v>
      </c>
      <c r="F27" s="165"/>
      <c r="G27" s="166">
        <f>특2호맨홀단위수량!E20</f>
        <v>0.20399999999999999</v>
      </c>
      <c r="H27" s="166">
        <f>G27</f>
        <v>0.20399999999999999</v>
      </c>
      <c r="I27" s="165"/>
    </row>
    <row r="28" spans="1:9" ht="23.45" customHeight="1">
      <c r="A28" s="1502"/>
      <c r="B28" s="1503"/>
      <c r="C28" s="1504"/>
      <c r="D28" s="165" t="s">
        <v>239</v>
      </c>
      <c r="E28" s="165" t="s">
        <v>118</v>
      </c>
      <c r="F28" s="174"/>
      <c r="G28" s="166">
        <f>특2호맨홀단위수량!E21</f>
        <v>0.80700000000000005</v>
      </c>
      <c r="H28" s="166">
        <f>G28</f>
        <v>0.80700000000000005</v>
      </c>
      <c r="I28" s="175"/>
    </row>
    <row r="29" spans="1:9" ht="23.45" customHeight="1">
      <c r="A29" s="1505"/>
      <c r="B29" s="1506"/>
      <c r="C29" s="1507"/>
      <c r="D29" s="165" t="s">
        <v>240</v>
      </c>
      <c r="E29" s="165"/>
      <c r="F29" s="165"/>
      <c r="G29" s="166"/>
      <c r="H29" s="166">
        <f>SUM(H26:H28)</f>
        <v>1.0110000000000001</v>
      </c>
      <c r="I29" s="165"/>
    </row>
    <row r="30" spans="1:9" ht="23.45" customHeight="1">
      <c r="A30" s="1469" t="s">
        <v>241</v>
      </c>
      <c r="B30" s="1469"/>
      <c r="C30" s="1469"/>
      <c r="D30" s="165" t="s">
        <v>305</v>
      </c>
      <c r="E30" s="165" t="s">
        <v>119</v>
      </c>
      <c r="F30" s="165"/>
      <c r="G30" s="176">
        <f>특2호맨홀단위수량!E22</f>
        <v>1</v>
      </c>
      <c r="H30" s="176">
        <f>G30</f>
        <v>1</v>
      </c>
      <c r="I30" s="165"/>
    </row>
    <row r="31" spans="1:9" ht="23.45" customHeight="1">
      <c r="A31" s="1356" t="s">
        <v>242</v>
      </c>
      <c r="B31" s="1356"/>
      <c r="C31" s="1356"/>
      <c r="D31" s="171" t="s">
        <v>243</v>
      </c>
      <c r="E31" s="171" t="s">
        <v>244</v>
      </c>
      <c r="F31" s="171"/>
      <c r="G31" s="177">
        <f>특2호맨홀단위수량!E23</f>
        <v>0.96799999999999997</v>
      </c>
      <c r="H31" s="177">
        <f>G31</f>
        <v>0.96799999999999997</v>
      </c>
      <c r="I31" s="171"/>
    </row>
    <row r="32" spans="1:9" s="108" customFormat="1" ht="30" customHeight="1">
      <c r="A32" s="1508" t="s">
        <v>272</v>
      </c>
      <c r="B32" s="1508"/>
      <c r="C32" s="1508"/>
      <c r="D32" s="1508"/>
      <c r="E32" s="1508"/>
      <c r="F32" s="1508"/>
      <c r="G32" s="1508"/>
      <c r="H32" s="1508"/>
      <c r="I32" s="1508"/>
    </row>
    <row r="33" spans="1:9" ht="15" customHeight="1">
      <c r="A33" s="162"/>
      <c r="B33" s="162"/>
      <c r="C33" s="162"/>
      <c r="D33" s="162"/>
      <c r="E33" s="162"/>
      <c r="F33" s="162"/>
      <c r="G33" s="162"/>
      <c r="H33" s="162"/>
      <c r="I33" s="163" t="e">
        <f>CONCATENATE("평균토피H'=",F36,"")</f>
        <v>#REF!</v>
      </c>
    </row>
    <row r="34" spans="1:9" s="100" customFormat="1" ht="23.45" customHeight="1">
      <c r="A34" s="1496" t="s">
        <v>275</v>
      </c>
      <c r="B34" s="1497"/>
      <c r="C34" s="1498"/>
      <c r="D34" s="178" t="s">
        <v>245</v>
      </c>
      <c r="E34" s="178" t="s">
        <v>246</v>
      </c>
      <c r="F34" s="178" t="s">
        <v>247</v>
      </c>
      <c r="G34" s="178" t="s">
        <v>248</v>
      </c>
      <c r="H34" s="178" t="s">
        <v>249</v>
      </c>
      <c r="I34" s="178" t="s">
        <v>250</v>
      </c>
    </row>
    <row r="35" spans="1:9" s="100" customFormat="1" ht="23.45" customHeight="1">
      <c r="A35" s="1492" t="s">
        <v>251</v>
      </c>
      <c r="B35" s="1469" t="s">
        <v>252</v>
      </c>
      <c r="C35" s="1469"/>
      <c r="D35" s="165" t="s">
        <v>253</v>
      </c>
      <c r="E35" s="171" t="s">
        <v>244</v>
      </c>
      <c r="F35" s="171"/>
      <c r="G35" s="177">
        <f>특2호맨홀단위수량!E27</f>
        <v>0.88700000000000001</v>
      </c>
      <c r="H35" s="177">
        <f>G35</f>
        <v>0.88700000000000001</v>
      </c>
      <c r="I35" s="179"/>
    </row>
    <row r="36" spans="1:9" s="100" customFormat="1" ht="23.45" customHeight="1">
      <c r="A36" s="1493"/>
      <c r="B36" s="1469" t="s">
        <v>254</v>
      </c>
      <c r="C36" s="1469" t="s">
        <v>255</v>
      </c>
      <c r="D36" s="1495" t="s">
        <v>253</v>
      </c>
      <c r="E36" s="1356" t="s">
        <v>244</v>
      </c>
      <c r="F36" s="1485" t="e">
        <f>#REF!</f>
        <v>#REF!</v>
      </c>
      <c r="G36" s="180">
        <f>특2호맨홀단위수량!E28</f>
        <v>1.8</v>
      </c>
      <c r="H36" s="1479" t="e">
        <f>G37</f>
        <v>#REF!</v>
      </c>
      <c r="I36" s="1356"/>
    </row>
    <row r="37" spans="1:9" s="100" customFormat="1" ht="23.45" customHeight="1">
      <c r="A37" s="1493"/>
      <c r="B37" s="1469"/>
      <c r="C37" s="1469"/>
      <c r="D37" s="1495"/>
      <c r="E37" s="1356"/>
      <c r="F37" s="1486"/>
      <c r="G37" s="177" t="e">
        <f>ROUND(F36*G36,3)</f>
        <v>#REF!</v>
      </c>
      <c r="H37" s="1480"/>
      <c r="I37" s="1356"/>
    </row>
    <row r="38" spans="1:9" s="100" customFormat="1" ht="23.45" customHeight="1">
      <c r="A38" s="1493"/>
      <c r="B38" s="1469"/>
      <c r="C38" s="165" t="s">
        <v>256</v>
      </c>
      <c r="D38" s="169" t="s">
        <v>253</v>
      </c>
      <c r="E38" s="171" t="s">
        <v>244</v>
      </c>
      <c r="F38" s="171"/>
      <c r="G38" s="177">
        <f>특2호맨홀단위수량!E29</f>
        <v>1.2</v>
      </c>
      <c r="H38" s="177">
        <f>ROUND(G38,3)</f>
        <v>1.2</v>
      </c>
      <c r="I38" s="171"/>
    </row>
    <row r="39" spans="1:9" s="100" customFormat="1" ht="23.45" customHeight="1">
      <c r="A39" s="1493"/>
      <c r="B39" s="1469" t="s">
        <v>240</v>
      </c>
      <c r="C39" s="1469"/>
      <c r="D39" s="165"/>
      <c r="E39" s="171"/>
      <c r="F39" s="171"/>
      <c r="G39" s="177"/>
      <c r="H39" s="177" t="e">
        <f>SUM(H35:H38)</f>
        <v>#REF!</v>
      </c>
      <c r="I39" s="179"/>
    </row>
    <row r="40" spans="1:9" s="100" customFormat="1" ht="23.45" customHeight="1">
      <c r="A40" s="1494"/>
      <c r="B40" s="1487" t="s">
        <v>257</v>
      </c>
      <c r="C40" s="1487"/>
      <c r="D40" s="169" t="s">
        <v>288</v>
      </c>
      <c r="E40" s="171" t="s">
        <v>244</v>
      </c>
      <c r="F40" s="171"/>
      <c r="G40" s="177">
        <f>특2호맨홀단위수량!E30</f>
        <v>3.7999999999999999E-2</v>
      </c>
      <c r="H40" s="177">
        <f>G40</f>
        <v>3.7999999999999999E-2</v>
      </c>
      <c r="I40" s="171"/>
    </row>
    <row r="41" spans="1:9" s="100" customFormat="1" ht="23.45" customHeight="1">
      <c r="A41" s="1487" t="s">
        <v>258</v>
      </c>
      <c r="B41" s="1489" t="s">
        <v>259</v>
      </c>
      <c r="C41" s="165" t="s">
        <v>260</v>
      </c>
      <c r="D41" s="165" t="s">
        <v>261</v>
      </c>
      <c r="E41" s="165" t="s">
        <v>262</v>
      </c>
      <c r="F41" s="171"/>
      <c r="G41" s="177">
        <f>특2호맨홀단위수량!E31</f>
        <v>1.157</v>
      </c>
      <c r="H41" s="177">
        <f>G41</f>
        <v>1.157</v>
      </c>
      <c r="I41" s="171" t="s">
        <v>263</v>
      </c>
    </row>
    <row r="42" spans="1:9" s="100" customFormat="1" ht="23.45" customHeight="1">
      <c r="A42" s="1487"/>
      <c r="B42" s="1490"/>
      <c r="C42" s="165" t="s">
        <v>260</v>
      </c>
      <c r="D42" s="165" t="s">
        <v>261</v>
      </c>
      <c r="E42" s="165" t="s">
        <v>262</v>
      </c>
      <c r="F42" s="171"/>
      <c r="G42" s="177">
        <f>특2호맨홀단위수량!E32</f>
        <v>2.16</v>
      </c>
      <c r="H42" s="177">
        <f>G42</f>
        <v>2.16</v>
      </c>
      <c r="I42" s="171" t="s">
        <v>264</v>
      </c>
    </row>
    <row r="43" spans="1:9" s="100" customFormat="1" ht="23.45" customHeight="1">
      <c r="A43" s="1487"/>
      <c r="B43" s="1490"/>
      <c r="C43" s="165" t="s">
        <v>265</v>
      </c>
      <c r="D43" s="165" t="s">
        <v>261</v>
      </c>
      <c r="E43" s="165" t="s">
        <v>262</v>
      </c>
      <c r="F43" s="171"/>
      <c r="G43" s="177">
        <f>특2호맨홀단위수량!E33</f>
        <v>2.4</v>
      </c>
      <c r="H43" s="177">
        <f>G43</f>
        <v>2.4</v>
      </c>
      <c r="I43" s="171"/>
    </row>
    <row r="44" spans="1:9" s="100" customFormat="1" ht="23.45" customHeight="1">
      <c r="A44" s="1487"/>
      <c r="B44" s="1490"/>
      <c r="C44" s="1469" t="s">
        <v>266</v>
      </c>
      <c r="D44" s="1469" t="s">
        <v>261</v>
      </c>
      <c r="E44" s="1469" t="s">
        <v>262</v>
      </c>
      <c r="F44" s="1356" t="e">
        <f>F36</f>
        <v>#REF!</v>
      </c>
      <c r="G44" s="180">
        <f>특2호맨홀단위수량!E34</f>
        <v>12</v>
      </c>
      <c r="H44" s="1479" t="e">
        <f>G45</f>
        <v>#REF!</v>
      </c>
      <c r="I44" s="1356"/>
    </row>
    <row r="45" spans="1:9" s="100" customFormat="1" ht="23.45" customHeight="1">
      <c r="A45" s="1487"/>
      <c r="B45" s="1490"/>
      <c r="C45" s="1469"/>
      <c r="D45" s="1469"/>
      <c r="E45" s="1469"/>
      <c r="F45" s="1356"/>
      <c r="G45" s="177" t="e">
        <f>ROUND(F44*G44,3)</f>
        <v>#REF!</v>
      </c>
      <c r="H45" s="1480"/>
      <c r="I45" s="1356"/>
    </row>
    <row r="46" spans="1:9" s="100" customFormat="1" ht="23.45" customHeight="1">
      <c r="A46" s="1487"/>
      <c r="B46" s="1490"/>
      <c r="C46" s="165" t="s">
        <v>260</v>
      </c>
      <c r="D46" s="1469" t="s">
        <v>261</v>
      </c>
      <c r="E46" s="165" t="s">
        <v>262</v>
      </c>
      <c r="F46" s="171"/>
      <c r="G46" s="177">
        <f>특2호맨홀단위수량!E35</f>
        <v>0.56499999999999995</v>
      </c>
      <c r="H46" s="177">
        <f>G46</f>
        <v>0.56499999999999995</v>
      </c>
      <c r="I46" s="171"/>
    </row>
    <row r="47" spans="1:9" s="100" customFormat="1" ht="23.45" customHeight="1">
      <c r="A47" s="1487"/>
      <c r="B47" s="1490"/>
      <c r="C47" s="165" t="s">
        <v>267</v>
      </c>
      <c r="D47" s="1469"/>
      <c r="E47" s="165" t="s">
        <v>262</v>
      </c>
      <c r="F47" s="171"/>
      <c r="G47" s="177">
        <f>특2호맨홀단위수량!E36</f>
        <v>0.377</v>
      </c>
      <c r="H47" s="177">
        <f>G47</f>
        <v>0.377</v>
      </c>
      <c r="I47" s="171"/>
    </row>
    <row r="48" spans="1:9" ht="23.45" customHeight="1">
      <c r="A48" s="1488"/>
      <c r="B48" s="1491"/>
      <c r="C48" s="165" t="s">
        <v>268</v>
      </c>
      <c r="D48" s="181"/>
      <c r="E48" s="165" t="s">
        <v>262</v>
      </c>
      <c r="F48" s="165"/>
      <c r="G48" s="166"/>
      <c r="H48" s="166" t="e">
        <f>SUM(H41:H47)</f>
        <v>#REF!</v>
      </c>
      <c r="I48" s="165"/>
    </row>
    <row r="49" spans="1:9" s="100" customFormat="1" ht="23.1" customHeight="1">
      <c r="A49" s="1356" t="s">
        <v>269</v>
      </c>
      <c r="B49" s="1356"/>
      <c r="C49" s="1356"/>
      <c r="D49" s="1356" t="s">
        <v>270</v>
      </c>
      <c r="E49" s="1356" t="s">
        <v>119</v>
      </c>
      <c r="F49" s="1356" t="e">
        <f>F36-0.6</f>
        <v>#REF!</v>
      </c>
      <c r="G49" s="182" t="e">
        <f>F49</f>
        <v>#REF!</v>
      </c>
      <c r="H49" s="1483" t="e">
        <f>ROUNDUP(G49/G50,0)</f>
        <v>#REF!</v>
      </c>
      <c r="I49" s="1356" t="s">
        <v>271</v>
      </c>
    </row>
    <row r="50" spans="1:9" s="100" customFormat="1" ht="23.1" customHeight="1">
      <c r="A50" s="1356"/>
      <c r="B50" s="1356"/>
      <c r="C50" s="1356"/>
      <c r="D50" s="1356"/>
      <c r="E50" s="1356"/>
      <c r="F50" s="1356"/>
      <c r="G50" s="177">
        <v>0.3</v>
      </c>
      <c r="H50" s="1484"/>
      <c r="I50" s="1356"/>
    </row>
    <row r="51" spans="1:9" s="100" customFormat="1" ht="23.1" customHeight="1">
      <c r="A51" s="1356" t="s">
        <v>114</v>
      </c>
      <c r="B51" s="1356"/>
      <c r="C51" s="1356"/>
      <c r="D51" s="1356" t="s">
        <v>115</v>
      </c>
      <c r="E51" s="1356" t="s">
        <v>116</v>
      </c>
      <c r="F51" s="1481" t="e">
        <f>F36</f>
        <v>#REF!</v>
      </c>
      <c r="G51" s="182">
        <f>특2호맨홀단위수량!E38</f>
        <v>1.157</v>
      </c>
      <c r="H51" s="1479" t="e">
        <f>ROUND(G52*90/100,3)</f>
        <v>#REF!</v>
      </c>
      <c r="I51" s="1482">
        <v>0.9</v>
      </c>
    </row>
    <row r="52" spans="1:9" s="100" customFormat="1" ht="23.1" customHeight="1">
      <c r="A52" s="1356"/>
      <c r="B52" s="1356"/>
      <c r="C52" s="1356"/>
      <c r="D52" s="1356"/>
      <c r="E52" s="1356"/>
      <c r="F52" s="1356"/>
      <c r="G52" s="177" t="e">
        <f>ROUND(F51*G51,3)</f>
        <v>#REF!</v>
      </c>
      <c r="H52" s="1480"/>
      <c r="I52" s="1356"/>
    </row>
    <row r="53" spans="1:9" s="100" customFormat="1" ht="23.45" customHeight="1">
      <c r="A53" s="1469" t="s">
        <v>284</v>
      </c>
      <c r="B53" s="1469"/>
      <c r="C53" s="1469"/>
      <c r="D53" s="171"/>
      <c r="E53" s="171" t="s">
        <v>234</v>
      </c>
      <c r="F53" s="172" t="e">
        <f>F36</f>
        <v>#REF!</v>
      </c>
      <c r="G53" s="173" t="e">
        <f>(2*4)*(F54-0.5)</f>
        <v>#REF!</v>
      </c>
      <c r="H53" s="173" t="e">
        <f>G53</f>
        <v>#REF!</v>
      </c>
      <c r="I53" s="171"/>
    </row>
    <row r="54" spans="1:9" s="100" customFormat="1" ht="23.45" customHeight="1">
      <c r="A54" s="1469" t="s">
        <v>280</v>
      </c>
      <c r="B54" s="1469"/>
      <c r="C54" s="1469"/>
      <c r="D54" s="1356" t="s">
        <v>117</v>
      </c>
      <c r="E54" s="1356" t="s">
        <v>127</v>
      </c>
      <c r="F54" s="1356" t="e">
        <f>F36</f>
        <v>#REF!</v>
      </c>
      <c r="G54" s="182">
        <f>특2호맨홀단위수량!E40</f>
        <v>9.6</v>
      </c>
      <c r="H54" s="1479" t="e">
        <f>G55</f>
        <v>#REF!</v>
      </c>
      <c r="I54" s="1356"/>
    </row>
    <row r="55" spans="1:9" s="100" customFormat="1" ht="23.45" customHeight="1">
      <c r="A55" s="1469"/>
      <c r="B55" s="1469"/>
      <c r="C55" s="1469"/>
      <c r="D55" s="1356"/>
      <c r="E55" s="1356"/>
      <c r="F55" s="1356"/>
      <c r="G55" s="177" t="e">
        <f>ROUND(F54*G54,3)</f>
        <v>#REF!</v>
      </c>
      <c r="H55" s="1480"/>
      <c r="I55" s="1356"/>
    </row>
    <row r="56" spans="1:9" s="100" customFormat="1" ht="23.45" customHeight="1">
      <c r="A56" s="1469" t="s">
        <v>278</v>
      </c>
      <c r="B56" s="1469"/>
      <c r="C56" s="1469"/>
      <c r="D56" s="171" t="s">
        <v>235</v>
      </c>
      <c r="E56" s="171" t="s">
        <v>234</v>
      </c>
      <c r="F56" s="171"/>
      <c r="G56" s="177">
        <f>특2호맨홀단위수량!E41</f>
        <v>6.9569999999999999</v>
      </c>
      <c r="H56" s="177">
        <f>G56</f>
        <v>6.9569999999999999</v>
      </c>
      <c r="I56" s="171"/>
    </row>
    <row r="57" spans="1:9" s="100" customFormat="1" ht="23.45" customHeight="1">
      <c r="A57" s="1470" t="s">
        <v>236</v>
      </c>
      <c r="B57" s="1471"/>
      <c r="C57" s="1472"/>
      <c r="D57" s="171" t="s">
        <v>237</v>
      </c>
      <c r="E57" s="171" t="s">
        <v>118</v>
      </c>
      <c r="F57" s="171"/>
      <c r="G57" s="177">
        <f>특2호맨홀단위수량!E42</f>
        <v>0</v>
      </c>
      <c r="H57" s="177">
        <f>G57</f>
        <v>0</v>
      </c>
      <c r="I57" s="171"/>
    </row>
    <row r="58" spans="1:9" s="100" customFormat="1" ht="23.45" customHeight="1">
      <c r="A58" s="1473"/>
      <c r="B58" s="1474"/>
      <c r="C58" s="1475"/>
      <c r="D58" s="171" t="s">
        <v>238</v>
      </c>
      <c r="E58" s="171" t="s">
        <v>118</v>
      </c>
      <c r="F58" s="171"/>
      <c r="G58" s="177">
        <f>특2호맨홀단위수량!E43</f>
        <v>0.17699999999999999</v>
      </c>
      <c r="H58" s="177">
        <f>G58</f>
        <v>0.17699999999999999</v>
      </c>
      <c r="I58" s="183"/>
    </row>
    <row r="59" spans="1:9" s="100" customFormat="1" ht="23.45" customHeight="1">
      <c r="A59" s="1473"/>
      <c r="B59" s="1474"/>
      <c r="C59" s="1475"/>
      <c r="D59" s="171" t="s">
        <v>239</v>
      </c>
      <c r="E59" s="171" t="s">
        <v>118</v>
      </c>
      <c r="F59" s="172"/>
      <c r="G59" s="177">
        <f>특2호맨홀단위수량!E44</f>
        <v>0.72499999999999998</v>
      </c>
      <c r="H59" s="177">
        <f>G59</f>
        <v>0.72499999999999998</v>
      </c>
      <c r="I59" s="184"/>
    </row>
    <row r="60" spans="1:9" s="100" customFormat="1" ht="23.45" customHeight="1">
      <c r="A60" s="1476"/>
      <c r="B60" s="1477"/>
      <c r="C60" s="1478"/>
      <c r="D60" s="171" t="s">
        <v>240</v>
      </c>
      <c r="E60" s="171"/>
      <c r="F60" s="171"/>
      <c r="G60" s="177"/>
      <c r="H60" s="177">
        <f>SUM(H57:H59)</f>
        <v>0.90199999999999991</v>
      </c>
      <c r="I60" s="171"/>
    </row>
    <row r="61" spans="1:9" s="100" customFormat="1" ht="24.95" customHeight="1">
      <c r="A61" s="1356" t="s">
        <v>241</v>
      </c>
      <c r="B61" s="1356"/>
      <c r="C61" s="1356"/>
      <c r="D61" s="183" t="s">
        <v>274</v>
      </c>
      <c r="E61" s="171" t="s">
        <v>119</v>
      </c>
      <c r="F61" s="171"/>
      <c r="G61" s="185">
        <f>특2호맨홀단위수량!E45</f>
        <v>1</v>
      </c>
      <c r="H61" s="185">
        <f>G61</f>
        <v>1</v>
      </c>
      <c r="I61" s="171"/>
    </row>
    <row r="62" spans="1:9" ht="23.45" customHeight="1">
      <c r="A62" s="1356" t="s">
        <v>242</v>
      </c>
      <c r="B62" s="1356"/>
      <c r="C62" s="1356"/>
      <c r="D62" s="171" t="s">
        <v>243</v>
      </c>
      <c r="E62" s="171" t="s">
        <v>244</v>
      </c>
      <c r="F62" s="171"/>
      <c r="G62" s="177">
        <f>특2호맨홀단위수량!E46</f>
        <v>0.96799999999999997</v>
      </c>
      <c r="H62" s="177">
        <f>G62</f>
        <v>0.96799999999999997</v>
      </c>
      <c r="I62" s="171"/>
    </row>
    <row r="63" spans="1:9" ht="21.95" customHeight="1">
      <c r="G63" s="110"/>
      <c r="H63" s="110"/>
    </row>
    <row r="64" spans="1:9" ht="21.95" customHeight="1">
      <c r="G64" s="110"/>
      <c r="H64" s="110"/>
    </row>
    <row r="65" spans="7:8" ht="21.95" customHeight="1">
      <c r="G65" s="110"/>
      <c r="H65" s="110"/>
    </row>
    <row r="66" spans="7:8" ht="21.95" customHeight="1">
      <c r="G66" s="110"/>
      <c r="H66" s="110"/>
    </row>
    <row r="67" spans="7:8" ht="21.95" customHeight="1">
      <c r="G67" s="110"/>
      <c r="H67" s="110"/>
    </row>
    <row r="68" spans="7:8" ht="21.95" customHeight="1">
      <c r="G68" s="110"/>
      <c r="H68" s="110"/>
    </row>
    <row r="69" spans="7:8" ht="21.95" customHeight="1">
      <c r="G69" s="110"/>
      <c r="H69" s="110"/>
    </row>
    <row r="70" spans="7:8" ht="21.95" customHeight="1">
      <c r="G70" s="110"/>
      <c r="H70" s="110"/>
    </row>
    <row r="71" spans="7:8" ht="21.95" customHeight="1">
      <c r="G71" s="110"/>
      <c r="H71" s="110"/>
    </row>
    <row r="72" spans="7:8" ht="21.95" customHeight="1">
      <c r="G72" s="110"/>
      <c r="H72" s="110"/>
    </row>
    <row r="73" spans="7:8" ht="21.95" customHeight="1">
      <c r="G73" s="110"/>
      <c r="H73" s="110"/>
    </row>
    <row r="74" spans="7:8" ht="21.95" customHeight="1">
      <c r="G74" s="110"/>
      <c r="H74" s="110"/>
    </row>
    <row r="75" spans="7:8" ht="21.95" customHeight="1">
      <c r="G75" s="110"/>
      <c r="H75" s="110"/>
    </row>
    <row r="76" spans="7:8" ht="21.95" customHeight="1">
      <c r="G76" s="110"/>
      <c r="H76" s="110"/>
    </row>
    <row r="77" spans="7:8" ht="21.95" customHeight="1">
      <c r="G77" s="110"/>
      <c r="H77" s="110"/>
    </row>
    <row r="78" spans="7:8" ht="21.95" customHeight="1">
      <c r="G78" s="110"/>
      <c r="H78" s="110"/>
    </row>
    <row r="79" spans="7:8" ht="21.95" customHeight="1">
      <c r="G79" s="110"/>
      <c r="H79" s="110"/>
    </row>
    <row r="80" spans="7:8" ht="21.95" customHeight="1">
      <c r="G80" s="110"/>
      <c r="H80" s="110"/>
    </row>
    <row r="81" spans="7:8" ht="21.95" customHeight="1">
      <c r="G81" s="110"/>
      <c r="H81" s="110"/>
    </row>
    <row r="82" spans="7:8" ht="21.95" customHeight="1">
      <c r="G82" s="110"/>
      <c r="H82" s="110"/>
    </row>
    <row r="83" spans="7:8" ht="21.95" customHeight="1">
      <c r="G83" s="110"/>
      <c r="H83" s="110"/>
    </row>
    <row r="84" spans="7:8" ht="21.95" customHeight="1">
      <c r="G84" s="110"/>
      <c r="H84" s="110"/>
    </row>
    <row r="85" spans="7:8" ht="21.95" customHeight="1">
      <c r="G85" s="110"/>
      <c r="H85" s="110"/>
    </row>
    <row r="86" spans="7:8" ht="21.95" customHeight="1">
      <c r="G86" s="110"/>
      <c r="H86" s="110"/>
    </row>
    <row r="87" spans="7:8" ht="21.95" customHeight="1">
      <c r="G87" s="110"/>
      <c r="H87" s="110"/>
    </row>
    <row r="88" spans="7:8" ht="21.95" customHeight="1">
      <c r="G88" s="110"/>
      <c r="H88" s="110"/>
    </row>
    <row r="89" spans="7:8" ht="21.95" customHeight="1">
      <c r="G89" s="110"/>
      <c r="H89" s="110"/>
    </row>
    <row r="90" spans="7:8" ht="21.95" customHeight="1">
      <c r="G90" s="110"/>
      <c r="H90" s="110"/>
    </row>
    <row r="91" spans="7:8" ht="21.95" customHeight="1">
      <c r="G91" s="110"/>
      <c r="H91" s="110"/>
    </row>
    <row r="92" spans="7:8" ht="21.95" customHeight="1">
      <c r="G92" s="110"/>
      <c r="H92" s="110"/>
    </row>
    <row r="93" spans="7:8" ht="21.95" customHeight="1">
      <c r="G93" s="110"/>
      <c r="H93" s="110"/>
    </row>
    <row r="94" spans="7:8" ht="21.95" customHeight="1">
      <c r="G94" s="110"/>
      <c r="H94" s="110"/>
    </row>
    <row r="95" spans="7:8" ht="21.95" customHeight="1">
      <c r="G95" s="110"/>
      <c r="H95" s="110"/>
    </row>
    <row r="96" spans="7:8" ht="21.95" customHeight="1">
      <c r="G96" s="110"/>
      <c r="H96" s="110"/>
    </row>
    <row r="97" spans="7:8" ht="21.95" customHeight="1">
      <c r="G97" s="110"/>
      <c r="H97" s="110"/>
    </row>
    <row r="98" spans="7:8" ht="21.95" customHeight="1">
      <c r="G98" s="110"/>
      <c r="H98" s="110"/>
    </row>
    <row r="99" spans="7:8" ht="21.95" customHeight="1">
      <c r="G99" s="110"/>
      <c r="H99" s="110"/>
    </row>
    <row r="100" spans="7:8" ht="21.95" customHeight="1">
      <c r="G100" s="110"/>
      <c r="H100" s="110"/>
    </row>
    <row r="101" spans="7:8" ht="21.95" customHeight="1">
      <c r="G101" s="110"/>
      <c r="H101" s="110"/>
    </row>
    <row r="102" spans="7:8" ht="21.95" customHeight="1">
      <c r="G102" s="110"/>
      <c r="H102" s="110"/>
    </row>
    <row r="103" spans="7:8" ht="21.95" customHeight="1">
      <c r="G103" s="110"/>
      <c r="H103" s="110"/>
    </row>
    <row r="104" spans="7:8" ht="21.95" customHeight="1">
      <c r="G104" s="110"/>
      <c r="H104" s="110"/>
    </row>
    <row r="105" spans="7:8" ht="21.95" customHeight="1">
      <c r="G105" s="110"/>
      <c r="H105" s="110"/>
    </row>
    <row r="106" spans="7:8" ht="21.95" customHeight="1">
      <c r="G106" s="110"/>
      <c r="H106" s="110"/>
    </row>
    <row r="107" spans="7:8" ht="21.95" customHeight="1">
      <c r="G107" s="110"/>
      <c r="H107" s="110"/>
    </row>
    <row r="108" spans="7:8" ht="21.95" customHeight="1">
      <c r="G108" s="110"/>
      <c r="H108" s="110"/>
    </row>
    <row r="109" spans="7:8" ht="21.95" customHeight="1">
      <c r="G109" s="110"/>
      <c r="H109" s="110"/>
    </row>
    <row r="110" spans="7:8" ht="21.95" customHeight="1">
      <c r="G110" s="110"/>
      <c r="H110" s="110"/>
    </row>
    <row r="111" spans="7:8" ht="21.95" customHeight="1">
      <c r="G111" s="110"/>
      <c r="H111" s="110"/>
    </row>
    <row r="112" spans="7:8" ht="21.95" customHeight="1">
      <c r="G112" s="110"/>
      <c r="H112" s="110"/>
    </row>
    <row r="113" spans="7:8" ht="21.95" customHeight="1">
      <c r="G113" s="110"/>
      <c r="H113" s="110"/>
    </row>
    <row r="114" spans="7:8" ht="21.95" customHeight="1">
      <c r="G114" s="110"/>
      <c r="H114" s="110"/>
    </row>
    <row r="115" spans="7:8" ht="21.95" customHeight="1">
      <c r="G115" s="110"/>
      <c r="H115" s="110"/>
    </row>
    <row r="116" spans="7:8" ht="21.95" customHeight="1">
      <c r="G116" s="110"/>
      <c r="H116" s="110"/>
    </row>
    <row r="117" spans="7:8" ht="21.95" customHeight="1">
      <c r="G117" s="110"/>
      <c r="H117" s="110"/>
    </row>
    <row r="118" spans="7:8" ht="21.95" customHeight="1">
      <c r="G118" s="110"/>
      <c r="H118" s="110"/>
    </row>
    <row r="119" spans="7:8" ht="21.95" customHeight="1">
      <c r="G119" s="110"/>
      <c r="H119" s="110"/>
    </row>
    <row r="120" spans="7:8" ht="21.95" customHeight="1">
      <c r="G120" s="110"/>
      <c r="H120" s="110"/>
    </row>
    <row r="121" spans="7:8" ht="21.95" customHeight="1">
      <c r="G121" s="110"/>
      <c r="H121" s="110"/>
    </row>
    <row r="122" spans="7:8" ht="21.95" customHeight="1">
      <c r="G122" s="110"/>
      <c r="H122" s="110"/>
    </row>
    <row r="123" spans="7:8" ht="21.95" customHeight="1">
      <c r="G123" s="110"/>
      <c r="H123" s="110"/>
    </row>
    <row r="124" spans="7:8" ht="21.95" customHeight="1">
      <c r="G124" s="110"/>
      <c r="H124" s="110"/>
    </row>
    <row r="125" spans="7:8" ht="21.95" customHeight="1">
      <c r="G125" s="110"/>
      <c r="H125" s="110"/>
    </row>
    <row r="126" spans="7:8" ht="21.95" customHeight="1">
      <c r="G126" s="110"/>
      <c r="H126" s="110"/>
    </row>
    <row r="127" spans="7:8" ht="21.95" customHeight="1">
      <c r="G127" s="110"/>
      <c r="H127" s="110"/>
    </row>
    <row r="128" spans="7:8" ht="21.95" customHeight="1">
      <c r="G128" s="110"/>
      <c r="H128" s="110"/>
    </row>
    <row r="129" spans="7:8" ht="21.95" customHeight="1">
      <c r="G129" s="110"/>
      <c r="H129" s="110"/>
    </row>
    <row r="130" spans="7:8" ht="21.95" customHeight="1">
      <c r="G130" s="110"/>
      <c r="H130" s="110"/>
    </row>
    <row r="131" spans="7:8" ht="21.95" customHeight="1">
      <c r="G131" s="110"/>
      <c r="H131" s="110"/>
    </row>
    <row r="132" spans="7:8" ht="21.95" customHeight="1">
      <c r="G132" s="110"/>
      <c r="H132" s="110"/>
    </row>
    <row r="133" spans="7:8" ht="21.95" customHeight="1">
      <c r="G133" s="110"/>
      <c r="H133" s="110"/>
    </row>
    <row r="134" spans="7:8" ht="21.95" customHeight="1">
      <c r="G134" s="110"/>
      <c r="H134" s="110"/>
    </row>
    <row r="135" spans="7:8" ht="21.95" customHeight="1">
      <c r="G135" s="110"/>
      <c r="H135" s="110"/>
    </row>
    <row r="136" spans="7:8" ht="21.95" customHeight="1">
      <c r="G136" s="110"/>
      <c r="H136" s="110"/>
    </row>
    <row r="137" spans="7:8" ht="21.95" customHeight="1">
      <c r="G137" s="110"/>
      <c r="H137" s="110"/>
    </row>
    <row r="138" spans="7:8" ht="21.95" customHeight="1">
      <c r="G138" s="110"/>
      <c r="H138" s="110"/>
    </row>
    <row r="139" spans="7:8" ht="21.95" customHeight="1">
      <c r="G139" s="110"/>
      <c r="H139" s="110"/>
    </row>
    <row r="140" spans="7:8" ht="21.95" customHeight="1">
      <c r="G140" s="110"/>
      <c r="H140" s="110"/>
    </row>
    <row r="141" spans="7:8" ht="21.95" customHeight="1">
      <c r="G141" s="110"/>
      <c r="H141" s="110"/>
    </row>
    <row r="142" spans="7:8" ht="21.95" customHeight="1">
      <c r="G142" s="110"/>
      <c r="H142" s="110"/>
    </row>
    <row r="143" spans="7:8" ht="21.95" customHeight="1">
      <c r="G143" s="110"/>
      <c r="H143" s="110"/>
    </row>
    <row r="144" spans="7:8" ht="21.95" customHeight="1">
      <c r="G144" s="110"/>
      <c r="H144" s="110"/>
    </row>
    <row r="145" spans="7:8" ht="21.95" customHeight="1">
      <c r="G145" s="110"/>
      <c r="H145" s="110"/>
    </row>
    <row r="146" spans="7:8" ht="21.95" customHeight="1">
      <c r="G146" s="110"/>
      <c r="H146" s="110"/>
    </row>
    <row r="147" spans="7:8" ht="21.95" customHeight="1">
      <c r="G147" s="110"/>
      <c r="H147" s="110"/>
    </row>
    <row r="148" spans="7:8" ht="21.95" customHeight="1">
      <c r="G148" s="110"/>
      <c r="H148" s="110"/>
    </row>
    <row r="149" spans="7:8" ht="21.95" customHeight="1">
      <c r="G149" s="110"/>
      <c r="H149" s="110"/>
    </row>
    <row r="150" spans="7:8" ht="21.95" customHeight="1">
      <c r="G150" s="110"/>
      <c r="H150" s="110"/>
    </row>
    <row r="151" spans="7:8" ht="21.95" customHeight="1">
      <c r="G151" s="110"/>
      <c r="H151" s="110"/>
    </row>
    <row r="152" spans="7:8" ht="21.95" customHeight="1">
      <c r="G152" s="110"/>
      <c r="H152" s="110"/>
    </row>
    <row r="153" spans="7:8" ht="21.95" customHeight="1">
      <c r="G153" s="110"/>
      <c r="H153" s="110"/>
    </row>
    <row r="154" spans="7:8" ht="21.95" customHeight="1">
      <c r="G154" s="110"/>
      <c r="H154" s="110"/>
    </row>
    <row r="155" spans="7:8" ht="21.95" customHeight="1">
      <c r="G155" s="110"/>
      <c r="H155" s="110"/>
    </row>
    <row r="156" spans="7:8" ht="21.95" customHeight="1">
      <c r="G156" s="110"/>
      <c r="H156" s="110"/>
    </row>
    <row r="157" spans="7:8" ht="21.95" customHeight="1">
      <c r="G157" s="110"/>
      <c r="H157" s="110"/>
    </row>
    <row r="158" spans="7:8" ht="21.95" customHeight="1">
      <c r="G158" s="110"/>
      <c r="H158" s="110"/>
    </row>
    <row r="159" spans="7:8" ht="21.95" customHeight="1">
      <c r="G159" s="110"/>
      <c r="H159" s="110"/>
    </row>
    <row r="160" spans="7:8" ht="21.95" customHeight="1">
      <c r="G160" s="110"/>
      <c r="H160" s="110"/>
    </row>
    <row r="161" spans="7:8" ht="21.95" customHeight="1">
      <c r="G161" s="110"/>
      <c r="H161" s="110"/>
    </row>
    <row r="162" spans="7:8" ht="21.95" customHeight="1">
      <c r="G162" s="110"/>
      <c r="H162" s="110"/>
    </row>
  </sheetData>
  <mergeCells count="90">
    <mergeCell ref="A53:C53"/>
    <mergeCell ref="A22:C22"/>
    <mergeCell ref="A1:I1"/>
    <mergeCell ref="A3:C3"/>
    <mergeCell ref="A4:A9"/>
    <mergeCell ref="B4:C4"/>
    <mergeCell ref="B5:B7"/>
    <mergeCell ref="C5:C6"/>
    <mergeCell ref="D5:D6"/>
    <mergeCell ref="E5:E6"/>
    <mergeCell ref="F5:F6"/>
    <mergeCell ref="H5:H6"/>
    <mergeCell ref="I5:I6"/>
    <mergeCell ref="B8:C8"/>
    <mergeCell ref="B9:C9"/>
    <mergeCell ref="A10:A17"/>
    <mergeCell ref="B10:B17"/>
    <mergeCell ref="C13:C14"/>
    <mergeCell ref="D13:D14"/>
    <mergeCell ref="E13:E14"/>
    <mergeCell ref="A18:C19"/>
    <mergeCell ref="D18:D19"/>
    <mergeCell ref="E18:E19"/>
    <mergeCell ref="D15:D16"/>
    <mergeCell ref="H18:H19"/>
    <mergeCell ref="I20:I21"/>
    <mergeCell ref="F13:F14"/>
    <mergeCell ref="H13:H14"/>
    <mergeCell ref="I13:I14"/>
    <mergeCell ref="I18:I19"/>
    <mergeCell ref="H20:H21"/>
    <mergeCell ref="A20:C21"/>
    <mergeCell ref="D20:D21"/>
    <mergeCell ref="E20:E21"/>
    <mergeCell ref="F20:F21"/>
    <mergeCell ref="F18:F19"/>
    <mergeCell ref="A34:C34"/>
    <mergeCell ref="A23:C24"/>
    <mergeCell ref="D23:D24"/>
    <mergeCell ref="E23:E24"/>
    <mergeCell ref="F23:F24"/>
    <mergeCell ref="A25:C25"/>
    <mergeCell ref="A26:C29"/>
    <mergeCell ref="A30:C30"/>
    <mergeCell ref="A31:C31"/>
    <mergeCell ref="A32:I32"/>
    <mergeCell ref="H23:H24"/>
    <mergeCell ref="I23:I24"/>
    <mergeCell ref="H36:H37"/>
    <mergeCell ref="I36:I37"/>
    <mergeCell ref="B39:C39"/>
    <mergeCell ref="B40:C40"/>
    <mergeCell ref="E36:E37"/>
    <mergeCell ref="B36:B38"/>
    <mergeCell ref="C36:C37"/>
    <mergeCell ref="D36:D37"/>
    <mergeCell ref="A49:C50"/>
    <mergeCell ref="D49:D50"/>
    <mergeCell ref="E49:E50"/>
    <mergeCell ref="F49:F50"/>
    <mergeCell ref="F36:F37"/>
    <mergeCell ref="A41:A48"/>
    <mergeCell ref="B41:B48"/>
    <mergeCell ref="C44:C45"/>
    <mergeCell ref="D44:D45"/>
    <mergeCell ref="E44:E45"/>
    <mergeCell ref="A35:A40"/>
    <mergeCell ref="B35:C35"/>
    <mergeCell ref="F44:F45"/>
    <mergeCell ref="H44:H45"/>
    <mergeCell ref="I44:I45"/>
    <mergeCell ref="D46:D47"/>
    <mergeCell ref="I49:I50"/>
    <mergeCell ref="H49:H50"/>
    <mergeCell ref="A51:C52"/>
    <mergeCell ref="D51:D52"/>
    <mergeCell ref="E51:E52"/>
    <mergeCell ref="F51:F52"/>
    <mergeCell ref="I51:I52"/>
    <mergeCell ref="H51:H52"/>
    <mergeCell ref="D54:D55"/>
    <mergeCell ref="E54:E55"/>
    <mergeCell ref="F54:F55"/>
    <mergeCell ref="H54:H55"/>
    <mergeCell ref="I54:I55"/>
    <mergeCell ref="A56:C56"/>
    <mergeCell ref="A57:C60"/>
    <mergeCell ref="A61:C61"/>
    <mergeCell ref="A62:C62"/>
    <mergeCell ref="A54:C55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rgb="FFFF0000"/>
  </sheetPr>
  <dimension ref="A1:L46"/>
  <sheetViews>
    <sheetView workbookViewId="0">
      <selection sqref="A1:I1"/>
    </sheetView>
  </sheetViews>
  <sheetFormatPr defaultRowHeight="29.1" customHeight="1"/>
  <cols>
    <col min="1" max="1" width="4" style="84" customWidth="1"/>
    <col min="2" max="2" width="4.77734375" style="84" customWidth="1"/>
    <col min="3" max="3" width="9.88671875" style="84" customWidth="1"/>
    <col min="4" max="4" width="33.44140625" style="84" customWidth="1"/>
    <col min="5" max="5" width="7.77734375" style="84" customWidth="1"/>
    <col min="6" max="6" width="4.88671875" style="84" customWidth="1"/>
    <col min="7" max="7" width="3" style="84" customWidth="1"/>
    <col min="8" max="8" width="5.77734375" style="84" customWidth="1"/>
    <col min="9" max="9" width="4.109375" style="84" customWidth="1"/>
    <col min="10" max="16384" width="8.88671875" style="84"/>
  </cols>
  <sheetData>
    <row r="1" spans="1:12" ht="30" customHeight="1">
      <c r="A1" s="1540" t="s">
        <v>204</v>
      </c>
      <c r="B1" s="1540"/>
      <c r="C1" s="1540"/>
      <c r="D1" s="1540"/>
      <c r="E1" s="1540"/>
      <c r="F1" s="1540"/>
      <c r="G1" s="1540"/>
      <c r="H1" s="1540"/>
      <c r="I1" s="1540"/>
    </row>
    <row r="2" spans="1:12" ht="15" customHeight="1">
      <c r="A2" s="85"/>
      <c r="B2" s="85"/>
      <c r="C2" s="85"/>
      <c r="D2" s="85"/>
      <c r="E2" s="85"/>
      <c r="F2" s="85"/>
      <c r="G2" s="85"/>
      <c r="H2" s="85" t="s">
        <v>136</v>
      </c>
      <c r="I2" s="85"/>
    </row>
    <row r="3" spans="1:12" ht="32.1" customHeight="1">
      <c r="A3" s="1539" t="s">
        <v>137</v>
      </c>
      <c r="B3" s="1539"/>
      <c r="C3" s="1539"/>
      <c r="D3" s="86" t="s">
        <v>138</v>
      </c>
      <c r="E3" s="1539" t="s">
        <v>139</v>
      </c>
      <c r="F3" s="1539"/>
      <c r="G3" s="1539" t="s">
        <v>140</v>
      </c>
      <c r="H3" s="1539"/>
      <c r="I3" s="1539"/>
    </row>
    <row r="4" spans="1:12" ht="32.1" customHeight="1">
      <c r="A4" s="1535" t="s">
        <v>141</v>
      </c>
      <c r="B4" s="1538" t="s">
        <v>142</v>
      </c>
      <c r="C4" s="1538"/>
      <c r="D4" s="87" t="s">
        <v>143</v>
      </c>
      <c r="E4" s="88">
        <f>ROUND(((1.8^2)-(PI()*0.6^2)/4)*0.3,3)</f>
        <v>0.88700000000000001</v>
      </c>
      <c r="F4" s="89" t="s">
        <v>128</v>
      </c>
      <c r="G4" s="1520"/>
      <c r="H4" s="1520"/>
      <c r="I4" s="1520"/>
    </row>
    <row r="5" spans="1:12" ht="32.1" customHeight="1">
      <c r="A5" s="1536"/>
      <c r="B5" s="1538" t="s">
        <v>144</v>
      </c>
      <c r="C5" s="1538"/>
      <c r="D5" s="87" t="s">
        <v>130</v>
      </c>
      <c r="E5" s="88">
        <f>ROUND(((1.8^2)-(1.2^2))*1,3)</f>
        <v>1.8</v>
      </c>
      <c r="F5" s="89" t="s">
        <v>128</v>
      </c>
      <c r="G5" s="1520" t="s">
        <v>145</v>
      </c>
      <c r="H5" s="1520"/>
      <c r="I5" s="1520"/>
    </row>
    <row r="6" spans="1:12" ht="32.1" customHeight="1">
      <c r="A6" s="1536"/>
      <c r="B6" s="1538" t="s">
        <v>146</v>
      </c>
      <c r="C6" s="1538"/>
      <c r="D6" s="87" t="s">
        <v>131</v>
      </c>
      <c r="E6" s="88">
        <f>ROUND(2*2*0.3,3)</f>
        <v>1.2</v>
      </c>
      <c r="F6" s="89" t="s">
        <v>128</v>
      </c>
      <c r="G6" s="1520"/>
      <c r="H6" s="1520"/>
      <c r="I6" s="1520"/>
    </row>
    <row r="7" spans="1:12" ht="32.1" customHeight="1">
      <c r="A7" s="1537"/>
      <c r="B7" s="1538" t="s">
        <v>286</v>
      </c>
      <c r="C7" s="1538"/>
      <c r="D7" s="90" t="s">
        <v>147</v>
      </c>
      <c r="E7" s="91">
        <f>ROUND((((PI()*1^2)-(PI()*0.6^2))/4*0.075),3)</f>
        <v>3.7999999999999999E-2</v>
      </c>
      <c r="F7" s="89" t="s">
        <v>128</v>
      </c>
      <c r="G7" s="1520"/>
      <c r="H7" s="1520"/>
      <c r="I7" s="1520"/>
    </row>
    <row r="8" spans="1:12" ht="32.1" customHeight="1">
      <c r="A8" s="1521" t="s">
        <v>148</v>
      </c>
      <c r="B8" s="1521" t="s">
        <v>149</v>
      </c>
      <c r="C8" s="1521"/>
      <c r="D8" s="87" t="s">
        <v>150</v>
      </c>
      <c r="E8" s="88">
        <f>ROUND((1.2^2)-(PI()*0.6^2)/4,3)</f>
        <v>1.157</v>
      </c>
      <c r="F8" s="89" t="s">
        <v>127</v>
      </c>
      <c r="G8" s="1520" t="s">
        <v>151</v>
      </c>
      <c r="H8" s="1520"/>
      <c r="I8" s="1520"/>
    </row>
    <row r="9" spans="1:12" ht="32.1" customHeight="1">
      <c r="A9" s="1521"/>
      <c r="B9" s="1521" t="s">
        <v>149</v>
      </c>
      <c r="C9" s="1521"/>
      <c r="D9" s="87" t="s">
        <v>132</v>
      </c>
      <c r="E9" s="88">
        <f>ROUND(1.8*0.3*4,3)</f>
        <v>2.16</v>
      </c>
      <c r="F9" s="89" t="s">
        <v>127</v>
      </c>
      <c r="G9" s="1520" t="s">
        <v>152</v>
      </c>
      <c r="H9" s="1520"/>
      <c r="I9" s="1520"/>
      <c r="J9" s="92">
        <f>E9+E12</f>
        <v>2.7250000000000001</v>
      </c>
    </row>
    <row r="10" spans="1:12" ht="32.1" customHeight="1">
      <c r="A10" s="1521"/>
      <c r="B10" s="1521" t="s">
        <v>153</v>
      </c>
      <c r="C10" s="1521"/>
      <c r="D10" s="87" t="s">
        <v>133</v>
      </c>
      <c r="E10" s="88">
        <f>ROUND(2*0.3*4,3)</f>
        <v>2.4</v>
      </c>
      <c r="F10" s="89" t="s">
        <v>127</v>
      </c>
      <c r="G10" s="1520"/>
      <c r="H10" s="1520"/>
      <c r="I10" s="1520"/>
    </row>
    <row r="11" spans="1:12" ht="32.1" customHeight="1">
      <c r="A11" s="1521"/>
      <c r="B11" s="1521" t="s">
        <v>154</v>
      </c>
      <c r="C11" s="1521"/>
      <c r="D11" s="87" t="s">
        <v>155</v>
      </c>
      <c r="E11" s="88">
        <f>ROUND(1.2*1*4+1.8*1*4,3)</f>
        <v>12</v>
      </c>
      <c r="F11" s="89" t="s">
        <v>127</v>
      </c>
      <c r="G11" s="1520" t="s">
        <v>145</v>
      </c>
      <c r="H11" s="1520"/>
      <c r="I11" s="1520"/>
      <c r="L11" s="93"/>
    </row>
    <row r="12" spans="1:12" ht="32.1" customHeight="1">
      <c r="A12" s="1521"/>
      <c r="B12" s="1521" t="s">
        <v>156</v>
      </c>
      <c r="C12" s="1521"/>
      <c r="D12" s="87" t="s">
        <v>134</v>
      </c>
      <c r="E12" s="88">
        <f>ROUND(PI()*0.6*0.3,3)</f>
        <v>0.56499999999999995</v>
      </c>
      <c r="F12" s="89" t="s">
        <v>127</v>
      </c>
      <c r="G12" s="1520" t="s">
        <v>157</v>
      </c>
      <c r="H12" s="1520"/>
      <c r="I12" s="1520"/>
    </row>
    <row r="13" spans="1:12" ht="32.1" customHeight="1">
      <c r="A13" s="1521"/>
      <c r="B13" s="1521" t="s">
        <v>158</v>
      </c>
      <c r="C13" s="1521"/>
      <c r="D13" s="87" t="s">
        <v>135</v>
      </c>
      <c r="E13" s="88">
        <f>ROUND(((PI()*1+(PI()*0.6))*0.075),3)</f>
        <v>0.377</v>
      </c>
      <c r="F13" s="89" t="s">
        <v>127</v>
      </c>
      <c r="G13" s="1520" t="s">
        <v>159</v>
      </c>
      <c r="H13" s="1520"/>
      <c r="I13" s="1520"/>
    </row>
    <row r="14" spans="1:12" ht="32.1" customHeight="1">
      <c r="A14" s="1521" t="s">
        <v>160</v>
      </c>
      <c r="B14" s="1521"/>
      <c r="C14" s="1521"/>
      <c r="D14" s="87" t="s">
        <v>161</v>
      </c>
      <c r="E14" s="88" t="s">
        <v>159</v>
      </c>
      <c r="F14" s="94" t="s">
        <v>159</v>
      </c>
      <c r="G14" s="1520" t="s">
        <v>159</v>
      </c>
      <c r="H14" s="1520"/>
      <c r="I14" s="1520"/>
    </row>
    <row r="15" spans="1:12" ht="32.1" customHeight="1">
      <c r="A15" s="1521" t="s">
        <v>162</v>
      </c>
      <c r="B15" s="1521"/>
      <c r="C15" s="1521"/>
      <c r="D15" s="87" t="s">
        <v>163</v>
      </c>
      <c r="E15" s="88">
        <f>ROUND(((1.2^2)-(PI()*0.6^2)/4)*1,3)</f>
        <v>1.157</v>
      </c>
      <c r="F15" s="94" t="s">
        <v>116</v>
      </c>
      <c r="G15" s="1520" t="s">
        <v>145</v>
      </c>
      <c r="H15" s="1520"/>
      <c r="I15" s="1520"/>
    </row>
    <row r="16" spans="1:12" ht="32.1" customHeight="1">
      <c r="A16" s="1521" t="s">
        <v>282</v>
      </c>
      <c r="B16" s="1521"/>
      <c r="C16" s="1521"/>
      <c r="D16" s="87" t="s">
        <v>283</v>
      </c>
      <c r="E16" s="88"/>
      <c r="F16" s="89" t="s">
        <v>127</v>
      </c>
      <c r="G16" s="1520" t="s">
        <v>203</v>
      </c>
      <c r="H16" s="1520"/>
      <c r="I16" s="1520"/>
    </row>
    <row r="17" spans="1:9" ht="32.1" customHeight="1">
      <c r="A17" s="1520" t="s">
        <v>280</v>
      </c>
      <c r="B17" s="1520"/>
      <c r="C17" s="1520"/>
      <c r="D17" s="87" t="s">
        <v>279</v>
      </c>
      <c r="E17" s="88">
        <f>ROUND(1.2*1*4*2,3)</f>
        <v>9.6</v>
      </c>
      <c r="F17" s="89" t="s">
        <v>127</v>
      </c>
      <c r="G17" s="1520" t="s">
        <v>145</v>
      </c>
      <c r="H17" s="1520"/>
      <c r="I17" s="1520"/>
    </row>
    <row r="18" spans="1:9" ht="32.1" customHeight="1">
      <c r="A18" s="1520" t="s">
        <v>281</v>
      </c>
      <c r="B18" s="1520"/>
      <c r="C18" s="1520"/>
      <c r="D18" s="95" t="s">
        <v>206</v>
      </c>
      <c r="E18" s="88">
        <f>ROUND((1.8^2-PI()*0.6^2/4)+(2*2),3)</f>
        <v>6.9569999999999999</v>
      </c>
      <c r="F18" s="89" t="s">
        <v>127</v>
      </c>
      <c r="G18" s="1521" t="s">
        <v>164</v>
      </c>
      <c r="H18" s="1521"/>
      <c r="I18" s="1521"/>
    </row>
    <row r="19" spans="1:9" ht="32.1" customHeight="1">
      <c r="A19" s="1523" t="s">
        <v>303</v>
      </c>
      <c r="B19" s="1524"/>
      <c r="C19" s="1525"/>
      <c r="D19" s="95" t="s">
        <v>304</v>
      </c>
      <c r="E19" s="88"/>
      <c r="F19" s="111" t="s">
        <v>118</v>
      </c>
      <c r="G19" s="1521"/>
      <c r="H19" s="1521"/>
      <c r="I19" s="1521"/>
    </row>
    <row r="20" spans="1:9" ht="32.1" customHeight="1">
      <c r="A20" s="1526"/>
      <c r="B20" s="1527"/>
      <c r="C20" s="1528"/>
      <c r="D20" s="95" t="s">
        <v>299</v>
      </c>
      <c r="E20" s="88">
        <v>0.20399999999999999</v>
      </c>
      <c r="F20" s="111" t="s">
        <v>118</v>
      </c>
      <c r="G20" s="1521"/>
      <c r="H20" s="1521"/>
      <c r="I20" s="1521"/>
    </row>
    <row r="21" spans="1:9" ht="32.1" customHeight="1">
      <c r="A21" s="1529"/>
      <c r="B21" s="1530"/>
      <c r="C21" s="1531"/>
      <c r="D21" s="95" t="s">
        <v>300</v>
      </c>
      <c r="E21" s="88">
        <v>0.80700000000000005</v>
      </c>
      <c r="F21" s="111" t="s">
        <v>118</v>
      </c>
      <c r="G21" s="1521"/>
      <c r="H21" s="1521"/>
      <c r="I21" s="1521"/>
    </row>
    <row r="22" spans="1:9" ht="32.1" customHeight="1">
      <c r="A22" s="1520" t="s">
        <v>306</v>
      </c>
      <c r="B22" s="1520"/>
      <c r="C22" s="1520"/>
      <c r="D22" s="87" t="s">
        <v>165</v>
      </c>
      <c r="E22" s="96">
        <v>1</v>
      </c>
      <c r="F22" s="94" t="s">
        <v>119</v>
      </c>
      <c r="G22" s="1520"/>
      <c r="H22" s="1520"/>
      <c r="I22" s="1520"/>
    </row>
    <row r="23" spans="1:9" ht="32.1" customHeight="1">
      <c r="A23" s="1522" t="s">
        <v>166</v>
      </c>
      <c r="B23" s="1522"/>
      <c r="C23" s="1522"/>
      <c r="D23" s="97" t="s">
        <v>167</v>
      </c>
      <c r="E23" s="98">
        <v>0.96799999999999997</v>
      </c>
      <c r="F23" s="99" t="s">
        <v>128</v>
      </c>
      <c r="G23" s="1522"/>
      <c r="H23" s="1522"/>
      <c r="I23" s="1522"/>
    </row>
    <row r="24" spans="1:9" ht="30" customHeight="1">
      <c r="A24" s="1540" t="s">
        <v>205</v>
      </c>
      <c r="B24" s="1540"/>
      <c r="C24" s="1540"/>
      <c r="D24" s="1540"/>
      <c r="E24" s="1540"/>
      <c r="F24" s="1540"/>
      <c r="G24" s="1540"/>
      <c r="H24" s="1540"/>
      <c r="I24" s="1540"/>
    </row>
    <row r="25" spans="1:9" ht="15" customHeight="1">
      <c r="A25" s="85"/>
      <c r="B25" s="85"/>
      <c r="C25" s="85"/>
      <c r="D25" s="85"/>
      <c r="E25" s="85"/>
      <c r="F25" s="85"/>
      <c r="G25" s="85"/>
      <c r="H25" s="85" t="s">
        <v>168</v>
      </c>
      <c r="I25" s="85"/>
    </row>
    <row r="26" spans="1:9" ht="32.1" customHeight="1">
      <c r="A26" s="1539" t="s">
        <v>169</v>
      </c>
      <c r="B26" s="1539"/>
      <c r="C26" s="1539"/>
      <c r="D26" s="86" t="s">
        <v>170</v>
      </c>
      <c r="E26" s="1539" t="s">
        <v>171</v>
      </c>
      <c r="F26" s="1539"/>
      <c r="G26" s="1539" t="s">
        <v>172</v>
      </c>
      <c r="H26" s="1539"/>
      <c r="I26" s="1539"/>
    </row>
    <row r="27" spans="1:9" ht="32.1" customHeight="1">
      <c r="A27" s="1535" t="s">
        <v>173</v>
      </c>
      <c r="B27" s="1538" t="s">
        <v>174</v>
      </c>
      <c r="C27" s="1538"/>
      <c r="D27" s="87" t="s">
        <v>175</v>
      </c>
      <c r="E27" s="88">
        <f>ROUND(((1.8^2)-(PI()*0.6^2)/4)*0.3,3)</f>
        <v>0.88700000000000001</v>
      </c>
      <c r="F27" s="89" t="s">
        <v>128</v>
      </c>
      <c r="G27" s="1520"/>
      <c r="H27" s="1520"/>
      <c r="I27" s="1520"/>
    </row>
    <row r="28" spans="1:9" ht="32.1" customHeight="1">
      <c r="A28" s="1536"/>
      <c r="B28" s="1538" t="s">
        <v>176</v>
      </c>
      <c r="C28" s="1538"/>
      <c r="D28" s="87" t="s">
        <v>177</v>
      </c>
      <c r="E28" s="88">
        <f>ROUND(((1.8^2)-(1.2^2))*1,3)</f>
        <v>1.8</v>
      </c>
      <c r="F28" s="89" t="s">
        <v>128</v>
      </c>
      <c r="G28" s="1520" t="s">
        <v>178</v>
      </c>
      <c r="H28" s="1520"/>
      <c r="I28" s="1520"/>
    </row>
    <row r="29" spans="1:9" ht="32.1" customHeight="1">
      <c r="A29" s="1536"/>
      <c r="B29" s="1538" t="s">
        <v>179</v>
      </c>
      <c r="C29" s="1538"/>
      <c r="D29" s="87" t="s">
        <v>180</v>
      </c>
      <c r="E29" s="88">
        <f>ROUND(2*2*0.3,3)</f>
        <v>1.2</v>
      </c>
      <c r="F29" s="89" t="s">
        <v>128</v>
      </c>
      <c r="G29" s="1520"/>
      <c r="H29" s="1520"/>
      <c r="I29" s="1520"/>
    </row>
    <row r="30" spans="1:9" ht="32.1" customHeight="1">
      <c r="A30" s="1537"/>
      <c r="B30" s="1538" t="s">
        <v>285</v>
      </c>
      <c r="C30" s="1538"/>
      <c r="D30" s="90" t="s">
        <v>181</v>
      </c>
      <c r="E30" s="91">
        <f>ROUND((((PI()*1^2)-(PI()*0.6^2))/4*0.075),3)</f>
        <v>3.7999999999999999E-2</v>
      </c>
      <c r="F30" s="89" t="s">
        <v>128</v>
      </c>
      <c r="G30" s="1520"/>
      <c r="H30" s="1520"/>
      <c r="I30" s="1520"/>
    </row>
    <row r="31" spans="1:9" ht="32.1" customHeight="1">
      <c r="A31" s="1521" t="s">
        <v>182</v>
      </c>
      <c r="B31" s="1521" t="s">
        <v>183</v>
      </c>
      <c r="C31" s="1521"/>
      <c r="D31" s="87" t="s">
        <v>184</v>
      </c>
      <c r="E31" s="88">
        <f>ROUND((1.2^2)-(PI()*0.6^2)/4,3)</f>
        <v>1.157</v>
      </c>
      <c r="F31" s="89" t="s">
        <v>127</v>
      </c>
      <c r="G31" s="1520" t="s">
        <v>185</v>
      </c>
      <c r="H31" s="1520"/>
      <c r="I31" s="1520"/>
    </row>
    <row r="32" spans="1:9" ht="32.1" customHeight="1">
      <c r="A32" s="1521"/>
      <c r="B32" s="1521" t="s">
        <v>183</v>
      </c>
      <c r="C32" s="1521"/>
      <c r="D32" s="87" t="s">
        <v>186</v>
      </c>
      <c r="E32" s="88">
        <f>ROUND(1.8*0.3*4,3)</f>
        <v>2.16</v>
      </c>
      <c r="F32" s="89" t="s">
        <v>127</v>
      </c>
      <c r="G32" s="1520" t="s">
        <v>187</v>
      </c>
      <c r="H32" s="1520"/>
      <c r="I32" s="1520"/>
    </row>
    <row r="33" spans="1:9" ht="32.1" customHeight="1">
      <c r="A33" s="1521"/>
      <c r="B33" s="1521" t="s">
        <v>188</v>
      </c>
      <c r="C33" s="1521"/>
      <c r="D33" s="87" t="s">
        <v>189</v>
      </c>
      <c r="E33" s="88">
        <f>ROUND(2*0.3*4,3)</f>
        <v>2.4</v>
      </c>
      <c r="F33" s="89" t="s">
        <v>127</v>
      </c>
      <c r="G33" s="1520"/>
      <c r="H33" s="1520"/>
      <c r="I33" s="1520"/>
    </row>
    <row r="34" spans="1:9" ht="32.1" customHeight="1">
      <c r="A34" s="1521"/>
      <c r="B34" s="1521" t="s">
        <v>190</v>
      </c>
      <c r="C34" s="1521"/>
      <c r="D34" s="87" t="s">
        <v>191</v>
      </c>
      <c r="E34" s="88">
        <f>ROUND(1.2*1*4+1.8*1*4,3)</f>
        <v>12</v>
      </c>
      <c r="F34" s="89" t="s">
        <v>127</v>
      </c>
      <c r="G34" s="1520" t="s">
        <v>178</v>
      </c>
      <c r="H34" s="1520"/>
      <c r="I34" s="1520"/>
    </row>
    <row r="35" spans="1:9" ht="32.1" customHeight="1">
      <c r="A35" s="1521"/>
      <c r="B35" s="1521" t="s">
        <v>192</v>
      </c>
      <c r="C35" s="1521"/>
      <c r="D35" s="87" t="s">
        <v>193</v>
      </c>
      <c r="E35" s="88">
        <f>ROUND(PI()*0.6*0.3,3)</f>
        <v>0.56499999999999995</v>
      </c>
      <c r="F35" s="94" t="s">
        <v>194</v>
      </c>
      <c r="G35" s="1520" t="s">
        <v>195</v>
      </c>
      <c r="H35" s="1520"/>
      <c r="I35" s="1520"/>
    </row>
    <row r="36" spans="1:9" ht="32.1" customHeight="1">
      <c r="A36" s="1521"/>
      <c r="B36" s="1521" t="s">
        <v>196</v>
      </c>
      <c r="C36" s="1521"/>
      <c r="D36" s="87" t="s">
        <v>197</v>
      </c>
      <c r="E36" s="88">
        <f>ROUND(((PI()*1+(PI()*0.6))*0.075),3)</f>
        <v>0.377</v>
      </c>
      <c r="F36" s="89" t="s">
        <v>127</v>
      </c>
      <c r="G36" s="1520" t="s">
        <v>198</v>
      </c>
      <c r="H36" s="1520"/>
      <c r="I36" s="1520"/>
    </row>
    <row r="37" spans="1:9" ht="32.1" customHeight="1">
      <c r="A37" s="1521" t="s">
        <v>199</v>
      </c>
      <c r="B37" s="1521"/>
      <c r="C37" s="1521"/>
      <c r="D37" s="87" t="s">
        <v>200</v>
      </c>
      <c r="E37" s="88" t="s">
        <v>198</v>
      </c>
      <c r="F37" s="94" t="s">
        <v>198</v>
      </c>
      <c r="G37" s="1520" t="s">
        <v>198</v>
      </c>
      <c r="H37" s="1520"/>
      <c r="I37" s="1520"/>
    </row>
    <row r="38" spans="1:9" ht="32.1" customHeight="1">
      <c r="A38" s="1521" t="s">
        <v>201</v>
      </c>
      <c r="B38" s="1521"/>
      <c r="C38" s="1521"/>
      <c r="D38" s="87" t="s">
        <v>202</v>
      </c>
      <c r="E38" s="88">
        <f>ROUND(((1.2^2)-(PI()*0.6^2)/4)*1,3)</f>
        <v>1.157</v>
      </c>
      <c r="F38" s="94" t="s">
        <v>116</v>
      </c>
      <c r="G38" s="1520" t="s">
        <v>203</v>
      </c>
      <c r="H38" s="1520"/>
      <c r="I38" s="1520"/>
    </row>
    <row r="39" spans="1:9" ht="32.1" customHeight="1">
      <c r="A39" s="1521" t="s">
        <v>282</v>
      </c>
      <c r="B39" s="1521"/>
      <c r="C39" s="1521"/>
      <c r="D39" s="87" t="s">
        <v>283</v>
      </c>
      <c r="E39" s="88"/>
      <c r="F39" s="89" t="s">
        <v>127</v>
      </c>
      <c r="G39" s="1520" t="s">
        <v>203</v>
      </c>
      <c r="H39" s="1520"/>
      <c r="I39" s="1520"/>
    </row>
    <row r="40" spans="1:9" ht="32.1" customHeight="1">
      <c r="A40" s="1520" t="s">
        <v>280</v>
      </c>
      <c r="B40" s="1520"/>
      <c r="C40" s="1520"/>
      <c r="D40" s="87" t="s">
        <v>279</v>
      </c>
      <c r="E40" s="88">
        <f>ROUND(1.2*1*4*2,3)</f>
        <v>9.6</v>
      </c>
      <c r="F40" s="89" t="s">
        <v>127</v>
      </c>
      <c r="G40" s="1520" t="s">
        <v>203</v>
      </c>
      <c r="H40" s="1520"/>
      <c r="I40" s="1520"/>
    </row>
    <row r="41" spans="1:9" ht="32.1" customHeight="1">
      <c r="A41" s="1520" t="s">
        <v>281</v>
      </c>
      <c r="B41" s="1520"/>
      <c r="C41" s="1520"/>
      <c r="D41" s="95" t="s">
        <v>206</v>
      </c>
      <c r="E41" s="88">
        <f>ROUND((1.8^2-PI()*0.6^2/4)+(2*2),3)</f>
        <v>6.9569999999999999</v>
      </c>
      <c r="F41" s="89" t="s">
        <v>127</v>
      </c>
      <c r="G41" s="1521"/>
      <c r="H41" s="1521"/>
      <c r="I41" s="1521"/>
    </row>
    <row r="42" spans="1:9" ht="32.1" customHeight="1">
      <c r="A42" s="1523" t="s">
        <v>301</v>
      </c>
      <c r="B42" s="1524"/>
      <c r="C42" s="1525"/>
      <c r="D42" s="95" t="s">
        <v>302</v>
      </c>
      <c r="E42" s="88"/>
      <c r="F42" s="111" t="s">
        <v>118</v>
      </c>
      <c r="G42" s="1532"/>
      <c r="H42" s="1533"/>
      <c r="I42" s="1534"/>
    </row>
    <row r="43" spans="1:9" ht="32.1" customHeight="1">
      <c r="A43" s="1526"/>
      <c r="B43" s="1527"/>
      <c r="C43" s="1528"/>
      <c r="D43" s="95" t="s">
        <v>299</v>
      </c>
      <c r="E43" s="88">
        <v>0.17699999999999999</v>
      </c>
      <c r="F43" s="111" t="s">
        <v>118</v>
      </c>
      <c r="G43" s="1532"/>
      <c r="H43" s="1533"/>
      <c r="I43" s="1534"/>
    </row>
    <row r="44" spans="1:9" ht="32.1" customHeight="1">
      <c r="A44" s="1529"/>
      <c r="B44" s="1530"/>
      <c r="C44" s="1531"/>
      <c r="D44" s="95" t="s">
        <v>300</v>
      </c>
      <c r="E44" s="88">
        <v>0.72499999999999998</v>
      </c>
      <c r="F44" s="111" t="s">
        <v>118</v>
      </c>
      <c r="G44" s="1520"/>
      <c r="H44" s="1520"/>
      <c r="I44" s="1520"/>
    </row>
    <row r="45" spans="1:9" ht="32.1" customHeight="1">
      <c r="A45" s="1521" t="s">
        <v>273</v>
      </c>
      <c r="B45" s="1520"/>
      <c r="C45" s="1520"/>
      <c r="D45" s="87" t="s">
        <v>165</v>
      </c>
      <c r="E45" s="96">
        <v>1</v>
      </c>
      <c r="F45" s="94" t="s">
        <v>119</v>
      </c>
      <c r="G45" s="1520"/>
      <c r="H45" s="1520"/>
      <c r="I45" s="1520"/>
    </row>
    <row r="46" spans="1:9" ht="32.1" customHeight="1">
      <c r="A46" s="1522" t="s">
        <v>166</v>
      </c>
      <c r="B46" s="1522"/>
      <c r="C46" s="1522"/>
      <c r="D46" s="97" t="s">
        <v>167</v>
      </c>
      <c r="E46" s="98">
        <v>0.96799999999999997</v>
      </c>
      <c r="F46" s="99" t="s">
        <v>128</v>
      </c>
      <c r="G46" s="1522"/>
      <c r="H46" s="1522"/>
      <c r="I46" s="1522"/>
    </row>
  </sheetData>
  <mergeCells count="88">
    <mergeCell ref="A39:C39"/>
    <mergeCell ref="G39:I39"/>
    <mergeCell ref="A16:C16"/>
    <mergeCell ref="G16:I16"/>
    <mergeCell ref="A1:I1"/>
    <mergeCell ref="A3:C3"/>
    <mergeCell ref="E3:F3"/>
    <mergeCell ref="G3:I3"/>
    <mergeCell ref="A4:A7"/>
    <mergeCell ref="B4:C4"/>
    <mergeCell ref="G4:I4"/>
    <mergeCell ref="B5:C5"/>
    <mergeCell ref="G5:I5"/>
    <mergeCell ref="B6:C6"/>
    <mergeCell ref="G6:I6"/>
    <mergeCell ref="B7:C7"/>
    <mergeCell ref="G7:I7"/>
    <mergeCell ref="A8:A13"/>
    <mergeCell ref="B8:C8"/>
    <mergeCell ref="G8:I8"/>
    <mergeCell ref="B9:C9"/>
    <mergeCell ref="G9:I9"/>
    <mergeCell ref="B10:C10"/>
    <mergeCell ref="G10:I10"/>
    <mergeCell ref="B11:C11"/>
    <mergeCell ref="G11:I11"/>
    <mergeCell ref="B12:C12"/>
    <mergeCell ref="G12:I12"/>
    <mergeCell ref="B13:C13"/>
    <mergeCell ref="G13:I13"/>
    <mergeCell ref="A14:C14"/>
    <mergeCell ref="G14:I14"/>
    <mergeCell ref="A15:C15"/>
    <mergeCell ref="G15:I15"/>
    <mergeCell ref="A17:C17"/>
    <mergeCell ref="G17:I17"/>
    <mergeCell ref="A26:C26"/>
    <mergeCell ref="E26:F26"/>
    <mergeCell ref="G26:I26"/>
    <mergeCell ref="A18:C18"/>
    <mergeCell ref="G18:I18"/>
    <mergeCell ref="A19:C21"/>
    <mergeCell ref="G19:I19"/>
    <mergeCell ref="G20:I20"/>
    <mergeCell ref="G21:I21"/>
    <mergeCell ref="A22:C22"/>
    <mergeCell ref="G22:I22"/>
    <mergeCell ref="A23:C23"/>
    <mergeCell ref="G23:I23"/>
    <mergeCell ref="A24:I24"/>
    <mergeCell ref="A27:A30"/>
    <mergeCell ref="B27:C27"/>
    <mergeCell ref="G27:I27"/>
    <mergeCell ref="B28:C28"/>
    <mergeCell ref="G28:I28"/>
    <mergeCell ref="B29:C29"/>
    <mergeCell ref="G29:I29"/>
    <mergeCell ref="B30:C30"/>
    <mergeCell ref="G30:I30"/>
    <mergeCell ref="A31:A36"/>
    <mergeCell ref="B31:C31"/>
    <mergeCell ref="G31:I31"/>
    <mergeCell ref="B32:C32"/>
    <mergeCell ref="G32:I32"/>
    <mergeCell ref="B33:C33"/>
    <mergeCell ref="G33:I33"/>
    <mergeCell ref="B34:C34"/>
    <mergeCell ref="G34:I34"/>
    <mergeCell ref="B35:C35"/>
    <mergeCell ref="G35:I35"/>
    <mergeCell ref="B36:C36"/>
    <mergeCell ref="G36:I36"/>
    <mergeCell ref="G37:I37"/>
    <mergeCell ref="A45:C45"/>
    <mergeCell ref="G45:I45"/>
    <mergeCell ref="A46:C46"/>
    <mergeCell ref="G46:I46"/>
    <mergeCell ref="A40:C40"/>
    <mergeCell ref="G40:I40"/>
    <mergeCell ref="A41:C41"/>
    <mergeCell ref="G41:I41"/>
    <mergeCell ref="A42:C44"/>
    <mergeCell ref="G42:I42"/>
    <mergeCell ref="G43:I43"/>
    <mergeCell ref="G44:I44"/>
    <mergeCell ref="A38:C38"/>
    <mergeCell ref="G38:I38"/>
    <mergeCell ref="A37:C37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rowBreaks count="1" manualBreakCount="1">
    <brk id="23" max="8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FF0000"/>
  </sheetPr>
  <dimension ref="A1:I165"/>
  <sheetViews>
    <sheetView workbookViewId="0">
      <selection sqref="A1:I1"/>
    </sheetView>
  </sheetViews>
  <sheetFormatPr defaultRowHeight="21.75" customHeight="1"/>
  <cols>
    <col min="1" max="1" width="3.77734375" style="297" customWidth="1"/>
    <col min="2" max="2" width="4.5546875" style="297" customWidth="1"/>
    <col min="3" max="3" width="9" style="297" customWidth="1"/>
    <col min="4" max="4" width="12.33203125" style="297" customWidth="1"/>
    <col min="5" max="5" width="6.33203125" style="297" customWidth="1"/>
    <col min="6" max="6" width="8.5546875" style="297" customWidth="1"/>
    <col min="7" max="7" width="10.33203125" style="297" customWidth="1"/>
    <col min="8" max="8" width="9" style="297" customWidth="1"/>
    <col min="9" max="9" width="12.5546875" style="297" customWidth="1"/>
    <col min="10" max="10" width="13.109375" style="297" customWidth="1"/>
    <col min="11" max="256" width="8.88671875" style="297"/>
    <col min="257" max="257" width="3.77734375" style="297" customWidth="1"/>
    <col min="258" max="258" width="4.5546875" style="297" customWidth="1"/>
    <col min="259" max="259" width="9" style="297" customWidth="1"/>
    <col min="260" max="260" width="12.33203125" style="297" customWidth="1"/>
    <col min="261" max="261" width="6.33203125" style="297" customWidth="1"/>
    <col min="262" max="262" width="8.5546875" style="297" customWidth="1"/>
    <col min="263" max="263" width="10.33203125" style="297" customWidth="1"/>
    <col min="264" max="264" width="9" style="297" customWidth="1"/>
    <col min="265" max="265" width="12.5546875" style="297" customWidth="1"/>
    <col min="266" max="266" width="13.109375" style="297" customWidth="1"/>
    <col min="267" max="512" width="8.88671875" style="297"/>
    <col min="513" max="513" width="3.77734375" style="297" customWidth="1"/>
    <col min="514" max="514" width="4.5546875" style="297" customWidth="1"/>
    <col min="515" max="515" width="9" style="297" customWidth="1"/>
    <col min="516" max="516" width="12.33203125" style="297" customWidth="1"/>
    <col min="517" max="517" width="6.33203125" style="297" customWidth="1"/>
    <col min="518" max="518" width="8.5546875" style="297" customWidth="1"/>
    <col min="519" max="519" width="10.33203125" style="297" customWidth="1"/>
    <col min="520" max="520" width="9" style="297" customWidth="1"/>
    <col min="521" max="521" width="12.5546875" style="297" customWidth="1"/>
    <col min="522" max="522" width="13.109375" style="297" customWidth="1"/>
    <col min="523" max="768" width="8.88671875" style="297"/>
    <col min="769" max="769" width="3.77734375" style="297" customWidth="1"/>
    <col min="770" max="770" width="4.5546875" style="297" customWidth="1"/>
    <col min="771" max="771" width="9" style="297" customWidth="1"/>
    <col min="772" max="772" width="12.33203125" style="297" customWidth="1"/>
    <col min="773" max="773" width="6.33203125" style="297" customWidth="1"/>
    <col min="774" max="774" width="8.5546875" style="297" customWidth="1"/>
    <col min="775" max="775" width="10.33203125" style="297" customWidth="1"/>
    <col min="776" max="776" width="9" style="297" customWidth="1"/>
    <col min="777" max="777" width="12.5546875" style="297" customWidth="1"/>
    <col min="778" max="778" width="13.109375" style="297" customWidth="1"/>
    <col min="779" max="1024" width="8.88671875" style="297"/>
    <col min="1025" max="1025" width="3.77734375" style="297" customWidth="1"/>
    <col min="1026" max="1026" width="4.5546875" style="297" customWidth="1"/>
    <col min="1027" max="1027" width="9" style="297" customWidth="1"/>
    <col min="1028" max="1028" width="12.33203125" style="297" customWidth="1"/>
    <col min="1029" max="1029" width="6.33203125" style="297" customWidth="1"/>
    <col min="1030" max="1030" width="8.5546875" style="297" customWidth="1"/>
    <col min="1031" max="1031" width="10.33203125" style="297" customWidth="1"/>
    <col min="1032" max="1032" width="9" style="297" customWidth="1"/>
    <col min="1033" max="1033" width="12.5546875" style="297" customWidth="1"/>
    <col min="1034" max="1034" width="13.109375" style="297" customWidth="1"/>
    <col min="1035" max="1280" width="8.88671875" style="297"/>
    <col min="1281" max="1281" width="3.77734375" style="297" customWidth="1"/>
    <col min="1282" max="1282" width="4.5546875" style="297" customWidth="1"/>
    <col min="1283" max="1283" width="9" style="297" customWidth="1"/>
    <col min="1284" max="1284" width="12.33203125" style="297" customWidth="1"/>
    <col min="1285" max="1285" width="6.33203125" style="297" customWidth="1"/>
    <col min="1286" max="1286" width="8.5546875" style="297" customWidth="1"/>
    <col min="1287" max="1287" width="10.33203125" style="297" customWidth="1"/>
    <col min="1288" max="1288" width="9" style="297" customWidth="1"/>
    <col min="1289" max="1289" width="12.5546875" style="297" customWidth="1"/>
    <col min="1290" max="1290" width="13.109375" style="297" customWidth="1"/>
    <col min="1291" max="1536" width="8.88671875" style="297"/>
    <col min="1537" max="1537" width="3.77734375" style="297" customWidth="1"/>
    <col min="1538" max="1538" width="4.5546875" style="297" customWidth="1"/>
    <col min="1539" max="1539" width="9" style="297" customWidth="1"/>
    <col min="1540" max="1540" width="12.33203125" style="297" customWidth="1"/>
    <col min="1541" max="1541" width="6.33203125" style="297" customWidth="1"/>
    <col min="1542" max="1542" width="8.5546875" style="297" customWidth="1"/>
    <col min="1543" max="1543" width="10.33203125" style="297" customWidth="1"/>
    <col min="1544" max="1544" width="9" style="297" customWidth="1"/>
    <col min="1545" max="1545" width="12.5546875" style="297" customWidth="1"/>
    <col min="1546" max="1546" width="13.109375" style="297" customWidth="1"/>
    <col min="1547" max="1792" width="8.88671875" style="297"/>
    <col min="1793" max="1793" width="3.77734375" style="297" customWidth="1"/>
    <col min="1794" max="1794" width="4.5546875" style="297" customWidth="1"/>
    <col min="1795" max="1795" width="9" style="297" customWidth="1"/>
    <col min="1796" max="1796" width="12.33203125" style="297" customWidth="1"/>
    <col min="1797" max="1797" width="6.33203125" style="297" customWidth="1"/>
    <col min="1798" max="1798" width="8.5546875" style="297" customWidth="1"/>
    <col min="1799" max="1799" width="10.33203125" style="297" customWidth="1"/>
    <col min="1800" max="1800" width="9" style="297" customWidth="1"/>
    <col min="1801" max="1801" width="12.5546875" style="297" customWidth="1"/>
    <col min="1802" max="1802" width="13.109375" style="297" customWidth="1"/>
    <col min="1803" max="2048" width="8.88671875" style="297"/>
    <col min="2049" max="2049" width="3.77734375" style="297" customWidth="1"/>
    <col min="2050" max="2050" width="4.5546875" style="297" customWidth="1"/>
    <col min="2051" max="2051" width="9" style="297" customWidth="1"/>
    <col min="2052" max="2052" width="12.33203125" style="297" customWidth="1"/>
    <col min="2053" max="2053" width="6.33203125" style="297" customWidth="1"/>
    <col min="2054" max="2054" width="8.5546875" style="297" customWidth="1"/>
    <col min="2055" max="2055" width="10.33203125" style="297" customWidth="1"/>
    <col min="2056" max="2056" width="9" style="297" customWidth="1"/>
    <col min="2057" max="2057" width="12.5546875" style="297" customWidth="1"/>
    <col min="2058" max="2058" width="13.109375" style="297" customWidth="1"/>
    <col min="2059" max="2304" width="8.88671875" style="297"/>
    <col min="2305" max="2305" width="3.77734375" style="297" customWidth="1"/>
    <col min="2306" max="2306" width="4.5546875" style="297" customWidth="1"/>
    <col min="2307" max="2307" width="9" style="297" customWidth="1"/>
    <col min="2308" max="2308" width="12.33203125" style="297" customWidth="1"/>
    <col min="2309" max="2309" width="6.33203125" style="297" customWidth="1"/>
    <col min="2310" max="2310" width="8.5546875" style="297" customWidth="1"/>
    <col min="2311" max="2311" width="10.33203125" style="297" customWidth="1"/>
    <col min="2312" max="2312" width="9" style="297" customWidth="1"/>
    <col min="2313" max="2313" width="12.5546875" style="297" customWidth="1"/>
    <col min="2314" max="2314" width="13.109375" style="297" customWidth="1"/>
    <col min="2315" max="2560" width="8.88671875" style="297"/>
    <col min="2561" max="2561" width="3.77734375" style="297" customWidth="1"/>
    <col min="2562" max="2562" width="4.5546875" style="297" customWidth="1"/>
    <col min="2563" max="2563" width="9" style="297" customWidth="1"/>
    <col min="2564" max="2564" width="12.33203125" style="297" customWidth="1"/>
    <col min="2565" max="2565" width="6.33203125" style="297" customWidth="1"/>
    <col min="2566" max="2566" width="8.5546875" style="297" customWidth="1"/>
    <col min="2567" max="2567" width="10.33203125" style="297" customWidth="1"/>
    <col min="2568" max="2568" width="9" style="297" customWidth="1"/>
    <col min="2569" max="2569" width="12.5546875" style="297" customWidth="1"/>
    <col min="2570" max="2570" width="13.109375" style="297" customWidth="1"/>
    <col min="2571" max="2816" width="8.88671875" style="297"/>
    <col min="2817" max="2817" width="3.77734375" style="297" customWidth="1"/>
    <col min="2818" max="2818" width="4.5546875" style="297" customWidth="1"/>
    <col min="2819" max="2819" width="9" style="297" customWidth="1"/>
    <col min="2820" max="2820" width="12.33203125" style="297" customWidth="1"/>
    <col min="2821" max="2821" width="6.33203125" style="297" customWidth="1"/>
    <col min="2822" max="2822" width="8.5546875" style="297" customWidth="1"/>
    <col min="2823" max="2823" width="10.33203125" style="297" customWidth="1"/>
    <col min="2824" max="2824" width="9" style="297" customWidth="1"/>
    <col min="2825" max="2825" width="12.5546875" style="297" customWidth="1"/>
    <col min="2826" max="2826" width="13.109375" style="297" customWidth="1"/>
    <col min="2827" max="3072" width="8.88671875" style="297"/>
    <col min="3073" max="3073" width="3.77734375" style="297" customWidth="1"/>
    <col min="3074" max="3074" width="4.5546875" style="297" customWidth="1"/>
    <col min="3075" max="3075" width="9" style="297" customWidth="1"/>
    <col min="3076" max="3076" width="12.33203125" style="297" customWidth="1"/>
    <col min="3077" max="3077" width="6.33203125" style="297" customWidth="1"/>
    <col min="3078" max="3078" width="8.5546875" style="297" customWidth="1"/>
    <col min="3079" max="3079" width="10.33203125" style="297" customWidth="1"/>
    <col min="3080" max="3080" width="9" style="297" customWidth="1"/>
    <col min="3081" max="3081" width="12.5546875" style="297" customWidth="1"/>
    <col min="3082" max="3082" width="13.109375" style="297" customWidth="1"/>
    <col min="3083" max="3328" width="8.88671875" style="297"/>
    <col min="3329" max="3329" width="3.77734375" style="297" customWidth="1"/>
    <col min="3330" max="3330" width="4.5546875" style="297" customWidth="1"/>
    <col min="3331" max="3331" width="9" style="297" customWidth="1"/>
    <col min="3332" max="3332" width="12.33203125" style="297" customWidth="1"/>
    <col min="3333" max="3333" width="6.33203125" style="297" customWidth="1"/>
    <col min="3334" max="3334" width="8.5546875" style="297" customWidth="1"/>
    <col min="3335" max="3335" width="10.33203125" style="297" customWidth="1"/>
    <col min="3336" max="3336" width="9" style="297" customWidth="1"/>
    <col min="3337" max="3337" width="12.5546875" style="297" customWidth="1"/>
    <col min="3338" max="3338" width="13.109375" style="297" customWidth="1"/>
    <col min="3339" max="3584" width="8.88671875" style="297"/>
    <col min="3585" max="3585" width="3.77734375" style="297" customWidth="1"/>
    <col min="3586" max="3586" width="4.5546875" style="297" customWidth="1"/>
    <col min="3587" max="3587" width="9" style="297" customWidth="1"/>
    <col min="3588" max="3588" width="12.33203125" style="297" customWidth="1"/>
    <col min="3589" max="3589" width="6.33203125" style="297" customWidth="1"/>
    <col min="3590" max="3590" width="8.5546875" style="297" customWidth="1"/>
    <col min="3591" max="3591" width="10.33203125" style="297" customWidth="1"/>
    <col min="3592" max="3592" width="9" style="297" customWidth="1"/>
    <col min="3593" max="3593" width="12.5546875" style="297" customWidth="1"/>
    <col min="3594" max="3594" width="13.109375" style="297" customWidth="1"/>
    <col min="3595" max="3840" width="8.88671875" style="297"/>
    <col min="3841" max="3841" width="3.77734375" style="297" customWidth="1"/>
    <col min="3842" max="3842" width="4.5546875" style="297" customWidth="1"/>
    <col min="3843" max="3843" width="9" style="297" customWidth="1"/>
    <col min="3844" max="3844" width="12.33203125" style="297" customWidth="1"/>
    <col min="3845" max="3845" width="6.33203125" style="297" customWidth="1"/>
    <col min="3846" max="3846" width="8.5546875" style="297" customWidth="1"/>
    <col min="3847" max="3847" width="10.33203125" style="297" customWidth="1"/>
    <col min="3848" max="3848" width="9" style="297" customWidth="1"/>
    <col min="3849" max="3849" width="12.5546875" style="297" customWidth="1"/>
    <col min="3850" max="3850" width="13.109375" style="297" customWidth="1"/>
    <col min="3851" max="4096" width="8.88671875" style="297"/>
    <col min="4097" max="4097" width="3.77734375" style="297" customWidth="1"/>
    <col min="4098" max="4098" width="4.5546875" style="297" customWidth="1"/>
    <col min="4099" max="4099" width="9" style="297" customWidth="1"/>
    <col min="4100" max="4100" width="12.33203125" style="297" customWidth="1"/>
    <col min="4101" max="4101" width="6.33203125" style="297" customWidth="1"/>
    <col min="4102" max="4102" width="8.5546875" style="297" customWidth="1"/>
    <col min="4103" max="4103" width="10.33203125" style="297" customWidth="1"/>
    <col min="4104" max="4104" width="9" style="297" customWidth="1"/>
    <col min="4105" max="4105" width="12.5546875" style="297" customWidth="1"/>
    <col min="4106" max="4106" width="13.109375" style="297" customWidth="1"/>
    <col min="4107" max="4352" width="8.88671875" style="297"/>
    <col min="4353" max="4353" width="3.77734375" style="297" customWidth="1"/>
    <col min="4354" max="4354" width="4.5546875" style="297" customWidth="1"/>
    <col min="4355" max="4355" width="9" style="297" customWidth="1"/>
    <col min="4356" max="4356" width="12.33203125" style="297" customWidth="1"/>
    <col min="4357" max="4357" width="6.33203125" style="297" customWidth="1"/>
    <col min="4358" max="4358" width="8.5546875" style="297" customWidth="1"/>
    <col min="4359" max="4359" width="10.33203125" style="297" customWidth="1"/>
    <col min="4360" max="4360" width="9" style="297" customWidth="1"/>
    <col min="4361" max="4361" width="12.5546875" style="297" customWidth="1"/>
    <col min="4362" max="4362" width="13.109375" style="297" customWidth="1"/>
    <col min="4363" max="4608" width="8.88671875" style="297"/>
    <col min="4609" max="4609" width="3.77734375" style="297" customWidth="1"/>
    <col min="4610" max="4610" width="4.5546875" style="297" customWidth="1"/>
    <col min="4611" max="4611" width="9" style="297" customWidth="1"/>
    <col min="4612" max="4612" width="12.33203125" style="297" customWidth="1"/>
    <col min="4613" max="4613" width="6.33203125" style="297" customWidth="1"/>
    <col min="4614" max="4614" width="8.5546875" style="297" customWidth="1"/>
    <col min="4615" max="4615" width="10.33203125" style="297" customWidth="1"/>
    <col min="4616" max="4616" width="9" style="297" customWidth="1"/>
    <col min="4617" max="4617" width="12.5546875" style="297" customWidth="1"/>
    <col min="4618" max="4618" width="13.109375" style="297" customWidth="1"/>
    <col min="4619" max="4864" width="8.88671875" style="297"/>
    <col min="4865" max="4865" width="3.77734375" style="297" customWidth="1"/>
    <col min="4866" max="4866" width="4.5546875" style="297" customWidth="1"/>
    <col min="4867" max="4867" width="9" style="297" customWidth="1"/>
    <col min="4868" max="4868" width="12.33203125" style="297" customWidth="1"/>
    <col min="4869" max="4869" width="6.33203125" style="297" customWidth="1"/>
    <col min="4870" max="4870" width="8.5546875" style="297" customWidth="1"/>
    <col min="4871" max="4871" width="10.33203125" style="297" customWidth="1"/>
    <col min="4872" max="4872" width="9" style="297" customWidth="1"/>
    <col min="4873" max="4873" width="12.5546875" style="297" customWidth="1"/>
    <col min="4874" max="4874" width="13.109375" style="297" customWidth="1"/>
    <col min="4875" max="5120" width="8.88671875" style="297"/>
    <col min="5121" max="5121" width="3.77734375" style="297" customWidth="1"/>
    <col min="5122" max="5122" width="4.5546875" style="297" customWidth="1"/>
    <col min="5123" max="5123" width="9" style="297" customWidth="1"/>
    <col min="5124" max="5124" width="12.33203125" style="297" customWidth="1"/>
    <col min="5125" max="5125" width="6.33203125" style="297" customWidth="1"/>
    <col min="5126" max="5126" width="8.5546875" style="297" customWidth="1"/>
    <col min="5127" max="5127" width="10.33203125" style="297" customWidth="1"/>
    <col min="5128" max="5128" width="9" style="297" customWidth="1"/>
    <col min="5129" max="5129" width="12.5546875" style="297" customWidth="1"/>
    <col min="5130" max="5130" width="13.109375" style="297" customWidth="1"/>
    <col min="5131" max="5376" width="8.88671875" style="297"/>
    <col min="5377" max="5377" width="3.77734375" style="297" customWidth="1"/>
    <col min="5378" max="5378" width="4.5546875" style="297" customWidth="1"/>
    <col min="5379" max="5379" width="9" style="297" customWidth="1"/>
    <col min="5380" max="5380" width="12.33203125" style="297" customWidth="1"/>
    <col min="5381" max="5381" width="6.33203125" style="297" customWidth="1"/>
    <col min="5382" max="5382" width="8.5546875" style="297" customWidth="1"/>
    <col min="5383" max="5383" width="10.33203125" style="297" customWidth="1"/>
    <col min="5384" max="5384" width="9" style="297" customWidth="1"/>
    <col min="5385" max="5385" width="12.5546875" style="297" customWidth="1"/>
    <col min="5386" max="5386" width="13.109375" style="297" customWidth="1"/>
    <col min="5387" max="5632" width="8.88671875" style="297"/>
    <col min="5633" max="5633" width="3.77734375" style="297" customWidth="1"/>
    <col min="5634" max="5634" width="4.5546875" style="297" customWidth="1"/>
    <col min="5635" max="5635" width="9" style="297" customWidth="1"/>
    <col min="5636" max="5636" width="12.33203125" style="297" customWidth="1"/>
    <col min="5637" max="5637" width="6.33203125" style="297" customWidth="1"/>
    <col min="5638" max="5638" width="8.5546875" style="297" customWidth="1"/>
    <col min="5639" max="5639" width="10.33203125" style="297" customWidth="1"/>
    <col min="5640" max="5640" width="9" style="297" customWidth="1"/>
    <col min="5641" max="5641" width="12.5546875" style="297" customWidth="1"/>
    <col min="5642" max="5642" width="13.109375" style="297" customWidth="1"/>
    <col min="5643" max="5888" width="8.88671875" style="297"/>
    <col min="5889" max="5889" width="3.77734375" style="297" customWidth="1"/>
    <col min="5890" max="5890" width="4.5546875" style="297" customWidth="1"/>
    <col min="5891" max="5891" width="9" style="297" customWidth="1"/>
    <col min="5892" max="5892" width="12.33203125" style="297" customWidth="1"/>
    <col min="5893" max="5893" width="6.33203125" style="297" customWidth="1"/>
    <col min="5894" max="5894" width="8.5546875" style="297" customWidth="1"/>
    <col min="5895" max="5895" width="10.33203125" style="297" customWidth="1"/>
    <col min="5896" max="5896" width="9" style="297" customWidth="1"/>
    <col min="5897" max="5897" width="12.5546875" style="297" customWidth="1"/>
    <col min="5898" max="5898" width="13.109375" style="297" customWidth="1"/>
    <col min="5899" max="6144" width="8.88671875" style="297"/>
    <col min="6145" max="6145" width="3.77734375" style="297" customWidth="1"/>
    <col min="6146" max="6146" width="4.5546875" style="297" customWidth="1"/>
    <col min="6147" max="6147" width="9" style="297" customWidth="1"/>
    <col min="6148" max="6148" width="12.33203125" style="297" customWidth="1"/>
    <col min="6149" max="6149" width="6.33203125" style="297" customWidth="1"/>
    <col min="6150" max="6150" width="8.5546875" style="297" customWidth="1"/>
    <col min="6151" max="6151" width="10.33203125" style="297" customWidth="1"/>
    <col min="6152" max="6152" width="9" style="297" customWidth="1"/>
    <col min="6153" max="6153" width="12.5546875" style="297" customWidth="1"/>
    <col min="6154" max="6154" width="13.109375" style="297" customWidth="1"/>
    <col min="6155" max="6400" width="8.88671875" style="297"/>
    <col min="6401" max="6401" width="3.77734375" style="297" customWidth="1"/>
    <col min="6402" max="6402" width="4.5546875" style="297" customWidth="1"/>
    <col min="6403" max="6403" width="9" style="297" customWidth="1"/>
    <col min="6404" max="6404" width="12.33203125" style="297" customWidth="1"/>
    <col min="6405" max="6405" width="6.33203125" style="297" customWidth="1"/>
    <col min="6406" max="6406" width="8.5546875" style="297" customWidth="1"/>
    <col min="6407" max="6407" width="10.33203125" style="297" customWidth="1"/>
    <col min="6408" max="6408" width="9" style="297" customWidth="1"/>
    <col min="6409" max="6409" width="12.5546875" style="297" customWidth="1"/>
    <col min="6410" max="6410" width="13.109375" style="297" customWidth="1"/>
    <col min="6411" max="6656" width="8.88671875" style="297"/>
    <col min="6657" max="6657" width="3.77734375" style="297" customWidth="1"/>
    <col min="6658" max="6658" width="4.5546875" style="297" customWidth="1"/>
    <col min="6659" max="6659" width="9" style="297" customWidth="1"/>
    <col min="6660" max="6660" width="12.33203125" style="297" customWidth="1"/>
    <col min="6661" max="6661" width="6.33203125" style="297" customWidth="1"/>
    <col min="6662" max="6662" width="8.5546875" style="297" customWidth="1"/>
    <col min="6663" max="6663" width="10.33203125" style="297" customWidth="1"/>
    <col min="6664" max="6664" width="9" style="297" customWidth="1"/>
    <col min="6665" max="6665" width="12.5546875" style="297" customWidth="1"/>
    <col min="6666" max="6666" width="13.109375" style="297" customWidth="1"/>
    <col min="6667" max="6912" width="8.88671875" style="297"/>
    <col min="6913" max="6913" width="3.77734375" style="297" customWidth="1"/>
    <col min="6914" max="6914" width="4.5546875" style="297" customWidth="1"/>
    <col min="6915" max="6915" width="9" style="297" customWidth="1"/>
    <col min="6916" max="6916" width="12.33203125" style="297" customWidth="1"/>
    <col min="6917" max="6917" width="6.33203125" style="297" customWidth="1"/>
    <col min="6918" max="6918" width="8.5546875" style="297" customWidth="1"/>
    <col min="6919" max="6919" width="10.33203125" style="297" customWidth="1"/>
    <col min="6920" max="6920" width="9" style="297" customWidth="1"/>
    <col min="6921" max="6921" width="12.5546875" style="297" customWidth="1"/>
    <col min="6922" max="6922" width="13.109375" style="297" customWidth="1"/>
    <col min="6923" max="7168" width="8.88671875" style="297"/>
    <col min="7169" max="7169" width="3.77734375" style="297" customWidth="1"/>
    <col min="7170" max="7170" width="4.5546875" style="297" customWidth="1"/>
    <col min="7171" max="7171" width="9" style="297" customWidth="1"/>
    <col min="7172" max="7172" width="12.33203125" style="297" customWidth="1"/>
    <col min="7173" max="7173" width="6.33203125" style="297" customWidth="1"/>
    <col min="7174" max="7174" width="8.5546875" style="297" customWidth="1"/>
    <col min="7175" max="7175" width="10.33203125" style="297" customWidth="1"/>
    <col min="7176" max="7176" width="9" style="297" customWidth="1"/>
    <col min="7177" max="7177" width="12.5546875" style="297" customWidth="1"/>
    <col min="7178" max="7178" width="13.109375" style="297" customWidth="1"/>
    <col min="7179" max="7424" width="8.88671875" style="297"/>
    <col min="7425" max="7425" width="3.77734375" style="297" customWidth="1"/>
    <col min="7426" max="7426" width="4.5546875" style="297" customWidth="1"/>
    <col min="7427" max="7427" width="9" style="297" customWidth="1"/>
    <col min="7428" max="7428" width="12.33203125" style="297" customWidth="1"/>
    <col min="7429" max="7429" width="6.33203125" style="297" customWidth="1"/>
    <col min="7430" max="7430" width="8.5546875" style="297" customWidth="1"/>
    <col min="7431" max="7431" width="10.33203125" style="297" customWidth="1"/>
    <col min="7432" max="7432" width="9" style="297" customWidth="1"/>
    <col min="7433" max="7433" width="12.5546875" style="297" customWidth="1"/>
    <col min="7434" max="7434" width="13.109375" style="297" customWidth="1"/>
    <col min="7435" max="7680" width="8.88671875" style="297"/>
    <col min="7681" max="7681" width="3.77734375" style="297" customWidth="1"/>
    <col min="7682" max="7682" width="4.5546875" style="297" customWidth="1"/>
    <col min="7683" max="7683" width="9" style="297" customWidth="1"/>
    <col min="7684" max="7684" width="12.33203125" style="297" customWidth="1"/>
    <col min="7685" max="7685" width="6.33203125" style="297" customWidth="1"/>
    <col min="7686" max="7686" width="8.5546875" style="297" customWidth="1"/>
    <col min="7687" max="7687" width="10.33203125" style="297" customWidth="1"/>
    <col min="7688" max="7688" width="9" style="297" customWidth="1"/>
    <col min="7689" max="7689" width="12.5546875" style="297" customWidth="1"/>
    <col min="7690" max="7690" width="13.109375" style="297" customWidth="1"/>
    <col min="7691" max="7936" width="8.88671875" style="297"/>
    <col min="7937" max="7937" width="3.77734375" style="297" customWidth="1"/>
    <col min="7938" max="7938" width="4.5546875" style="297" customWidth="1"/>
    <col min="7939" max="7939" width="9" style="297" customWidth="1"/>
    <col min="7940" max="7940" width="12.33203125" style="297" customWidth="1"/>
    <col min="7941" max="7941" width="6.33203125" style="297" customWidth="1"/>
    <col min="7942" max="7942" width="8.5546875" style="297" customWidth="1"/>
    <col min="7943" max="7943" width="10.33203125" style="297" customWidth="1"/>
    <col min="7944" max="7944" width="9" style="297" customWidth="1"/>
    <col min="7945" max="7945" width="12.5546875" style="297" customWidth="1"/>
    <col min="7946" max="7946" width="13.109375" style="297" customWidth="1"/>
    <col min="7947" max="8192" width="8.88671875" style="297"/>
    <col min="8193" max="8193" width="3.77734375" style="297" customWidth="1"/>
    <col min="8194" max="8194" width="4.5546875" style="297" customWidth="1"/>
    <col min="8195" max="8195" width="9" style="297" customWidth="1"/>
    <col min="8196" max="8196" width="12.33203125" style="297" customWidth="1"/>
    <col min="8197" max="8197" width="6.33203125" style="297" customWidth="1"/>
    <col min="8198" max="8198" width="8.5546875" style="297" customWidth="1"/>
    <col min="8199" max="8199" width="10.33203125" style="297" customWidth="1"/>
    <col min="8200" max="8200" width="9" style="297" customWidth="1"/>
    <col min="8201" max="8201" width="12.5546875" style="297" customWidth="1"/>
    <col min="8202" max="8202" width="13.109375" style="297" customWidth="1"/>
    <col min="8203" max="8448" width="8.88671875" style="297"/>
    <col min="8449" max="8449" width="3.77734375" style="297" customWidth="1"/>
    <col min="8450" max="8450" width="4.5546875" style="297" customWidth="1"/>
    <col min="8451" max="8451" width="9" style="297" customWidth="1"/>
    <col min="8452" max="8452" width="12.33203125" style="297" customWidth="1"/>
    <col min="8453" max="8453" width="6.33203125" style="297" customWidth="1"/>
    <col min="8454" max="8454" width="8.5546875" style="297" customWidth="1"/>
    <col min="8455" max="8455" width="10.33203125" style="297" customWidth="1"/>
    <col min="8456" max="8456" width="9" style="297" customWidth="1"/>
    <col min="8457" max="8457" width="12.5546875" style="297" customWidth="1"/>
    <col min="8458" max="8458" width="13.109375" style="297" customWidth="1"/>
    <col min="8459" max="8704" width="8.88671875" style="297"/>
    <col min="8705" max="8705" width="3.77734375" style="297" customWidth="1"/>
    <col min="8706" max="8706" width="4.5546875" style="297" customWidth="1"/>
    <col min="8707" max="8707" width="9" style="297" customWidth="1"/>
    <col min="8708" max="8708" width="12.33203125" style="297" customWidth="1"/>
    <col min="8709" max="8709" width="6.33203125" style="297" customWidth="1"/>
    <col min="8710" max="8710" width="8.5546875" style="297" customWidth="1"/>
    <col min="8711" max="8711" width="10.33203125" style="297" customWidth="1"/>
    <col min="8712" max="8712" width="9" style="297" customWidth="1"/>
    <col min="8713" max="8713" width="12.5546875" style="297" customWidth="1"/>
    <col min="8714" max="8714" width="13.109375" style="297" customWidth="1"/>
    <col min="8715" max="8960" width="8.88671875" style="297"/>
    <col min="8961" max="8961" width="3.77734375" style="297" customWidth="1"/>
    <col min="8962" max="8962" width="4.5546875" style="297" customWidth="1"/>
    <col min="8963" max="8963" width="9" style="297" customWidth="1"/>
    <col min="8964" max="8964" width="12.33203125" style="297" customWidth="1"/>
    <col min="8965" max="8965" width="6.33203125" style="297" customWidth="1"/>
    <col min="8966" max="8966" width="8.5546875" style="297" customWidth="1"/>
    <col min="8967" max="8967" width="10.33203125" style="297" customWidth="1"/>
    <col min="8968" max="8968" width="9" style="297" customWidth="1"/>
    <col min="8969" max="8969" width="12.5546875" style="297" customWidth="1"/>
    <col min="8970" max="8970" width="13.109375" style="297" customWidth="1"/>
    <col min="8971" max="9216" width="8.88671875" style="297"/>
    <col min="9217" max="9217" width="3.77734375" style="297" customWidth="1"/>
    <col min="9218" max="9218" width="4.5546875" style="297" customWidth="1"/>
    <col min="9219" max="9219" width="9" style="297" customWidth="1"/>
    <col min="9220" max="9220" width="12.33203125" style="297" customWidth="1"/>
    <col min="9221" max="9221" width="6.33203125" style="297" customWidth="1"/>
    <col min="9222" max="9222" width="8.5546875" style="297" customWidth="1"/>
    <col min="9223" max="9223" width="10.33203125" style="297" customWidth="1"/>
    <col min="9224" max="9224" width="9" style="297" customWidth="1"/>
    <col min="9225" max="9225" width="12.5546875" style="297" customWidth="1"/>
    <col min="9226" max="9226" width="13.109375" style="297" customWidth="1"/>
    <col min="9227" max="9472" width="8.88671875" style="297"/>
    <col min="9473" max="9473" width="3.77734375" style="297" customWidth="1"/>
    <col min="9474" max="9474" width="4.5546875" style="297" customWidth="1"/>
    <col min="9475" max="9475" width="9" style="297" customWidth="1"/>
    <col min="9476" max="9476" width="12.33203125" style="297" customWidth="1"/>
    <col min="9477" max="9477" width="6.33203125" style="297" customWidth="1"/>
    <col min="9478" max="9478" width="8.5546875" style="297" customWidth="1"/>
    <col min="9479" max="9479" width="10.33203125" style="297" customWidth="1"/>
    <col min="9480" max="9480" width="9" style="297" customWidth="1"/>
    <col min="9481" max="9481" width="12.5546875" style="297" customWidth="1"/>
    <col min="9482" max="9482" width="13.109375" style="297" customWidth="1"/>
    <col min="9483" max="9728" width="8.88671875" style="297"/>
    <col min="9729" max="9729" width="3.77734375" style="297" customWidth="1"/>
    <col min="9730" max="9730" width="4.5546875" style="297" customWidth="1"/>
    <col min="9731" max="9731" width="9" style="297" customWidth="1"/>
    <col min="9732" max="9732" width="12.33203125" style="297" customWidth="1"/>
    <col min="9733" max="9733" width="6.33203125" style="297" customWidth="1"/>
    <col min="9734" max="9734" width="8.5546875" style="297" customWidth="1"/>
    <col min="9735" max="9735" width="10.33203125" style="297" customWidth="1"/>
    <col min="9736" max="9736" width="9" style="297" customWidth="1"/>
    <col min="9737" max="9737" width="12.5546875" style="297" customWidth="1"/>
    <col min="9738" max="9738" width="13.109375" style="297" customWidth="1"/>
    <col min="9739" max="9984" width="8.88671875" style="297"/>
    <col min="9985" max="9985" width="3.77734375" style="297" customWidth="1"/>
    <col min="9986" max="9986" width="4.5546875" style="297" customWidth="1"/>
    <col min="9987" max="9987" width="9" style="297" customWidth="1"/>
    <col min="9988" max="9988" width="12.33203125" style="297" customWidth="1"/>
    <col min="9989" max="9989" width="6.33203125" style="297" customWidth="1"/>
    <col min="9990" max="9990" width="8.5546875" style="297" customWidth="1"/>
    <col min="9991" max="9991" width="10.33203125" style="297" customWidth="1"/>
    <col min="9992" max="9992" width="9" style="297" customWidth="1"/>
    <col min="9993" max="9993" width="12.5546875" style="297" customWidth="1"/>
    <col min="9994" max="9994" width="13.109375" style="297" customWidth="1"/>
    <col min="9995" max="10240" width="8.88671875" style="297"/>
    <col min="10241" max="10241" width="3.77734375" style="297" customWidth="1"/>
    <col min="10242" max="10242" width="4.5546875" style="297" customWidth="1"/>
    <col min="10243" max="10243" width="9" style="297" customWidth="1"/>
    <col min="10244" max="10244" width="12.33203125" style="297" customWidth="1"/>
    <col min="10245" max="10245" width="6.33203125" style="297" customWidth="1"/>
    <col min="10246" max="10246" width="8.5546875" style="297" customWidth="1"/>
    <col min="10247" max="10247" width="10.33203125" style="297" customWidth="1"/>
    <col min="10248" max="10248" width="9" style="297" customWidth="1"/>
    <col min="10249" max="10249" width="12.5546875" style="297" customWidth="1"/>
    <col min="10250" max="10250" width="13.109375" style="297" customWidth="1"/>
    <col min="10251" max="10496" width="8.88671875" style="297"/>
    <col min="10497" max="10497" width="3.77734375" style="297" customWidth="1"/>
    <col min="10498" max="10498" width="4.5546875" style="297" customWidth="1"/>
    <col min="10499" max="10499" width="9" style="297" customWidth="1"/>
    <col min="10500" max="10500" width="12.33203125" style="297" customWidth="1"/>
    <col min="10501" max="10501" width="6.33203125" style="297" customWidth="1"/>
    <col min="10502" max="10502" width="8.5546875" style="297" customWidth="1"/>
    <col min="10503" max="10503" width="10.33203125" style="297" customWidth="1"/>
    <col min="10504" max="10504" width="9" style="297" customWidth="1"/>
    <col min="10505" max="10505" width="12.5546875" style="297" customWidth="1"/>
    <col min="10506" max="10506" width="13.109375" style="297" customWidth="1"/>
    <col min="10507" max="10752" width="8.88671875" style="297"/>
    <col min="10753" max="10753" width="3.77734375" style="297" customWidth="1"/>
    <col min="10754" max="10754" width="4.5546875" style="297" customWidth="1"/>
    <col min="10755" max="10755" width="9" style="297" customWidth="1"/>
    <col min="10756" max="10756" width="12.33203125" style="297" customWidth="1"/>
    <col min="10757" max="10757" width="6.33203125" style="297" customWidth="1"/>
    <col min="10758" max="10758" width="8.5546875" style="297" customWidth="1"/>
    <col min="10759" max="10759" width="10.33203125" style="297" customWidth="1"/>
    <col min="10760" max="10760" width="9" style="297" customWidth="1"/>
    <col min="10761" max="10761" width="12.5546875" style="297" customWidth="1"/>
    <col min="10762" max="10762" width="13.109375" style="297" customWidth="1"/>
    <col min="10763" max="11008" width="8.88671875" style="297"/>
    <col min="11009" max="11009" width="3.77734375" style="297" customWidth="1"/>
    <col min="11010" max="11010" width="4.5546875" style="297" customWidth="1"/>
    <col min="11011" max="11011" width="9" style="297" customWidth="1"/>
    <col min="11012" max="11012" width="12.33203125" style="297" customWidth="1"/>
    <col min="11013" max="11013" width="6.33203125" style="297" customWidth="1"/>
    <col min="11014" max="11014" width="8.5546875" style="297" customWidth="1"/>
    <col min="11015" max="11015" width="10.33203125" style="297" customWidth="1"/>
    <col min="11016" max="11016" width="9" style="297" customWidth="1"/>
    <col min="11017" max="11017" width="12.5546875" style="297" customWidth="1"/>
    <col min="11018" max="11018" width="13.109375" style="297" customWidth="1"/>
    <col min="11019" max="11264" width="8.88671875" style="297"/>
    <col min="11265" max="11265" width="3.77734375" style="297" customWidth="1"/>
    <col min="11266" max="11266" width="4.5546875" style="297" customWidth="1"/>
    <col min="11267" max="11267" width="9" style="297" customWidth="1"/>
    <col min="11268" max="11268" width="12.33203125" style="297" customWidth="1"/>
    <col min="11269" max="11269" width="6.33203125" style="297" customWidth="1"/>
    <col min="11270" max="11270" width="8.5546875" style="297" customWidth="1"/>
    <col min="11271" max="11271" width="10.33203125" style="297" customWidth="1"/>
    <col min="11272" max="11272" width="9" style="297" customWidth="1"/>
    <col min="11273" max="11273" width="12.5546875" style="297" customWidth="1"/>
    <col min="11274" max="11274" width="13.109375" style="297" customWidth="1"/>
    <col min="11275" max="11520" width="8.88671875" style="297"/>
    <col min="11521" max="11521" width="3.77734375" style="297" customWidth="1"/>
    <col min="11522" max="11522" width="4.5546875" style="297" customWidth="1"/>
    <col min="11523" max="11523" width="9" style="297" customWidth="1"/>
    <col min="11524" max="11524" width="12.33203125" style="297" customWidth="1"/>
    <col min="11525" max="11525" width="6.33203125" style="297" customWidth="1"/>
    <col min="11526" max="11526" width="8.5546875" style="297" customWidth="1"/>
    <col min="11527" max="11527" width="10.33203125" style="297" customWidth="1"/>
    <col min="11528" max="11528" width="9" style="297" customWidth="1"/>
    <col min="11529" max="11529" width="12.5546875" style="297" customWidth="1"/>
    <col min="11530" max="11530" width="13.109375" style="297" customWidth="1"/>
    <col min="11531" max="11776" width="8.88671875" style="297"/>
    <col min="11777" max="11777" width="3.77734375" style="297" customWidth="1"/>
    <col min="11778" max="11778" width="4.5546875" style="297" customWidth="1"/>
    <col min="11779" max="11779" width="9" style="297" customWidth="1"/>
    <col min="11780" max="11780" width="12.33203125" style="297" customWidth="1"/>
    <col min="11781" max="11781" width="6.33203125" style="297" customWidth="1"/>
    <col min="11782" max="11782" width="8.5546875" style="297" customWidth="1"/>
    <col min="11783" max="11783" width="10.33203125" style="297" customWidth="1"/>
    <col min="11784" max="11784" width="9" style="297" customWidth="1"/>
    <col min="11785" max="11785" width="12.5546875" style="297" customWidth="1"/>
    <col min="11786" max="11786" width="13.109375" style="297" customWidth="1"/>
    <col min="11787" max="12032" width="8.88671875" style="297"/>
    <col min="12033" max="12033" width="3.77734375" style="297" customWidth="1"/>
    <col min="12034" max="12034" width="4.5546875" style="297" customWidth="1"/>
    <col min="12035" max="12035" width="9" style="297" customWidth="1"/>
    <col min="12036" max="12036" width="12.33203125" style="297" customWidth="1"/>
    <col min="12037" max="12037" width="6.33203125" style="297" customWidth="1"/>
    <col min="12038" max="12038" width="8.5546875" style="297" customWidth="1"/>
    <col min="12039" max="12039" width="10.33203125" style="297" customWidth="1"/>
    <col min="12040" max="12040" width="9" style="297" customWidth="1"/>
    <col min="12041" max="12041" width="12.5546875" style="297" customWidth="1"/>
    <col min="12042" max="12042" width="13.109375" style="297" customWidth="1"/>
    <col min="12043" max="12288" width="8.88671875" style="297"/>
    <col min="12289" max="12289" width="3.77734375" style="297" customWidth="1"/>
    <col min="12290" max="12290" width="4.5546875" style="297" customWidth="1"/>
    <col min="12291" max="12291" width="9" style="297" customWidth="1"/>
    <col min="12292" max="12292" width="12.33203125" style="297" customWidth="1"/>
    <col min="12293" max="12293" width="6.33203125" style="297" customWidth="1"/>
    <col min="12294" max="12294" width="8.5546875" style="297" customWidth="1"/>
    <col min="12295" max="12295" width="10.33203125" style="297" customWidth="1"/>
    <col min="12296" max="12296" width="9" style="297" customWidth="1"/>
    <col min="12297" max="12297" width="12.5546875" style="297" customWidth="1"/>
    <col min="12298" max="12298" width="13.109375" style="297" customWidth="1"/>
    <col min="12299" max="12544" width="8.88671875" style="297"/>
    <col min="12545" max="12545" width="3.77734375" style="297" customWidth="1"/>
    <col min="12546" max="12546" width="4.5546875" style="297" customWidth="1"/>
    <col min="12547" max="12547" width="9" style="297" customWidth="1"/>
    <col min="12548" max="12548" width="12.33203125" style="297" customWidth="1"/>
    <col min="12549" max="12549" width="6.33203125" style="297" customWidth="1"/>
    <col min="12550" max="12550" width="8.5546875" style="297" customWidth="1"/>
    <col min="12551" max="12551" width="10.33203125" style="297" customWidth="1"/>
    <col min="12552" max="12552" width="9" style="297" customWidth="1"/>
    <col min="12553" max="12553" width="12.5546875" style="297" customWidth="1"/>
    <col min="12554" max="12554" width="13.109375" style="297" customWidth="1"/>
    <col min="12555" max="12800" width="8.88671875" style="297"/>
    <col min="12801" max="12801" width="3.77734375" style="297" customWidth="1"/>
    <col min="12802" max="12802" width="4.5546875" style="297" customWidth="1"/>
    <col min="12803" max="12803" width="9" style="297" customWidth="1"/>
    <col min="12804" max="12804" width="12.33203125" style="297" customWidth="1"/>
    <col min="12805" max="12805" width="6.33203125" style="297" customWidth="1"/>
    <col min="12806" max="12806" width="8.5546875" style="297" customWidth="1"/>
    <col min="12807" max="12807" width="10.33203125" style="297" customWidth="1"/>
    <col min="12808" max="12808" width="9" style="297" customWidth="1"/>
    <col min="12809" max="12809" width="12.5546875" style="297" customWidth="1"/>
    <col min="12810" max="12810" width="13.109375" style="297" customWidth="1"/>
    <col min="12811" max="13056" width="8.88671875" style="297"/>
    <col min="13057" max="13057" width="3.77734375" style="297" customWidth="1"/>
    <col min="13058" max="13058" width="4.5546875" style="297" customWidth="1"/>
    <col min="13059" max="13059" width="9" style="297" customWidth="1"/>
    <col min="13060" max="13060" width="12.33203125" style="297" customWidth="1"/>
    <col min="13061" max="13061" width="6.33203125" style="297" customWidth="1"/>
    <col min="13062" max="13062" width="8.5546875" style="297" customWidth="1"/>
    <col min="13063" max="13063" width="10.33203125" style="297" customWidth="1"/>
    <col min="13064" max="13064" width="9" style="297" customWidth="1"/>
    <col min="13065" max="13065" width="12.5546875" style="297" customWidth="1"/>
    <col min="13066" max="13066" width="13.109375" style="297" customWidth="1"/>
    <col min="13067" max="13312" width="8.88671875" style="297"/>
    <col min="13313" max="13313" width="3.77734375" style="297" customWidth="1"/>
    <col min="13314" max="13314" width="4.5546875" style="297" customWidth="1"/>
    <col min="13315" max="13315" width="9" style="297" customWidth="1"/>
    <col min="13316" max="13316" width="12.33203125" style="297" customWidth="1"/>
    <col min="13317" max="13317" width="6.33203125" style="297" customWidth="1"/>
    <col min="13318" max="13318" width="8.5546875" style="297" customWidth="1"/>
    <col min="13319" max="13319" width="10.33203125" style="297" customWidth="1"/>
    <col min="13320" max="13320" width="9" style="297" customWidth="1"/>
    <col min="13321" max="13321" width="12.5546875" style="297" customWidth="1"/>
    <col min="13322" max="13322" width="13.109375" style="297" customWidth="1"/>
    <col min="13323" max="13568" width="8.88671875" style="297"/>
    <col min="13569" max="13569" width="3.77734375" style="297" customWidth="1"/>
    <col min="13570" max="13570" width="4.5546875" style="297" customWidth="1"/>
    <col min="13571" max="13571" width="9" style="297" customWidth="1"/>
    <col min="13572" max="13572" width="12.33203125" style="297" customWidth="1"/>
    <col min="13573" max="13573" width="6.33203125" style="297" customWidth="1"/>
    <col min="13574" max="13574" width="8.5546875" style="297" customWidth="1"/>
    <col min="13575" max="13575" width="10.33203125" style="297" customWidth="1"/>
    <col min="13576" max="13576" width="9" style="297" customWidth="1"/>
    <col min="13577" max="13577" width="12.5546875" style="297" customWidth="1"/>
    <col min="13578" max="13578" width="13.109375" style="297" customWidth="1"/>
    <col min="13579" max="13824" width="8.88671875" style="297"/>
    <col min="13825" max="13825" width="3.77734375" style="297" customWidth="1"/>
    <col min="13826" max="13826" width="4.5546875" style="297" customWidth="1"/>
    <col min="13827" max="13827" width="9" style="297" customWidth="1"/>
    <col min="13828" max="13828" width="12.33203125" style="297" customWidth="1"/>
    <col min="13829" max="13829" width="6.33203125" style="297" customWidth="1"/>
    <col min="13830" max="13830" width="8.5546875" style="297" customWidth="1"/>
    <col min="13831" max="13831" width="10.33203125" style="297" customWidth="1"/>
    <col min="13832" max="13832" width="9" style="297" customWidth="1"/>
    <col min="13833" max="13833" width="12.5546875" style="297" customWidth="1"/>
    <col min="13834" max="13834" width="13.109375" style="297" customWidth="1"/>
    <col min="13835" max="14080" width="8.88671875" style="297"/>
    <col min="14081" max="14081" width="3.77734375" style="297" customWidth="1"/>
    <col min="14082" max="14082" width="4.5546875" style="297" customWidth="1"/>
    <col min="14083" max="14083" width="9" style="297" customWidth="1"/>
    <col min="14084" max="14084" width="12.33203125" style="297" customWidth="1"/>
    <col min="14085" max="14085" width="6.33203125" style="297" customWidth="1"/>
    <col min="14086" max="14086" width="8.5546875" style="297" customWidth="1"/>
    <col min="14087" max="14087" width="10.33203125" style="297" customWidth="1"/>
    <col min="14088" max="14088" width="9" style="297" customWidth="1"/>
    <col min="14089" max="14089" width="12.5546875" style="297" customWidth="1"/>
    <col min="14090" max="14090" width="13.109375" style="297" customWidth="1"/>
    <col min="14091" max="14336" width="8.88671875" style="297"/>
    <col min="14337" max="14337" width="3.77734375" style="297" customWidth="1"/>
    <col min="14338" max="14338" width="4.5546875" style="297" customWidth="1"/>
    <col min="14339" max="14339" width="9" style="297" customWidth="1"/>
    <col min="14340" max="14340" width="12.33203125" style="297" customWidth="1"/>
    <col min="14341" max="14341" width="6.33203125" style="297" customWidth="1"/>
    <col min="14342" max="14342" width="8.5546875" style="297" customWidth="1"/>
    <col min="14343" max="14343" width="10.33203125" style="297" customWidth="1"/>
    <col min="14344" max="14344" width="9" style="297" customWidth="1"/>
    <col min="14345" max="14345" width="12.5546875" style="297" customWidth="1"/>
    <col min="14346" max="14346" width="13.109375" style="297" customWidth="1"/>
    <col min="14347" max="14592" width="8.88671875" style="297"/>
    <col min="14593" max="14593" width="3.77734375" style="297" customWidth="1"/>
    <col min="14594" max="14594" width="4.5546875" style="297" customWidth="1"/>
    <col min="14595" max="14595" width="9" style="297" customWidth="1"/>
    <col min="14596" max="14596" width="12.33203125" style="297" customWidth="1"/>
    <col min="14597" max="14597" width="6.33203125" style="297" customWidth="1"/>
    <col min="14598" max="14598" width="8.5546875" style="297" customWidth="1"/>
    <col min="14599" max="14599" width="10.33203125" style="297" customWidth="1"/>
    <col min="14600" max="14600" width="9" style="297" customWidth="1"/>
    <col min="14601" max="14601" width="12.5546875" style="297" customWidth="1"/>
    <col min="14602" max="14602" width="13.109375" style="297" customWidth="1"/>
    <col min="14603" max="14848" width="8.88671875" style="297"/>
    <col min="14849" max="14849" width="3.77734375" style="297" customWidth="1"/>
    <col min="14850" max="14850" width="4.5546875" style="297" customWidth="1"/>
    <col min="14851" max="14851" width="9" style="297" customWidth="1"/>
    <col min="14852" max="14852" width="12.33203125" style="297" customWidth="1"/>
    <col min="14853" max="14853" width="6.33203125" style="297" customWidth="1"/>
    <col min="14854" max="14854" width="8.5546875" style="297" customWidth="1"/>
    <col min="14855" max="14855" width="10.33203125" style="297" customWidth="1"/>
    <col min="14856" max="14856" width="9" style="297" customWidth="1"/>
    <col min="14857" max="14857" width="12.5546875" style="297" customWidth="1"/>
    <col min="14858" max="14858" width="13.109375" style="297" customWidth="1"/>
    <col min="14859" max="15104" width="8.88671875" style="297"/>
    <col min="15105" max="15105" width="3.77734375" style="297" customWidth="1"/>
    <col min="15106" max="15106" width="4.5546875" style="297" customWidth="1"/>
    <col min="15107" max="15107" width="9" style="297" customWidth="1"/>
    <col min="15108" max="15108" width="12.33203125" style="297" customWidth="1"/>
    <col min="15109" max="15109" width="6.33203125" style="297" customWidth="1"/>
    <col min="15110" max="15110" width="8.5546875" style="297" customWidth="1"/>
    <col min="15111" max="15111" width="10.33203125" style="297" customWidth="1"/>
    <col min="15112" max="15112" width="9" style="297" customWidth="1"/>
    <col min="15113" max="15113" width="12.5546875" style="297" customWidth="1"/>
    <col min="15114" max="15114" width="13.109375" style="297" customWidth="1"/>
    <col min="15115" max="15360" width="8.88671875" style="297"/>
    <col min="15361" max="15361" width="3.77734375" style="297" customWidth="1"/>
    <col min="15362" max="15362" width="4.5546875" style="297" customWidth="1"/>
    <col min="15363" max="15363" width="9" style="297" customWidth="1"/>
    <col min="15364" max="15364" width="12.33203125" style="297" customWidth="1"/>
    <col min="15365" max="15365" width="6.33203125" style="297" customWidth="1"/>
    <col min="15366" max="15366" width="8.5546875" style="297" customWidth="1"/>
    <col min="15367" max="15367" width="10.33203125" style="297" customWidth="1"/>
    <col min="15368" max="15368" width="9" style="297" customWidth="1"/>
    <col min="15369" max="15369" width="12.5546875" style="297" customWidth="1"/>
    <col min="15370" max="15370" width="13.109375" style="297" customWidth="1"/>
    <col min="15371" max="15616" width="8.88671875" style="297"/>
    <col min="15617" max="15617" width="3.77734375" style="297" customWidth="1"/>
    <col min="15618" max="15618" width="4.5546875" style="297" customWidth="1"/>
    <col min="15619" max="15619" width="9" style="297" customWidth="1"/>
    <col min="15620" max="15620" width="12.33203125" style="297" customWidth="1"/>
    <col min="15621" max="15621" width="6.33203125" style="297" customWidth="1"/>
    <col min="15622" max="15622" width="8.5546875" style="297" customWidth="1"/>
    <col min="15623" max="15623" width="10.33203125" style="297" customWidth="1"/>
    <col min="15624" max="15624" width="9" style="297" customWidth="1"/>
    <col min="15625" max="15625" width="12.5546875" style="297" customWidth="1"/>
    <col min="15626" max="15626" width="13.109375" style="297" customWidth="1"/>
    <col min="15627" max="15872" width="8.88671875" style="297"/>
    <col min="15873" max="15873" width="3.77734375" style="297" customWidth="1"/>
    <col min="15874" max="15874" width="4.5546875" style="297" customWidth="1"/>
    <col min="15875" max="15875" width="9" style="297" customWidth="1"/>
    <col min="15876" max="15876" width="12.33203125" style="297" customWidth="1"/>
    <col min="15877" max="15877" width="6.33203125" style="297" customWidth="1"/>
    <col min="15878" max="15878" width="8.5546875" style="297" customWidth="1"/>
    <col min="15879" max="15879" width="10.33203125" style="297" customWidth="1"/>
    <col min="15880" max="15880" width="9" style="297" customWidth="1"/>
    <col min="15881" max="15881" width="12.5546875" style="297" customWidth="1"/>
    <col min="15882" max="15882" width="13.109375" style="297" customWidth="1"/>
    <col min="15883" max="16128" width="8.88671875" style="297"/>
    <col min="16129" max="16129" width="3.77734375" style="297" customWidth="1"/>
    <col min="16130" max="16130" width="4.5546875" style="297" customWidth="1"/>
    <col min="16131" max="16131" width="9" style="297" customWidth="1"/>
    <col min="16132" max="16132" width="12.33203125" style="297" customWidth="1"/>
    <col min="16133" max="16133" width="6.33203125" style="297" customWidth="1"/>
    <col min="16134" max="16134" width="8.5546875" style="297" customWidth="1"/>
    <col min="16135" max="16135" width="10.33203125" style="297" customWidth="1"/>
    <col min="16136" max="16136" width="9" style="297" customWidth="1"/>
    <col min="16137" max="16137" width="12.5546875" style="297" customWidth="1"/>
    <col min="16138" max="16138" width="13.109375" style="297" customWidth="1"/>
    <col min="16139" max="16384" width="8.88671875" style="297"/>
  </cols>
  <sheetData>
    <row r="1" spans="1:9" s="459" customFormat="1" ht="50.1" customHeight="1">
      <c r="A1" s="1573" t="s">
        <v>96</v>
      </c>
      <c r="B1" s="1573"/>
      <c r="C1" s="1573"/>
      <c r="D1" s="1573"/>
      <c r="E1" s="1573"/>
      <c r="F1" s="1573"/>
      <c r="G1" s="1573"/>
      <c r="H1" s="1573"/>
      <c r="I1" s="1573"/>
    </row>
    <row r="2" spans="1:9" ht="20.100000000000001" customHeight="1">
      <c r="A2" s="295"/>
      <c r="B2" s="295"/>
      <c r="C2" s="295"/>
      <c r="D2" s="295"/>
      <c r="E2" s="295"/>
      <c r="F2" s="295"/>
      <c r="G2" s="295"/>
      <c r="H2" s="295"/>
      <c r="I2" s="296"/>
    </row>
    <row r="3" spans="1:9" ht="35.1" customHeight="1">
      <c r="A3" s="1574" t="s">
        <v>543</v>
      </c>
      <c r="B3" s="1575"/>
      <c r="C3" s="1575"/>
      <c r="D3" s="473" t="s">
        <v>97</v>
      </c>
      <c r="E3" s="473" t="s">
        <v>98</v>
      </c>
      <c r="F3" s="473" t="s">
        <v>233</v>
      </c>
      <c r="G3" s="473" t="s">
        <v>99</v>
      </c>
      <c r="H3" s="473" t="s">
        <v>100</v>
      </c>
      <c r="I3" s="298" t="s">
        <v>22</v>
      </c>
    </row>
    <row r="4" spans="1:9" ht="35.1" customHeight="1">
      <c r="A4" s="1576" t="s">
        <v>101</v>
      </c>
      <c r="B4" s="1568" t="s">
        <v>102</v>
      </c>
      <c r="C4" s="1568"/>
      <c r="D4" s="435" t="s">
        <v>544</v>
      </c>
      <c r="E4" s="435" t="s">
        <v>15</v>
      </c>
      <c r="F4" s="435"/>
      <c r="G4" s="299">
        <f>'특2호맨홀단위수량(차도측)'!E4</f>
        <v>0.52100000000000002</v>
      </c>
      <c r="H4" s="299">
        <f>G4</f>
        <v>0.52100000000000002</v>
      </c>
      <c r="I4" s="300"/>
    </row>
    <row r="5" spans="1:9" ht="35.1" customHeight="1">
      <c r="A5" s="1564"/>
      <c r="B5" s="1549" t="s">
        <v>103</v>
      </c>
      <c r="C5" s="1549" t="s">
        <v>2</v>
      </c>
      <c r="D5" s="1551" t="s">
        <v>544</v>
      </c>
      <c r="E5" s="1549" t="s">
        <v>15</v>
      </c>
      <c r="F5" s="1546" t="e">
        <f>#REF!</f>
        <v>#REF!</v>
      </c>
      <c r="G5" s="301">
        <f>'특2호맨홀단위수량(차도측)'!E5</f>
        <v>1.45</v>
      </c>
      <c r="H5" s="1562" t="e">
        <f>G6</f>
        <v>#REF!</v>
      </c>
      <c r="I5" s="1552"/>
    </row>
    <row r="6" spans="1:9" ht="35.1" customHeight="1">
      <c r="A6" s="1564"/>
      <c r="B6" s="1549"/>
      <c r="C6" s="1549"/>
      <c r="D6" s="1551"/>
      <c r="E6" s="1549"/>
      <c r="F6" s="1549"/>
      <c r="G6" s="302" t="e">
        <f>ROUND(F5*G5,3)</f>
        <v>#REF!</v>
      </c>
      <c r="H6" s="1562"/>
      <c r="I6" s="1552"/>
    </row>
    <row r="7" spans="1:9" ht="35.1" customHeight="1">
      <c r="A7" s="1564"/>
      <c r="B7" s="1549"/>
      <c r="C7" s="469" t="s">
        <v>3</v>
      </c>
      <c r="D7" s="474" t="s">
        <v>544</v>
      </c>
      <c r="E7" s="469" t="s">
        <v>15</v>
      </c>
      <c r="F7" s="469"/>
      <c r="G7" s="470">
        <f>'특2호맨홀단위수량(차도측)'!E6</f>
        <v>1.2</v>
      </c>
      <c r="H7" s="470">
        <f>ROUND(G7,3)</f>
        <v>1.2</v>
      </c>
      <c r="I7" s="471"/>
    </row>
    <row r="8" spans="1:9" ht="35.1" customHeight="1">
      <c r="A8" s="1564"/>
      <c r="B8" s="1549" t="s">
        <v>104</v>
      </c>
      <c r="C8" s="1549"/>
      <c r="D8" s="469"/>
      <c r="E8" s="469"/>
      <c r="F8" s="469"/>
      <c r="G8" s="470"/>
      <c r="H8" s="470" t="e">
        <f>SUM(H5:H7)</f>
        <v>#REF!</v>
      </c>
      <c r="I8" s="475"/>
    </row>
    <row r="9" spans="1:9" ht="35.1" customHeight="1">
      <c r="A9" s="1564"/>
      <c r="B9" s="1549" t="s">
        <v>545</v>
      </c>
      <c r="C9" s="1549"/>
      <c r="D9" s="469" t="s">
        <v>469</v>
      </c>
      <c r="E9" s="469" t="s">
        <v>15</v>
      </c>
      <c r="F9" s="469"/>
      <c r="G9" s="470">
        <f>'특2호맨홀단위수량(차도측)'!E7</f>
        <v>0.48399999999999999</v>
      </c>
      <c r="H9" s="470">
        <f t="shared" ref="H9:H14" si="0">G9</f>
        <v>0.48399999999999999</v>
      </c>
      <c r="I9" s="475"/>
    </row>
    <row r="10" spans="1:9" ht="35.1" customHeight="1">
      <c r="A10" s="303" t="s">
        <v>546</v>
      </c>
      <c r="B10" s="1551" t="s">
        <v>547</v>
      </c>
      <c r="C10" s="1549"/>
      <c r="D10" s="474" t="s">
        <v>289</v>
      </c>
      <c r="E10" s="469" t="s">
        <v>15</v>
      </c>
      <c r="F10" s="469"/>
      <c r="G10" s="470">
        <f>'특2호맨홀단위수량(차도측)'!E8</f>
        <v>9.1999999999999998E-2</v>
      </c>
      <c r="H10" s="470">
        <f t="shared" si="0"/>
        <v>9.1999999999999998E-2</v>
      </c>
      <c r="I10" s="471"/>
    </row>
    <row r="11" spans="1:9" ht="35.1" customHeight="1">
      <c r="A11" s="1548" t="s">
        <v>439</v>
      </c>
      <c r="B11" s="1549"/>
      <c r="C11" s="1549"/>
      <c r="D11" s="476" t="s">
        <v>549</v>
      </c>
      <c r="E11" s="469" t="s">
        <v>15</v>
      </c>
      <c r="F11" s="469"/>
      <c r="G11" s="477">
        <f>'특2호맨홀단위수량(차도측)'!E9</f>
        <v>5.0000000000000001E-3</v>
      </c>
      <c r="H11" s="477">
        <f t="shared" si="0"/>
        <v>5.0000000000000001E-3</v>
      </c>
      <c r="I11" s="471"/>
    </row>
    <row r="12" spans="1:9" ht="35.1" customHeight="1">
      <c r="A12" s="1563" t="s">
        <v>120</v>
      </c>
      <c r="B12" s="1566" t="s">
        <v>121</v>
      </c>
      <c r="C12" s="469" t="s">
        <v>122</v>
      </c>
      <c r="D12" s="469" t="s">
        <v>106</v>
      </c>
      <c r="E12" s="469" t="s">
        <v>19</v>
      </c>
      <c r="F12" s="469"/>
      <c r="G12" s="470">
        <f>'특2호맨홀단위수량(차도측)'!E10</f>
        <v>1.157</v>
      </c>
      <c r="H12" s="470">
        <f>G12</f>
        <v>1.157</v>
      </c>
      <c r="I12" s="471" t="s">
        <v>107</v>
      </c>
    </row>
    <row r="13" spans="1:9" ht="35.1" customHeight="1">
      <c r="A13" s="1564"/>
      <c r="B13" s="1567"/>
      <c r="C13" s="469" t="s">
        <v>122</v>
      </c>
      <c r="D13" s="469" t="s">
        <v>106</v>
      </c>
      <c r="E13" s="469" t="s">
        <v>19</v>
      </c>
      <c r="F13" s="469"/>
      <c r="G13" s="470">
        <f>'특2호맨홀단위수량(차도측)'!E11</f>
        <v>1.36</v>
      </c>
      <c r="H13" s="470">
        <f t="shared" si="0"/>
        <v>1.36</v>
      </c>
      <c r="I13" s="471" t="s">
        <v>124</v>
      </c>
    </row>
    <row r="14" spans="1:9" ht="35.1" customHeight="1">
      <c r="A14" s="1564"/>
      <c r="B14" s="1567"/>
      <c r="C14" s="469" t="s">
        <v>125</v>
      </c>
      <c r="D14" s="469" t="s">
        <v>106</v>
      </c>
      <c r="E14" s="469" t="s">
        <v>19</v>
      </c>
      <c r="F14" s="469"/>
      <c r="G14" s="470">
        <f>'특2호맨홀단위수량(차도측)'!E12</f>
        <v>2.4</v>
      </c>
      <c r="H14" s="470">
        <f t="shared" si="0"/>
        <v>2.4</v>
      </c>
      <c r="I14" s="471"/>
    </row>
    <row r="15" spans="1:9" ht="35.1" customHeight="1">
      <c r="A15" s="1564"/>
      <c r="B15" s="1567"/>
      <c r="C15" s="1549" t="s">
        <v>108</v>
      </c>
      <c r="D15" s="1566" t="s">
        <v>106</v>
      </c>
      <c r="E15" s="1549" t="s">
        <v>19</v>
      </c>
      <c r="F15" s="1549" t="e">
        <f>F5</f>
        <v>#REF!</v>
      </c>
      <c r="G15" s="301">
        <f>'특2호맨홀단위수량(차도측)'!E13</f>
        <v>11.6</v>
      </c>
      <c r="H15" s="1562" t="e">
        <f>G16</f>
        <v>#REF!</v>
      </c>
      <c r="I15" s="1552"/>
    </row>
    <row r="16" spans="1:9" ht="35.1" customHeight="1">
      <c r="A16" s="1564"/>
      <c r="B16" s="1567"/>
      <c r="C16" s="1549"/>
      <c r="D16" s="1568"/>
      <c r="E16" s="1549"/>
      <c r="F16" s="1549"/>
      <c r="G16" s="302" t="e">
        <f>ROUND(F15*G15,3)</f>
        <v>#REF!</v>
      </c>
      <c r="H16" s="1562"/>
      <c r="I16" s="1552"/>
    </row>
    <row r="17" spans="1:9" ht="35.1" customHeight="1">
      <c r="A17" s="1564"/>
      <c r="B17" s="1568"/>
      <c r="C17" s="469" t="s">
        <v>110</v>
      </c>
      <c r="D17" s="469" t="s">
        <v>111</v>
      </c>
      <c r="E17" s="469"/>
      <c r="F17" s="469"/>
      <c r="G17" s="470"/>
      <c r="H17" s="470" t="e">
        <f>SUM(H12:H16)</f>
        <v>#REF!</v>
      </c>
      <c r="I17" s="471"/>
    </row>
    <row r="18" spans="1:9" ht="35.1" customHeight="1">
      <c r="A18" s="1564"/>
      <c r="B18" s="434" t="s">
        <v>121</v>
      </c>
      <c r="C18" s="469" t="s">
        <v>550</v>
      </c>
      <c r="D18" s="469" t="s">
        <v>551</v>
      </c>
      <c r="E18" s="469" t="s">
        <v>19</v>
      </c>
      <c r="F18" s="469"/>
      <c r="G18" s="470">
        <f>'특2호맨홀단위수량(차도측)'!E14</f>
        <v>0.88</v>
      </c>
      <c r="H18" s="470">
        <f>G18</f>
        <v>0.88</v>
      </c>
      <c r="I18" s="471"/>
    </row>
    <row r="19" spans="1:9" ht="35.1" customHeight="1">
      <c r="A19" s="1564"/>
      <c r="B19" s="1566" t="s">
        <v>552</v>
      </c>
      <c r="C19" s="469" t="s">
        <v>122</v>
      </c>
      <c r="D19" s="1571" t="s">
        <v>553</v>
      </c>
      <c r="E19" s="469" t="s">
        <v>19</v>
      </c>
      <c r="F19" s="469"/>
      <c r="G19" s="470">
        <f>'특2호맨홀단위수량(차도측)'!E15</f>
        <v>0.377</v>
      </c>
      <c r="H19" s="470">
        <f>G19</f>
        <v>0.377</v>
      </c>
      <c r="I19" s="471" t="s">
        <v>109</v>
      </c>
    </row>
    <row r="20" spans="1:9" ht="35.1" customHeight="1">
      <c r="A20" s="1564"/>
      <c r="B20" s="1569"/>
      <c r="C20" s="469" t="s">
        <v>14</v>
      </c>
      <c r="D20" s="1572"/>
      <c r="E20" s="469" t="s">
        <v>19</v>
      </c>
      <c r="F20" s="469"/>
      <c r="G20" s="470">
        <f>'특2호맨홀단위수량(차도측)'!E16</f>
        <v>0.503</v>
      </c>
      <c r="H20" s="470">
        <f>G20</f>
        <v>0.503</v>
      </c>
      <c r="I20" s="471"/>
    </row>
    <row r="21" spans="1:9" ht="35.1" customHeight="1">
      <c r="A21" s="1565"/>
      <c r="B21" s="1570"/>
      <c r="C21" s="433" t="s">
        <v>268</v>
      </c>
      <c r="D21" s="478"/>
      <c r="E21" s="433" t="s">
        <v>19</v>
      </c>
      <c r="F21" s="433"/>
      <c r="G21" s="479"/>
      <c r="H21" s="479">
        <f>SUM(H19:H20)</f>
        <v>0.88</v>
      </c>
      <c r="I21" s="310"/>
    </row>
    <row r="22" spans="1:9" ht="35.1" customHeight="1">
      <c r="A22" s="1557" t="s">
        <v>4</v>
      </c>
      <c r="B22" s="1558"/>
      <c r="C22" s="1558"/>
      <c r="D22" s="1558" t="s">
        <v>126</v>
      </c>
      <c r="E22" s="1558" t="s">
        <v>112</v>
      </c>
      <c r="F22" s="1559" t="e">
        <f>F5-0.6</f>
        <v>#REF!</v>
      </c>
      <c r="G22" s="468" t="e">
        <f>F22</f>
        <v>#REF!</v>
      </c>
      <c r="H22" s="1560" t="e">
        <f>ROUNDUP(G22/G23,0)</f>
        <v>#REF!</v>
      </c>
      <c r="I22" s="1553" t="s">
        <v>113</v>
      </c>
    </row>
    <row r="23" spans="1:9" ht="35.1" customHeight="1">
      <c r="A23" s="1548"/>
      <c r="B23" s="1549"/>
      <c r="C23" s="1549"/>
      <c r="D23" s="1549"/>
      <c r="E23" s="1549"/>
      <c r="F23" s="1546"/>
      <c r="G23" s="302">
        <v>0.3</v>
      </c>
      <c r="H23" s="1561"/>
      <c r="I23" s="1554"/>
    </row>
    <row r="24" spans="1:9" ht="35.1" customHeight="1">
      <c r="A24" s="1548" t="s">
        <v>114</v>
      </c>
      <c r="B24" s="1549"/>
      <c r="C24" s="1549"/>
      <c r="D24" s="1549" t="s">
        <v>115</v>
      </c>
      <c r="E24" s="1549" t="s">
        <v>116</v>
      </c>
      <c r="F24" s="1546" t="e">
        <f>F5</f>
        <v>#REF!</v>
      </c>
      <c r="G24" s="304">
        <f>'특2호맨홀단위수량(차도측)'!E18</f>
        <v>1.157</v>
      </c>
      <c r="H24" s="1547" t="e">
        <f>G25</f>
        <v>#REF!</v>
      </c>
      <c r="I24" s="1555"/>
    </row>
    <row r="25" spans="1:9" ht="35.1" customHeight="1">
      <c r="A25" s="1548"/>
      <c r="B25" s="1549"/>
      <c r="C25" s="1549"/>
      <c r="D25" s="1549"/>
      <c r="E25" s="1549"/>
      <c r="F25" s="1549"/>
      <c r="G25" s="302" t="e">
        <f>ROUND(F24*G24,3)</f>
        <v>#REF!</v>
      </c>
      <c r="H25" s="1547"/>
      <c r="I25" s="1556"/>
    </row>
    <row r="26" spans="1:9" ht="35.1" customHeight="1">
      <c r="A26" s="1548" t="s">
        <v>554</v>
      </c>
      <c r="B26" s="1549"/>
      <c r="C26" s="1549"/>
      <c r="D26" s="1549" t="s">
        <v>117</v>
      </c>
      <c r="E26" s="1549" t="s">
        <v>19</v>
      </c>
      <c r="F26" s="1546" t="e">
        <f>F5</f>
        <v>#REF!</v>
      </c>
      <c r="G26" s="304">
        <f>'특2호맨홀단위수량(차도측)'!E19</f>
        <v>4.8</v>
      </c>
      <c r="H26" s="1547" t="e">
        <f>G27</f>
        <v>#REF!</v>
      </c>
      <c r="I26" s="1552"/>
    </row>
    <row r="27" spans="1:9" ht="35.1" customHeight="1">
      <c r="A27" s="1548"/>
      <c r="B27" s="1549"/>
      <c r="C27" s="1549"/>
      <c r="D27" s="1549"/>
      <c r="E27" s="1549"/>
      <c r="F27" s="1546"/>
      <c r="G27" s="397" t="e">
        <f>ROUND(F26*G26,3)</f>
        <v>#REF!</v>
      </c>
      <c r="H27" s="1547"/>
      <c r="I27" s="1552"/>
    </row>
    <row r="28" spans="1:9" ht="35.1" customHeight="1">
      <c r="A28" s="1548" t="s">
        <v>555</v>
      </c>
      <c r="B28" s="1549"/>
      <c r="C28" s="1549"/>
      <c r="D28" s="469" t="s">
        <v>235</v>
      </c>
      <c r="E28" s="469" t="s">
        <v>19</v>
      </c>
      <c r="F28" s="469"/>
      <c r="G28" s="470">
        <f>'특2호맨홀단위수량(차도측)'!E20</f>
        <v>6.6070000000000002</v>
      </c>
      <c r="H28" s="470">
        <f>G28</f>
        <v>6.6070000000000002</v>
      </c>
      <c r="I28" s="471"/>
    </row>
    <row r="29" spans="1:9" ht="35.1" customHeight="1">
      <c r="A29" s="1550" t="s">
        <v>556</v>
      </c>
      <c r="B29" s="1551"/>
      <c r="C29" s="1549" t="s">
        <v>102</v>
      </c>
      <c r="D29" s="469" t="s">
        <v>557</v>
      </c>
      <c r="E29" s="469" t="s">
        <v>118</v>
      </c>
      <c r="F29" s="469"/>
      <c r="G29" s="470">
        <f>'특2호맨홀단위수량(차도측)'!E21</f>
        <v>0.01</v>
      </c>
      <c r="H29" s="470">
        <f>G29</f>
        <v>0.01</v>
      </c>
      <c r="I29" s="471"/>
    </row>
    <row r="30" spans="1:9" ht="35.1" customHeight="1">
      <c r="A30" s="1550"/>
      <c r="B30" s="1551"/>
      <c r="C30" s="1549"/>
      <c r="D30" s="469" t="s">
        <v>558</v>
      </c>
      <c r="E30" s="469" t="s">
        <v>118</v>
      </c>
      <c r="F30" s="469"/>
      <c r="G30" s="470">
        <f>'특2호맨홀단위수량(차도측)'!E22</f>
        <v>4.5999999999999999E-2</v>
      </c>
      <c r="H30" s="470">
        <f>G30</f>
        <v>4.5999999999999999E-2</v>
      </c>
      <c r="I30" s="471" t="s">
        <v>559</v>
      </c>
    </row>
    <row r="31" spans="1:9" ht="35.1" customHeight="1">
      <c r="A31" s="1550"/>
      <c r="B31" s="1551"/>
      <c r="C31" s="469" t="s">
        <v>560</v>
      </c>
      <c r="D31" s="469" t="s">
        <v>558</v>
      </c>
      <c r="E31" s="469" t="s">
        <v>118</v>
      </c>
      <c r="F31" s="472">
        <v>1</v>
      </c>
      <c r="G31" s="470" t="e">
        <f>'특2호맨홀단위수량(차도측)'!E23</f>
        <v>#REF!</v>
      </c>
      <c r="H31" s="470" t="e">
        <f>ROUND(F31*G31,3)</f>
        <v>#REF!</v>
      </c>
      <c r="I31" s="305" t="e">
        <f>SUM(H30:H31)</f>
        <v>#REF!</v>
      </c>
    </row>
    <row r="32" spans="1:9" ht="35.1" customHeight="1">
      <c r="A32" s="1550"/>
      <c r="B32" s="1551"/>
      <c r="C32" s="469" t="s">
        <v>104</v>
      </c>
      <c r="D32" s="469"/>
      <c r="E32" s="469"/>
      <c r="F32" s="469"/>
      <c r="G32" s="470"/>
      <c r="H32" s="470" t="e">
        <f>SUM(H29:H31)</f>
        <v>#REF!</v>
      </c>
      <c r="I32" s="471"/>
    </row>
    <row r="33" spans="1:9" ht="35.1" customHeight="1">
      <c r="A33" s="1541" t="s">
        <v>561</v>
      </c>
      <c r="B33" s="1542"/>
      <c r="C33" s="1543"/>
      <c r="D33" s="306" t="s">
        <v>562</v>
      </c>
      <c r="E33" s="469" t="s">
        <v>119</v>
      </c>
      <c r="F33" s="434"/>
      <c r="G33" s="307">
        <f>'특2호맨홀단위수량(차도측)'!E24</f>
        <v>3</v>
      </c>
      <c r="H33" s="307">
        <f>G33</f>
        <v>3</v>
      </c>
      <c r="I33" s="308"/>
    </row>
    <row r="34" spans="1:9" ht="35.1" customHeight="1">
      <c r="A34" s="1544" t="s">
        <v>241</v>
      </c>
      <c r="B34" s="1545"/>
      <c r="C34" s="1545"/>
      <c r="D34" s="433" t="s">
        <v>413</v>
      </c>
      <c r="E34" s="433" t="s">
        <v>119</v>
      </c>
      <c r="F34" s="433"/>
      <c r="G34" s="309">
        <f>'특2호맨홀단위수량(차도측)'!E25</f>
        <v>1</v>
      </c>
      <c r="H34" s="309">
        <f>G34</f>
        <v>1</v>
      </c>
      <c r="I34" s="310"/>
    </row>
    <row r="35" spans="1:9" ht="21.75" customHeight="1">
      <c r="G35" s="311"/>
      <c r="H35" s="311"/>
    </row>
    <row r="36" spans="1:9" ht="21.75" customHeight="1">
      <c r="G36" s="311"/>
      <c r="H36" s="311"/>
    </row>
    <row r="37" spans="1:9" ht="21.75" customHeight="1">
      <c r="G37" s="311"/>
      <c r="H37" s="311"/>
    </row>
    <row r="38" spans="1:9" ht="21.75" customHeight="1">
      <c r="G38" s="311"/>
      <c r="H38" s="311"/>
    </row>
    <row r="39" spans="1:9" ht="21.75" customHeight="1">
      <c r="G39" s="311"/>
      <c r="H39" s="311"/>
    </row>
    <row r="40" spans="1:9" ht="21.75" customHeight="1">
      <c r="G40" s="311"/>
      <c r="H40" s="311"/>
    </row>
    <row r="41" spans="1:9" ht="21.75" customHeight="1">
      <c r="G41" s="311"/>
      <c r="H41" s="311"/>
    </row>
    <row r="42" spans="1:9" ht="21.75" customHeight="1">
      <c r="G42" s="311"/>
      <c r="H42" s="311"/>
    </row>
    <row r="43" spans="1:9" ht="21.75" customHeight="1">
      <c r="G43" s="311"/>
      <c r="H43" s="311"/>
    </row>
    <row r="44" spans="1:9" ht="21.75" customHeight="1">
      <c r="G44" s="311"/>
      <c r="H44" s="311"/>
    </row>
    <row r="45" spans="1:9" ht="21.75" customHeight="1">
      <c r="G45" s="311"/>
      <c r="H45" s="311"/>
    </row>
    <row r="46" spans="1:9" ht="21.75" customHeight="1">
      <c r="G46" s="311"/>
      <c r="H46" s="311"/>
    </row>
    <row r="47" spans="1:9" ht="21.75" customHeight="1">
      <c r="G47" s="311"/>
      <c r="H47" s="311"/>
    </row>
    <row r="48" spans="1:9" ht="21.75" customHeight="1">
      <c r="G48" s="311"/>
      <c r="H48" s="311"/>
    </row>
    <row r="49" spans="7:8" ht="21.75" customHeight="1">
      <c r="G49" s="311"/>
      <c r="H49" s="311"/>
    </row>
    <row r="50" spans="7:8" ht="21.75" customHeight="1">
      <c r="G50" s="311"/>
      <c r="H50" s="311"/>
    </row>
    <row r="51" spans="7:8" ht="21.75" customHeight="1">
      <c r="G51" s="311"/>
      <c r="H51" s="311"/>
    </row>
    <row r="52" spans="7:8" ht="21.75" customHeight="1">
      <c r="G52" s="311"/>
      <c r="H52" s="311"/>
    </row>
    <row r="53" spans="7:8" ht="21.75" customHeight="1">
      <c r="G53" s="311"/>
      <c r="H53" s="311"/>
    </row>
    <row r="54" spans="7:8" ht="21.75" customHeight="1">
      <c r="G54" s="311"/>
      <c r="H54" s="311"/>
    </row>
    <row r="55" spans="7:8" ht="21.75" customHeight="1">
      <c r="G55" s="311"/>
      <c r="H55" s="311"/>
    </row>
    <row r="56" spans="7:8" ht="21.75" customHeight="1">
      <c r="G56" s="311"/>
      <c r="H56" s="311"/>
    </row>
    <row r="57" spans="7:8" ht="21.75" customHeight="1">
      <c r="G57" s="311"/>
      <c r="H57" s="311"/>
    </row>
    <row r="58" spans="7:8" ht="21.75" customHeight="1">
      <c r="G58" s="311"/>
      <c r="H58" s="311"/>
    </row>
    <row r="59" spans="7:8" ht="21.75" customHeight="1">
      <c r="G59" s="311"/>
      <c r="H59" s="311"/>
    </row>
    <row r="60" spans="7:8" ht="21.75" customHeight="1">
      <c r="G60" s="311"/>
      <c r="H60" s="311"/>
    </row>
    <row r="61" spans="7:8" ht="21.75" customHeight="1">
      <c r="G61" s="311"/>
      <c r="H61" s="311"/>
    </row>
    <row r="62" spans="7:8" ht="21.75" customHeight="1">
      <c r="G62" s="311"/>
      <c r="H62" s="311"/>
    </row>
    <row r="63" spans="7:8" ht="21.75" customHeight="1">
      <c r="G63" s="311"/>
      <c r="H63" s="311"/>
    </row>
    <row r="64" spans="7:8" ht="21.75" customHeight="1">
      <c r="G64" s="311"/>
      <c r="H64" s="311"/>
    </row>
    <row r="65" spans="7:8" ht="21.75" customHeight="1">
      <c r="G65" s="311"/>
      <c r="H65" s="311"/>
    </row>
    <row r="66" spans="7:8" ht="21.75" customHeight="1">
      <c r="G66" s="311"/>
      <c r="H66" s="311"/>
    </row>
    <row r="67" spans="7:8" ht="21.75" customHeight="1">
      <c r="G67" s="311"/>
      <c r="H67" s="311"/>
    </row>
    <row r="68" spans="7:8" ht="21.75" customHeight="1">
      <c r="G68" s="311"/>
      <c r="H68" s="311"/>
    </row>
    <row r="69" spans="7:8" ht="21.75" customHeight="1">
      <c r="G69" s="311"/>
      <c r="H69" s="311"/>
    </row>
    <row r="70" spans="7:8" ht="21.75" customHeight="1">
      <c r="G70" s="311"/>
      <c r="H70" s="311"/>
    </row>
    <row r="71" spans="7:8" ht="21.75" customHeight="1">
      <c r="G71" s="311"/>
      <c r="H71" s="311"/>
    </row>
    <row r="72" spans="7:8" ht="21.75" customHeight="1">
      <c r="G72" s="311"/>
      <c r="H72" s="311"/>
    </row>
    <row r="73" spans="7:8" ht="21.75" customHeight="1">
      <c r="G73" s="311"/>
      <c r="H73" s="311"/>
    </row>
    <row r="74" spans="7:8" ht="21.75" customHeight="1">
      <c r="G74" s="311"/>
      <c r="H74" s="311"/>
    </row>
    <row r="75" spans="7:8" ht="21.75" customHeight="1">
      <c r="G75" s="311"/>
      <c r="H75" s="311"/>
    </row>
    <row r="76" spans="7:8" ht="21.75" customHeight="1">
      <c r="G76" s="311"/>
      <c r="H76" s="311"/>
    </row>
    <row r="77" spans="7:8" ht="21.75" customHeight="1">
      <c r="G77" s="311"/>
      <c r="H77" s="311"/>
    </row>
    <row r="78" spans="7:8" ht="21.75" customHeight="1">
      <c r="G78" s="311"/>
      <c r="H78" s="311"/>
    </row>
    <row r="79" spans="7:8" ht="21.75" customHeight="1">
      <c r="G79" s="311"/>
      <c r="H79" s="311"/>
    </row>
    <row r="80" spans="7:8" ht="21.75" customHeight="1">
      <c r="G80" s="311"/>
      <c r="H80" s="311"/>
    </row>
    <row r="81" spans="7:8" ht="21.75" customHeight="1">
      <c r="G81" s="311"/>
      <c r="H81" s="311"/>
    </row>
    <row r="82" spans="7:8" ht="21.75" customHeight="1">
      <c r="G82" s="311"/>
      <c r="H82" s="311"/>
    </row>
    <row r="83" spans="7:8" ht="21.75" customHeight="1">
      <c r="G83" s="311"/>
      <c r="H83" s="311"/>
    </row>
    <row r="84" spans="7:8" ht="21.75" customHeight="1">
      <c r="G84" s="311"/>
      <c r="H84" s="311"/>
    </row>
    <row r="85" spans="7:8" ht="21.75" customHeight="1">
      <c r="G85" s="311"/>
      <c r="H85" s="311"/>
    </row>
    <row r="86" spans="7:8" ht="21.75" customHeight="1">
      <c r="G86" s="311"/>
      <c r="H86" s="311"/>
    </row>
    <row r="87" spans="7:8" ht="21.75" customHeight="1">
      <c r="G87" s="311"/>
      <c r="H87" s="311"/>
    </row>
    <row r="88" spans="7:8" ht="21.75" customHeight="1">
      <c r="G88" s="311"/>
      <c r="H88" s="311"/>
    </row>
    <row r="89" spans="7:8" ht="21.75" customHeight="1">
      <c r="G89" s="311"/>
      <c r="H89" s="311"/>
    </row>
    <row r="90" spans="7:8" ht="21.75" customHeight="1">
      <c r="G90" s="311"/>
      <c r="H90" s="311"/>
    </row>
    <row r="91" spans="7:8" ht="21.75" customHeight="1">
      <c r="G91" s="311"/>
      <c r="H91" s="311"/>
    </row>
    <row r="92" spans="7:8" ht="21.75" customHeight="1">
      <c r="G92" s="311"/>
      <c r="H92" s="311"/>
    </row>
    <row r="93" spans="7:8" ht="21.75" customHeight="1">
      <c r="G93" s="311"/>
      <c r="H93" s="311"/>
    </row>
    <row r="94" spans="7:8" ht="21.75" customHeight="1">
      <c r="G94" s="311"/>
      <c r="H94" s="311"/>
    </row>
    <row r="95" spans="7:8" ht="21.75" customHeight="1">
      <c r="G95" s="311"/>
      <c r="H95" s="311"/>
    </row>
    <row r="96" spans="7:8" ht="21.75" customHeight="1">
      <c r="G96" s="311"/>
      <c r="H96" s="311"/>
    </row>
    <row r="97" spans="7:8" ht="21.75" customHeight="1">
      <c r="G97" s="311"/>
      <c r="H97" s="311"/>
    </row>
    <row r="98" spans="7:8" ht="21.75" customHeight="1">
      <c r="G98" s="311"/>
      <c r="H98" s="311"/>
    </row>
    <row r="99" spans="7:8" ht="21.75" customHeight="1">
      <c r="G99" s="311"/>
      <c r="H99" s="311"/>
    </row>
    <row r="100" spans="7:8" ht="21.75" customHeight="1">
      <c r="G100" s="311"/>
      <c r="H100" s="311"/>
    </row>
    <row r="101" spans="7:8" ht="21.75" customHeight="1">
      <c r="G101" s="311"/>
      <c r="H101" s="311"/>
    </row>
    <row r="102" spans="7:8" ht="21.75" customHeight="1">
      <c r="G102" s="311"/>
      <c r="H102" s="311"/>
    </row>
    <row r="103" spans="7:8" ht="21.75" customHeight="1">
      <c r="G103" s="311"/>
      <c r="H103" s="311"/>
    </row>
    <row r="104" spans="7:8" ht="21.75" customHeight="1">
      <c r="G104" s="311"/>
      <c r="H104" s="311"/>
    </row>
    <row r="105" spans="7:8" ht="21.75" customHeight="1">
      <c r="G105" s="311"/>
      <c r="H105" s="311"/>
    </row>
    <row r="106" spans="7:8" ht="21.75" customHeight="1">
      <c r="G106" s="311"/>
      <c r="H106" s="311"/>
    </row>
    <row r="107" spans="7:8" ht="21.75" customHeight="1">
      <c r="G107" s="311"/>
      <c r="H107" s="311"/>
    </row>
    <row r="108" spans="7:8" ht="21.75" customHeight="1">
      <c r="G108" s="311"/>
      <c r="H108" s="311"/>
    </row>
    <row r="109" spans="7:8" ht="21.75" customHeight="1">
      <c r="G109" s="311"/>
      <c r="H109" s="311"/>
    </row>
    <row r="110" spans="7:8" ht="21.75" customHeight="1">
      <c r="G110" s="311"/>
      <c r="H110" s="311"/>
    </row>
    <row r="111" spans="7:8" ht="21.75" customHeight="1">
      <c r="G111" s="311"/>
      <c r="H111" s="311"/>
    </row>
    <row r="112" spans="7:8" ht="21.75" customHeight="1">
      <c r="G112" s="311"/>
      <c r="H112" s="311"/>
    </row>
    <row r="113" spans="7:8" ht="21.75" customHeight="1">
      <c r="G113" s="311"/>
      <c r="H113" s="311"/>
    </row>
    <row r="114" spans="7:8" ht="21.75" customHeight="1">
      <c r="G114" s="311"/>
      <c r="H114" s="311"/>
    </row>
    <row r="115" spans="7:8" ht="21.75" customHeight="1">
      <c r="G115" s="311"/>
      <c r="H115" s="311"/>
    </row>
    <row r="116" spans="7:8" ht="21.75" customHeight="1">
      <c r="G116" s="311"/>
      <c r="H116" s="311"/>
    </row>
    <row r="117" spans="7:8" ht="21.75" customHeight="1">
      <c r="G117" s="311"/>
      <c r="H117" s="311"/>
    </row>
    <row r="118" spans="7:8" ht="21.75" customHeight="1">
      <c r="G118" s="311"/>
      <c r="H118" s="311"/>
    </row>
    <row r="119" spans="7:8" ht="21.75" customHeight="1">
      <c r="G119" s="311"/>
      <c r="H119" s="311"/>
    </row>
    <row r="120" spans="7:8" ht="21.75" customHeight="1">
      <c r="G120" s="311"/>
      <c r="H120" s="311"/>
    </row>
    <row r="121" spans="7:8" ht="21.75" customHeight="1">
      <c r="G121" s="311"/>
      <c r="H121" s="311"/>
    </row>
    <row r="122" spans="7:8" ht="21.75" customHeight="1">
      <c r="G122" s="311"/>
      <c r="H122" s="311"/>
    </row>
    <row r="123" spans="7:8" ht="21.75" customHeight="1">
      <c r="G123" s="311"/>
      <c r="H123" s="311"/>
    </row>
    <row r="124" spans="7:8" ht="21.75" customHeight="1">
      <c r="G124" s="311"/>
      <c r="H124" s="311"/>
    </row>
    <row r="125" spans="7:8" ht="21.75" customHeight="1">
      <c r="G125" s="311"/>
      <c r="H125" s="311"/>
    </row>
    <row r="126" spans="7:8" ht="21.75" customHeight="1">
      <c r="G126" s="311"/>
      <c r="H126" s="311"/>
    </row>
    <row r="127" spans="7:8" ht="21.75" customHeight="1">
      <c r="G127" s="311"/>
      <c r="H127" s="311"/>
    </row>
    <row r="128" spans="7:8" ht="21.75" customHeight="1">
      <c r="G128" s="311"/>
      <c r="H128" s="311"/>
    </row>
    <row r="129" spans="7:8" ht="21.75" customHeight="1">
      <c r="G129" s="311"/>
      <c r="H129" s="311"/>
    </row>
    <row r="130" spans="7:8" ht="21.75" customHeight="1">
      <c r="G130" s="311"/>
      <c r="H130" s="311"/>
    </row>
    <row r="131" spans="7:8" ht="21.75" customHeight="1">
      <c r="G131" s="311"/>
      <c r="H131" s="311"/>
    </row>
    <row r="132" spans="7:8" ht="21.75" customHeight="1">
      <c r="G132" s="311"/>
      <c r="H132" s="311"/>
    </row>
    <row r="133" spans="7:8" ht="21.75" customHeight="1">
      <c r="G133" s="311"/>
      <c r="H133" s="311"/>
    </row>
    <row r="134" spans="7:8" ht="21.75" customHeight="1">
      <c r="G134" s="311"/>
      <c r="H134" s="311"/>
    </row>
    <row r="135" spans="7:8" ht="21.75" customHeight="1">
      <c r="G135" s="311"/>
      <c r="H135" s="311"/>
    </row>
    <row r="136" spans="7:8" ht="21.75" customHeight="1">
      <c r="G136" s="311"/>
      <c r="H136" s="311"/>
    </row>
    <row r="137" spans="7:8" ht="21.75" customHeight="1">
      <c r="G137" s="311"/>
      <c r="H137" s="311"/>
    </row>
    <row r="138" spans="7:8" ht="21.75" customHeight="1">
      <c r="G138" s="311"/>
      <c r="H138" s="311"/>
    </row>
    <row r="139" spans="7:8" ht="21.75" customHeight="1">
      <c r="G139" s="311"/>
      <c r="H139" s="311"/>
    </row>
    <row r="140" spans="7:8" ht="21.75" customHeight="1">
      <c r="G140" s="311"/>
      <c r="H140" s="311"/>
    </row>
    <row r="141" spans="7:8" ht="21.75" customHeight="1">
      <c r="G141" s="311"/>
      <c r="H141" s="311"/>
    </row>
    <row r="142" spans="7:8" ht="21.75" customHeight="1">
      <c r="G142" s="311"/>
      <c r="H142" s="311"/>
    </row>
    <row r="143" spans="7:8" ht="21.75" customHeight="1">
      <c r="G143" s="311"/>
      <c r="H143" s="311"/>
    </row>
    <row r="144" spans="7:8" ht="21.75" customHeight="1">
      <c r="G144" s="311"/>
      <c r="H144" s="311"/>
    </row>
    <row r="145" spans="7:8" ht="21.75" customHeight="1">
      <c r="G145" s="311"/>
      <c r="H145" s="311"/>
    </row>
    <row r="146" spans="7:8" ht="21.75" customHeight="1">
      <c r="G146" s="311"/>
      <c r="H146" s="311"/>
    </row>
    <row r="147" spans="7:8" ht="21.75" customHeight="1">
      <c r="G147" s="311"/>
      <c r="H147" s="311"/>
    </row>
    <row r="148" spans="7:8" ht="21.75" customHeight="1">
      <c r="G148" s="311"/>
      <c r="H148" s="311"/>
    </row>
    <row r="149" spans="7:8" ht="21.75" customHeight="1">
      <c r="G149" s="311"/>
      <c r="H149" s="311"/>
    </row>
    <row r="150" spans="7:8" ht="21.75" customHeight="1">
      <c r="G150" s="311"/>
      <c r="H150" s="311"/>
    </row>
    <row r="151" spans="7:8" ht="21.75" customHeight="1">
      <c r="G151" s="311"/>
      <c r="H151" s="311"/>
    </row>
    <row r="152" spans="7:8" ht="21.75" customHeight="1">
      <c r="G152" s="311"/>
      <c r="H152" s="311"/>
    </row>
    <row r="153" spans="7:8" ht="21.75" customHeight="1">
      <c r="G153" s="311"/>
      <c r="H153" s="311"/>
    </row>
    <row r="154" spans="7:8" ht="21.75" customHeight="1">
      <c r="G154" s="311"/>
      <c r="H154" s="311"/>
    </row>
    <row r="155" spans="7:8" ht="21.75" customHeight="1">
      <c r="G155" s="311"/>
      <c r="H155" s="311"/>
    </row>
    <row r="156" spans="7:8" ht="21.75" customHeight="1">
      <c r="G156" s="311"/>
      <c r="H156" s="311"/>
    </row>
    <row r="157" spans="7:8" ht="21.75" customHeight="1">
      <c r="G157" s="311"/>
      <c r="H157" s="311"/>
    </row>
    <row r="158" spans="7:8" ht="21.75" customHeight="1">
      <c r="G158" s="311"/>
      <c r="H158" s="311"/>
    </row>
    <row r="159" spans="7:8" ht="21.75" customHeight="1">
      <c r="G159" s="311"/>
      <c r="H159" s="311"/>
    </row>
    <row r="160" spans="7:8" ht="21.75" customHeight="1">
      <c r="G160" s="311"/>
      <c r="H160" s="311"/>
    </row>
    <row r="161" spans="7:8" ht="21.75" customHeight="1">
      <c r="G161" s="311"/>
      <c r="H161" s="311"/>
    </row>
    <row r="162" spans="7:8" ht="21.75" customHeight="1">
      <c r="G162" s="311"/>
      <c r="H162" s="311"/>
    </row>
    <row r="163" spans="7:8" ht="21.75" customHeight="1">
      <c r="G163" s="311"/>
      <c r="H163" s="311"/>
    </row>
    <row r="164" spans="7:8" ht="21.75" customHeight="1">
      <c r="G164" s="311"/>
      <c r="H164" s="311"/>
    </row>
    <row r="165" spans="7:8" ht="21.75" customHeight="1">
      <c r="G165" s="311"/>
      <c r="H165" s="311"/>
    </row>
  </sheetData>
  <mergeCells count="48">
    <mergeCell ref="A1:I1"/>
    <mergeCell ref="A3:C3"/>
    <mergeCell ref="A4:A9"/>
    <mergeCell ref="B4:C4"/>
    <mergeCell ref="B5:B7"/>
    <mergeCell ref="C5:C6"/>
    <mergeCell ref="D5:D6"/>
    <mergeCell ref="E5:E6"/>
    <mergeCell ref="F5:F6"/>
    <mergeCell ref="H5:H6"/>
    <mergeCell ref="I5:I6"/>
    <mergeCell ref="B8:C8"/>
    <mergeCell ref="B9:C9"/>
    <mergeCell ref="B10:C10"/>
    <mergeCell ref="A11:C11"/>
    <mergeCell ref="F15:F16"/>
    <mergeCell ref="H15:H16"/>
    <mergeCell ref="I15:I16"/>
    <mergeCell ref="A12:A21"/>
    <mergeCell ref="B12:B17"/>
    <mergeCell ref="C15:C16"/>
    <mergeCell ref="D15:D16"/>
    <mergeCell ref="E15:E16"/>
    <mergeCell ref="B19:B21"/>
    <mergeCell ref="D19:D20"/>
    <mergeCell ref="I26:I27"/>
    <mergeCell ref="I22:I23"/>
    <mergeCell ref="A24:C25"/>
    <mergeCell ref="D24:D25"/>
    <mergeCell ref="E24:E25"/>
    <mergeCell ref="F24:F25"/>
    <mergeCell ref="H24:H25"/>
    <mergeCell ref="I24:I25"/>
    <mergeCell ref="A22:C23"/>
    <mergeCell ref="D22:D23"/>
    <mergeCell ref="E22:E23"/>
    <mergeCell ref="F22:F23"/>
    <mergeCell ref="H22:H23"/>
    <mergeCell ref="A26:C27"/>
    <mergeCell ref="D26:D27"/>
    <mergeCell ref="E26:E27"/>
    <mergeCell ref="A33:C33"/>
    <mergeCell ref="A34:C34"/>
    <mergeCell ref="F26:F27"/>
    <mergeCell ref="H26:H27"/>
    <mergeCell ref="A28:C28"/>
    <mergeCell ref="A29:B32"/>
    <mergeCell ref="C29:C30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scale="98" orientation="portrait" r:id="rId1"/>
  <headerFooter alignWithMargins="0"/>
  <rowBreaks count="1" manualBreakCount="1">
    <brk id="21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0000"/>
  </sheetPr>
  <dimension ref="A1:O25"/>
  <sheetViews>
    <sheetView workbookViewId="0">
      <selection sqref="A1:I1"/>
    </sheetView>
  </sheetViews>
  <sheetFormatPr defaultRowHeight="21.75" customHeight="1"/>
  <cols>
    <col min="1" max="1" width="4" style="369" customWidth="1"/>
    <col min="2" max="2" width="4.77734375" style="369" customWidth="1"/>
    <col min="3" max="3" width="9.88671875" style="369" customWidth="1"/>
    <col min="4" max="4" width="33.44140625" style="369" customWidth="1"/>
    <col min="5" max="5" width="7.77734375" style="369" customWidth="1"/>
    <col min="6" max="6" width="4.88671875" style="369" customWidth="1"/>
    <col min="7" max="7" width="3" style="369" customWidth="1"/>
    <col min="8" max="8" width="5.77734375" style="369" customWidth="1"/>
    <col min="9" max="9" width="4.109375" style="369" customWidth="1"/>
    <col min="10" max="256" width="8.88671875" style="369"/>
    <col min="257" max="257" width="4" style="369" customWidth="1"/>
    <col min="258" max="258" width="4.77734375" style="369" customWidth="1"/>
    <col min="259" max="259" width="9.88671875" style="369" customWidth="1"/>
    <col min="260" max="260" width="33.44140625" style="369" customWidth="1"/>
    <col min="261" max="261" width="7.77734375" style="369" customWidth="1"/>
    <col min="262" max="262" width="4.88671875" style="369" customWidth="1"/>
    <col min="263" max="263" width="3" style="369" customWidth="1"/>
    <col min="264" max="264" width="5.77734375" style="369" customWidth="1"/>
    <col min="265" max="265" width="4.109375" style="369" customWidth="1"/>
    <col min="266" max="512" width="8.88671875" style="369"/>
    <col min="513" max="513" width="4" style="369" customWidth="1"/>
    <col min="514" max="514" width="4.77734375" style="369" customWidth="1"/>
    <col min="515" max="515" width="9.88671875" style="369" customWidth="1"/>
    <col min="516" max="516" width="33.44140625" style="369" customWidth="1"/>
    <col min="517" max="517" width="7.77734375" style="369" customWidth="1"/>
    <col min="518" max="518" width="4.88671875" style="369" customWidth="1"/>
    <col min="519" max="519" width="3" style="369" customWidth="1"/>
    <col min="520" max="520" width="5.77734375" style="369" customWidth="1"/>
    <col min="521" max="521" width="4.109375" style="369" customWidth="1"/>
    <col min="522" max="768" width="8.88671875" style="369"/>
    <col min="769" max="769" width="4" style="369" customWidth="1"/>
    <col min="770" max="770" width="4.77734375" style="369" customWidth="1"/>
    <col min="771" max="771" width="9.88671875" style="369" customWidth="1"/>
    <col min="772" max="772" width="33.44140625" style="369" customWidth="1"/>
    <col min="773" max="773" width="7.77734375" style="369" customWidth="1"/>
    <col min="774" max="774" width="4.88671875" style="369" customWidth="1"/>
    <col min="775" max="775" width="3" style="369" customWidth="1"/>
    <col min="776" max="776" width="5.77734375" style="369" customWidth="1"/>
    <col min="777" max="777" width="4.109375" style="369" customWidth="1"/>
    <col min="778" max="1024" width="8.88671875" style="369"/>
    <col min="1025" max="1025" width="4" style="369" customWidth="1"/>
    <col min="1026" max="1026" width="4.77734375" style="369" customWidth="1"/>
    <col min="1027" max="1027" width="9.88671875" style="369" customWidth="1"/>
    <col min="1028" max="1028" width="33.44140625" style="369" customWidth="1"/>
    <col min="1029" max="1029" width="7.77734375" style="369" customWidth="1"/>
    <col min="1030" max="1030" width="4.88671875" style="369" customWidth="1"/>
    <col min="1031" max="1031" width="3" style="369" customWidth="1"/>
    <col min="1032" max="1032" width="5.77734375" style="369" customWidth="1"/>
    <col min="1033" max="1033" width="4.109375" style="369" customWidth="1"/>
    <col min="1034" max="1280" width="8.88671875" style="369"/>
    <col min="1281" max="1281" width="4" style="369" customWidth="1"/>
    <col min="1282" max="1282" width="4.77734375" style="369" customWidth="1"/>
    <col min="1283" max="1283" width="9.88671875" style="369" customWidth="1"/>
    <col min="1284" max="1284" width="33.44140625" style="369" customWidth="1"/>
    <col min="1285" max="1285" width="7.77734375" style="369" customWidth="1"/>
    <col min="1286" max="1286" width="4.88671875" style="369" customWidth="1"/>
    <col min="1287" max="1287" width="3" style="369" customWidth="1"/>
    <col min="1288" max="1288" width="5.77734375" style="369" customWidth="1"/>
    <col min="1289" max="1289" width="4.109375" style="369" customWidth="1"/>
    <col min="1290" max="1536" width="8.88671875" style="369"/>
    <col min="1537" max="1537" width="4" style="369" customWidth="1"/>
    <col min="1538" max="1538" width="4.77734375" style="369" customWidth="1"/>
    <col min="1539" max="1539" width="9.88671875" style="369" customWidth="1"/>
    <col min="1540" max="1540" width="33.44140625" style="369" customWidth="1"/>
    <col min="1541" max="1541" width="7.77734375" style="369" customWidth="1"/>
    <col min="1542" max="1542" width="4.88671875" style="369" customWidth="1"/>
    <col min="1543" max="1543" width="3" style="369" customWidth="1"/>
    <col min="1544" max="1544" width="5.77734375" style="369" customWidth="1"/>
    <col min="1545" max="1545" width="4.109375" style="369" customWidth="1"/>
    <col min="1546" max="1792" width="8.88671875" style="369"/>
    <col min="1793" max="1793" width="4" style="369" customWidth="1"/>
    <col min="1794" max="1794" width="4.77734375" style="369" customWidth="1"/>
    <col min="1795" max="1795" width="9.88671875" style="369" customWidth="1"/>
    <col min="1796" max="1796" width="33.44140625" style="369" customWidth="1"/>
    <col min="1797" max="1797" width="7.77734375" style="369" customWidth="1"/>
    <col min="1798" max="1798" width="4.88671875" style="369" customWidth="1"/>
    <col min="1799" max="1799" width="3" style="369" customWidth="1"/>
    <col min="1800" max="1800" width="5.77734375" style="369" customWidth="1"/>
    <col min="1801" max="1801" width="4.109375" style="369" customWidth="1"/>
    <col min="1802" max="2048" width="8.88671875" style="369"/>
    <col min="2049" max="2049" width="4" style="369" customWidth="1"/>
    <col min="2050" max="2050" width="4.77734375" style="369" customWidth="1"/>
    <col min="2051" max="2051" width="9.88671875" style="369" customWidth="1"/>
    <col min="2052" max="2052" width="33.44140625" style="369" customWidth="1"/>
    <col min="2053" max="2053" width="7.77734375" style="369" customWidth="1"/>
    <col min="2054" max="2054" width="4.88671875" style="369" customWidth="1"/>
    <col min="2055" max="2055" width="3" style="369" customWidth="1"/>
    <col min="2056" max="2056" width="5.77734375" style="369" customWidth="1"/>
    <col min="2057" max="2057" width="4.109375" style="369" customWidth="1"/>
    <col min="2058" max="2304" width="8.88671875" style="369"/>
    <col min="2305" max="2305" width="4" style="369" customWidth="1"/>
    <col min="2306" max="2306" width="4.77734375" style="369" customWidth="1"/>
    <col min="2307" max="2307" width="9.88671875" style="369" customWidth="1"/>
    <col min="2308" max="2308" width="33.44140625" style="369" customWidth="1"/>
    <col min="2309" max="2309" width="7.77734375" style="369" customWidth="1"/>
    <col min="2310" max="2310" width="4.88671875" style="369" customWidth="1"/>
    <col min="2311" max="2311" width="3" style="369" customWidth="1"/>
    <col min="2312" max="2312" width="5.77734375" style="369" customWidth="1"/>
    <col min="2313" max="2313" width="4.109375" style="369" customWidth="1"/>
    <col min="2314" max="2560" width="8.88671875" style="369"/>
    <col min="2561" max="2561" width="4" style="369" customWidth="1"/>
    <col min="2562" max="2562" width="4.77734375" style="369" customWidth="1"/>
    <col min="2563" max="2563" width="9.88671875" style="369" customWidth="1"/>
    <col min="2564" max="2564" width="33.44140625" style="369" customWidth="1"/>
    <col min="2565" max="2565" width="7.77734375" style="369" customWidth="1"/>
    <col min="2566" max="2566" width="4.88671875" style="369" customWidth="1"/>
    <col min="2567" max="2567" width="3" style="369" customWidth="1"/>
    <col min="2568" max="2568" width="5.77734375" style="369" customWidth="1"/>
    <col min="2569" max="2569" width="4.109375" style="369" customWidth="1"/>
    <col min="2570" max="2816" width="8.88671875" style="369"/>
    <col min="2817" max="2817" width="4" style="369" customWidth="1"/>
    <col min="2818" max="2818" width="4.77734375" style="369" customWidth="1"/>
    <col min="2819" max="2819" width="9.88671875" style="369" customWidth="1"/>
    <col min="2820" max="2820" width="33.44140625" style="369" customWidth="1"/>
    <col min="2821" max="2821" width="7.77734375" style="369" customWidth="1"/>
    <col min="2822" max="2822" width="4.88671875" style="369" customWidth="1"/>
    <col min="2823" max="2823" width="3" style="369" customWidth="1"/>
    <col min="2824" max="2824" width="5.77734375" style="369" customWidth="1"/>
    <col min="2825" max="2825" width="4.109375" style="369" customWidth="1"/>
    <col min="2826" max="3072" width="8.88671875" style="369"/>
    <col min="3073" max="3073" width="4" style="369" customWidth="1"/>
    <col min="3074" max="3074" width="4.77734375" style="369" customWidth="1"/>
    <col min="3075" max="3075" width="9.88671875" style="369" customWidth="1"/>
    <col min="3076" max="3076" width="33.44140625" style="369" customWidth="1"/>
    <col min="3077" max="3077" width="7.77734375" style="369" customWidth="1"/>
    <col min="3078" max="3078" width="4.88671875" style="369" customWidth="1"/>
    <col min="3079" max="3079" width="3" style="369" customWidth="1"/>
    <col min="3080" max="3080" width="5.77734375" style="369" customWidth="1"/>
    <col min="3081" max="3081" width="4.109375" style="369" customWidth="1"/>
    <col min="3082" max="3328" width="8.88671875" style="369"/>
    <col min="3329" max="3329" width="4" style="369" customWidth="1"/>
    <col min="3330" max="3330" width="4.77734375" style="369" customWidth="1"/>
    <col min="3331" max="3331" width="9.88671875" style="369" customWidth="1"/>
    <col min="3332" max="3332" width="33.44140625" style="369" customWidth="1"/>
    <col min="3333" max="3333" width="7.77734375" style="369" customWidth="1"/>
    <col min="3334" max="3334" width="4.88671875" style="369" customWidth="1"/>
    <col min="3335" max="3335" width="3" style="369" customWidth="1"/>
    <col min="3336" max="3336" width="5.77734375" style="369" customWidth="1"/>
    <col min="3337" max="3337" width="4.109375" style="369" customWidth="1"/>
    <col min="3338" max="3584" width="8.88671875" style="369"/>
    <col min="3585" max="3585" width="4" style="369" customWidth="1"/>
    <col min="3586" max="3586" width="4.77734375" style="369" customWidth="1"/>
    <col min="3587" max="3587" width="9.88671875" style="369" customWidth="1"/>
    <col min="3588" max="3588" width="33.44140625" style="369" customWidth="1"/>
    <col min="3589" max="3589" width="7.77734375" style="369" customWidth="1"/>
    <col min="3590" max="3590" width="4.88671875" style="369" customWidth="1"/>
    <col min="3591" max="3591" width="3" style="369" customWidth="1"/>
    <col min="3592" max="3592" width="5.77734375" style="369" customWidth="1"/>
    <col min="3593" max="3593" width="4.109375" style="369" customWidth="1"/>
    <col min="3594" max="3840" width="8.88671875" style="369"/>
    <col min="3841" max="3841" width="4" style="369" customWidth="1"/>
    <col min="3842" max="3842" width="4.77734375" style="369" customWidth="1"/>
    <col min="3843" max="3843" width="9.88671875" style="369" customWidth="1"/>
    <col min="3844" max="3844" width="33.44140625" style="369" customWidth="1"/>
    <col min="3845" max="3845" width="7.77734375" style="369" customWidth="1"/>
    <col min="3846" max="3846" width="4.88671875" style="369" customWidth="1"/>
    <col min="3847" max="3847" width="3" style="369" customWidth="1"/>
    <col min="3848" max="3848" width="5.77734375" style="369" customWidth="1"/>
    <col min="3849" max="3849" width="4.109375" style="369" customWidth="1"/>
    <col min="3850" max="4096" width="8.88671875" style="369"/>
    <col min="4097" max="4097" width="4" style="369" customWidth="1"/>
    <col min="4098" max="4098" width="4.77734375" style="369" customWidth="1"/>
    <col min="4099" max="4099" width="9.88671875" style="369" customWidth="1"/>
    <col min="4100" max="4100" width="33.44140625" style="369" customWidth="1"/>
    <col min="4101" max="4101" width="7.77734375" style="369" customWidth="1"/>
    <col min="4102" max="4102" width="4.88671875" style="369" customWidth="1"/>
    <col min="4103" max="4103" width="3" style="369" customWidth="1"/>
    <col min="4104" max="4104" width="5.77734375" style="369" customWidth="1"/>
    <col min="4105" max="4105" width="4.109375" style="369" customWidth="1"/>
    <col min="4106" max="4352" width="8.88671875" style="369"/>
    <col min="4353" max="4353" width="4" style="369" customWidth="1"/>
    <col min="4354" max="4354" width="4.77734375" style="369" customWidth="1"/>
    <col min="4355" max="4355" width="9.88671875" style="369" customWidth="1"/>
    <col min="4356" max="4356" width="33.44140625" style="369" customWidth="1"/>
    <col min="4357" max="4357" width="7.77734375" style="369" customWidth="1"/>
    <col min="4358" max="4358" width="4.88671875" style="369" customWidth="1"/>
    <col min="4359" max="4359" width="3" style="369" customWidth="1"/>
    <col min="4360" max="4360" width="5.77734375" style="369" customWidth="1"/>
    <col min="4361" max="4361" width="4.109375" style="369" customWidth="1"/>
    <col min="4362" max="4608" width="8.88671875" style="369"/>
    <col min="4609" max="4609" width="4" style="369" customWidth="1"/>
    <col min="4610" max="4610" width="4.77734375" style="369" customWidth="1"/>
    <col min="4611" max="4611" width="9.88671875" style="369" customWidth="1"/>
    <col min="4612" max="4612" width="33.44140625" style="369" customWidth="1"/>
    <col min="4613" max="4613" width="7.77734375" style="369" customWidth="1"/>
    <col min="4614" max="4614" width="4.88671875" style="369" customWidth="1"/>
    <col min="4615" max="4615" width="3" style="369" customWidth="1"/>
    <col min="4616" max="4616" width="5.77734375" style="369" customWidth="1"/>
    <col min="4617" max="4617" width="4.109375" style="369" customWidth="1"/>
    <col min="4618" max="4864" width="8.88671875" style="369"/>
    <col min="4865" max="4865" width="4" style="369" customWidth="1"/>
    <col min="4866" max="4866" width="4.77734375" style="369" customWidth="1"/>
    <col min="4867" max="4867" width="9.88671875" style="369" customWidth="1"/>
    <col min="4868" max="4868" width="33.44140625" style="369" customWidth="1"/>
    <col min="4869" max="4869" width="7.77734375" style="369" customWidth="1"/>
    <col min="4870" max="4870" width="4.88671875" style="369" customWidth="1"/>
    <col min="4871" max="4871" width="3" style="369" customWidth="1"/>
    <col min="4872" max="4872" width="5.77734375" style="369" customWidth="1"/>
    <col min="4873" max="4873" width="4.109375" style="369" customWidth="1"/>
    <col min="4874" max="5120" width="8.88671875" style="369"/>
    <col min="5121" max="5121" width="4" style="369" customWidth="1"/>
    <col min="5122" max="5122" width="4.77734375" style="369" customWidth="1"/>
    <col min="5123" max="5123" width="9.88671875" style="369" customWidth="1"/>
    <col min="5124" max="5124" width="33.44140625" style="369" customWidth="1"/>
    <col min="5125" max="5125" width="7.77734375" style="369" customWidth="1"/>
    <col min="5126" max="5126" width="4.88671875" style="369" customWidth="1"/>
    <col min="5127" max="5127" width="3" style="369" customWidth="1"/>
    <col min="5128" max="5128" width="5.77734375" style="369" customWidth="1"/>
    <col min="5129" max="5129" width="4.109375" style="369" customWidth="1"/>
    <col min="5130" max="5376" width="8.88671875" style="369"/>
    <col min="5377" max="5377" width="4" style="369" customWidth="1"/>
    <col min="5378" max="5378" width="4.77734375" style="369" customWidth="1"/>
    <col min="5379" max="5379" width="9.88671875" style="369" customWidth="1"/>
    <col min="5380" max="5380" width="33.44140625" style="369" customWidth="1"/>
    <col min="5381" max="5381" width="7.77734375" style="369" customWidth="1"/>
    <col min="5382" max="5382" width="4.88671875" style="369" customWidth="1"/>
    <col min="5383" max="5383" width="3" style="369" customWidth="1"/>
    <col min="5384" max="5384" width="5.77734375" style="369" customWidth="1"/>
    <col min="5385" max="5385" width="4.109375" style="369" customWidth="1"/>
    <col min="5386" max="5632" width="8.88671875" style="369"/>
    <col min="5633" max="5633" width="4" style="369" customWidth="1"/>
    <col min="5634" max="5634" width="4.77734375" style="369" customWidth="1"/>
    <col min="5635" max="5635" width="9.88671875" style="369" customWidth="1"/>
    <col min="5636" max="5636" width="33.44140625" style="369" customWidth="1"/>
    <col min="5637" max="5637" width="7.77734375" style="369" customWidth="1"/>
    <col min="5638" max="5638" width="4.88671875" style="369" customWidth="1"/>
    <col min="5639" max="5639" width="3" style="369" customWidth="1"/>
    <col min="5640" max="5640" width="5.77734375" style="369" customWidth="1"/>
    <col min="5641" max="5641" width="4.109375" style="369" customWidth="1"/>
    <col min="5642" max="5888" width="8.88671875" style="369"/>
    <col min="5889" max="5889" width="4" style="369" customWidth="1"/>
    <col min="5890" max="5890" width="4.77734375" style="369" customWidth="1"/>
    <col min="5891" max="5891" width="9.88671875" style="369" customWidth="1"/>
    <col min="5892" max="5892" width="33.44140625" style="369" customWidth="1"/>
    <col min="5893" max="5893" width="7.77734375" style="369" customWidth="1"/>
    <col min="5894" max="5894" width="4.88671875" style="369" customWidth="1"/>
    <col min="5895" max="5895" width="3" style="369" customWidth="1"/>
    <col min="5896" max="5896" width="5.77734375" style="369" customWidth="1"/>
    <col min="5897" max="5897" width="4.109375" style="369" customWidth="1"/>
    <col min="5898" max="6144" width="8.88671875" style="369"/>
    <col min="6145" max="6145" width="4" style="369" customWidth="1"/>
    <col min="6146" max="6146" width="4.77734375" style="369" customWidth="1"/>
    <col min="6147" max="6147" width="9.88671875" style="369" customWidth="1"/>
    <col min="6148" max="6148" width="33.44140625" style="369" customWidth="1"/>
    <col min="6149" max="6149" width="7.77734375" style="369" customWidth="1"/>
    <col min="6150" max="6150" width="4.88671875" style="369" customWidth="1"/>
    <col min="6151" max="6151" width="3" style="369" customWidth="1"/>
    <col min="6152" max="6152" width="5.77734375" style="369" customWidth="1"/>
    <col min="6153" max="6153" width="4.109375" style="369" customWidth="1"/>
    <col min="6154" max="6400" width="8.88671875" style="369"/>
    <col min="6401" max="6401" width="4" style="369" customWidth="1"/>
    <col min="6402" max="6402" width="4.77734375" style="369" customWidth="1"/>
    <col min="6403" max="6403" width="9.88671875" style="369" customWidth="1"/>
    <col min="6404" max="6404" width="33.44140625" style="369" customWidth="1"/>
    <col min="6405" max="6405" width="7.77734375" style="369" customWidth="1"/>
    <col min="6406" max="6406" width="4.88671875" style="369" customWidth="1"/>
    <col min="6407" max="6407" width="3" style="369" customWidth="1"/>
    <col min="6408" max="6408" width="5.77734375" style="369" customWidth="1"/>
    <col min="6409" max="6409" width="4.109375" style="369" customWidth="1"/>
    <col min="6410" max="6656" width="8.88671875" style="369"/>
    <col min="6657" max="6657" width="4" style="369" customWidth="1"/>
    <col min="6658" max="6658" width="4.77734375" style="369" customWidth="1"/>
    <col min="6659" max="6659" width="9.88671875" style="369" customWidth="1"/>
    <col min="6660" max="6660" width="33.44140625" style="369" customWidth="1"/>
    <col min="6661" max="6661" width="7.77734375" style="369" customWidth="1"/>
    <col min="6662" max="6662" width="4.88671875" style="369" customWidth="1"/>
    <col min="6663" max="6663" width="3" style="369" customWidth="1"/>
    <col min="6664" max="6664" width="5.77734375" style="369" customWidth="1"/>
    <col min="6665" max="6665" width="4.109375" style="369" customWidth="1"/>
    <col min="6666" max="6912" width="8.88671875" style="369"/>
    <col min="6913" max="6913" width="4" style="369" customWidth="1"/>
    <col min="6914" max="6914" width="4.77734375" style="369" customWidth="1"/>
    <col min="6915" max="6915" width="9.88671875" style="369" customWidth="1"/>
    <col min="6916" max="6916" width="33.44140625" style="369" customWidth="1"/>
    <col min="6917" max="6917" width="7.77734375" style="369" customWidth="1"/>
    <col min="6918" max="6918" width="4.88671875" style="369" customWidth="1"/>
    <col min="6919" max="6919" width="3" style="369" customWidth="1"/>
    <col min="6920" max="6920" width="5.77734375" style="369" customWidth="1"/>
    <col min="6921" max="6921" width="4.109375" style="369" customWidth="1"/>
    <col min="6922" max="7168" width="8.88671875" style="369"/>
    <col min="7169" max="7169" width="4" style="369" customWidth="1"/>
    <col min="7170" max="7170" width="4.77734375" style="369" customWidth="1"/>
    <col min="7171" max="7171" width="9.88671875" style="369" customWidth="1"/>
    <col min="7172" max="7172" width="33.44140625" style="369" customWidth="1"/>
    <col min="7173" max="7173" width="7.77734375" style="369" customWidth="1"/>
    <col min="7174" max="7174" width="4.88671875" style="369" customWidth="1"/>
    <col min="7175" max="7175" width="3" style="369" customWidth="1"/>
    <col min="7176" max="7176" width="5.77734375" style="369" customWidth="1"/>
    <col min="7177" max="7177" width="4.109375" style="369" customWidth="1"/>
    <col min="7178" max="7424" width="8.88671875" style="369"/>
    <col min="7425" max="7425" width="4" style="369" customWidth="1"/>
    <col min="7426" max="7426" width="4.77734375" style="369" customWidth="1"/>
    <col min="7427" max="7427" width="9.88671875" style="369" customWidth="1"/>
    <col min="7428" max="7428" width="33.44140625" style="369" customWidth="1"/>
    <col min="7429" max="7429" width="7.77734375" style="369" customWidth="1"/>
    <col min="7430" max="7430" width="4.88671875" style="369" customWidth="1"/>
    <col min="7431" max="7431" width="3" style="369" customWidth="1"/>
    <col min="7432" max="7432" width="5.77734375" style="369" customWidth="1"/>
    <col min="7433" max="7433" width="4.109375" style="369" customWidth="1"/>
    <col min="7434" max="7680" width="8.88671875" style="369"/>
    <col min="7681" max="7681" width="4" style="369" customWidth="1"/>
    <col min="7682" max="7682" width="4.77734375" style="369" customWidth="1"/>
    <col min="7683" max="7683" width="9.88671875" style="369" customWidth="1"/>
    <col min="7684" max="7684" width="33.44140625" style="369" customWidth="1"/>
    <col min="7685" max="7685" width="7.77734375" style="369" customWidth="1"/>
    <col min="7686" max="7686" width="4.88671875" style="369" customWidth="1"/>
    <col min="7687" max="7687" width="3" style="369" customWidth="1"/>
    <col min="7688" max="7688" width="5.77734375" style="369" customWidth="1"/>
    <col min="7689" max="7689" width="4.109375" style="369" customWidth="1"/>
    <col min="7690" max="7936" width="8.88671875" style="369"/>
    <col min="7937" max="7937" width="4" style="369" customWidth="1"/>
    <col min="7938" max="7938" width="4.77734375" style="369" customWidth="1"/>
    <col min="7939" max="7939" width="9.88671875" style="369" customWidth="1"/>
    <col min="7940" max="7940" width="33.44140625" style="369" customWidth="1"/>
    <col min="7941" max="7941" width="7.77734375" style="369" customWidth="1"/>
    <col min="7942" max="7942" width="4.88671875" style="369" customWidth="1"/>
    <col min="7943" max="7943" width="3" style="369" customWidth="1"/>
    <col min="7944" max="7944" width="5.77734375" style="369" customWidth="1"/>
    <col min="7945" max="7945" width="4.109375" style="369" customWidth="1"/>
    <col min="7946" max="8192" width="8.88671875" style="369"/>
    <col min="8193" max="8193" width="4" style="369" customWidth="1"/>
    <col min="8194" max="8194" width="4.77734375" style="369" customWidth="1"/>
    <col min="8195" max="8195" width="9.88671875" style="369" customWidth="1"/>
    <col min="8196" max="8196" width="33.44140625" style="369" customWidth="1"/>
    <col min="8197" max="8197" width="7.77734375" style="369" customWidth="1"/>
    <col min="8198" max="8198" width="4.88671875" style="369" customWidth="1"/>
    <col min="8199" max="8199" width="3" style="369" customWidth="1"/>
    <col min="8200" max="8200" width="5.77734375" style="369" customWidth="1"/>
    <col min="8201" max="8201" width="4.109375" style="369" customWidth="1"/>
    <col min="8202" max="8448" width="8.88671875" style="369"/>
    <col min="8449" max="8449" width="4" style="369" customWidth="1"/>
    <col min="8450" max="8450" width="4.77734375" style="369" customWidth="1"/>
    <col min="8451" max="8451" width="9.88671875" style="369" customWidth="1"/>
    <col min="8452" max="8452" width="33.44140625" style="369" customWidth="1"/>
    <col min="8453" max="8453" width="7.77734375" style="369" customWidth="1"/>
    <col min="8454" max="8454" width="4.88671875" style="369" customWidth="1"/>
    <col min="8455" max="8455" width="3" style="369" customWidth="1"/>
    <col min="8456" max="8456" width="5.77734375" style="369" customWidth="1"/>
    <col min="8457" max="8457" width="4.109375" style="369" customWidth="1"/>
    <col min="8458" max="8704" width="8.88671875" style="369"/>
    <col min="8705" max="8705" width="4" style="369" customWidth="1"/>
    <col min="8706" max="8706" width="4.77734375" style="369" customWidth="1"/>
    <col min="8707" max="8707" width="9.88671875" style="369" customWidth="1"/>
    <col min="8708" max="8708" width="33.44140625" style="369" customWidth="1"/>
    <col min="8709" max="8709" width="7.77734375" style="369" customWidth="1"/>
    <col min="8710" max="8710" width="4.88671875" style="369" customWidth="1"/>
    <col min="8711" max="8711" width="3" style="369" customWidth="1"/>
    <col min="8712" max="8712" width="5.77734375" style="369" customWidth="1"/>
    <col min="8713" max="8713" width="4.109375" style="369" customWidth="1"/>
    <col min="8714" max="8960" width="8.88671875" style="369"/>
    <col min="8961" max="8961" width="4" style="369" customWidth="1"/>
    <col min="8962" max="8962" width="4.77734375" style="369" customWidth="1"/>
    <col min="8963" max="8963" width="9.88671875" style="369" customWidth="1"/>
    <col min="8964" max="8964" width="33.44140625" style="369" customWidth="1"/>
    <col min="8965" max="8965" width="7.77734375" style="369" customWidth="1"/>
    <col min="8966" max="8966" width="4.88671875" style="369" customWidth="1"/>
    <col min="8967" max="8967" width="3" style="369" customWidth="1"/>
    <col min="8968" max="8968" width="5.77734375" style="369" customWidth="1"/>
    <col min="8969" max="8969" width="4.109375" style="369" customWidth="1"/>
    <col min="8970" max="9216" width="8.88671875" style="369"/>
    <col min="9217" max="9217" width="4" style="369" customWidth="1"/>
    <col min="9218" max="9218" width="4.77734375" style="369" customWidth="1"/>
    <col min="9219" max="9219" width="9.88671875" style="369" customWidth="1"/>
    <col min="9220" max="9220" width="33.44140625" style="369" customWidth="1"/>
    <col min="9221" max="9221" width="7.77734375" style="369" customWidth="1"/>
    <col min="9222" max="9222" width="4.88671875" style="369" customWidth="1"/>
    <col min="9223" max="9223" width="3" style="369" customWidth="1"/>
    <col min="9224" max="9224" width="5.77734375" style="369" customWidth="1"/>
    <col min="9225" max="9225" width="4.109375" style="369" customWidth="1"/>
    <col min="9226" max="9472" width="8.88671875" style="369"/>
    <col min="9473" max="9473" width="4" style="369" customWidth="1"/>
    <col min="9474" max="9474" width="4.77734375" style="369" customWidth="1"/>
    <col min="9475" max="9475" width="9.88671875" style="369" customWidth="1"/>
    <col min="9476" max="9476" width="33.44140625" style="369" customWidth="1"/>
    <col min="9477" max="9477" width="7.77734375" style="369" customWidth="1"/>
    <col min="9478" max="9478" width="4.88671875" style="369" customWidth="1"/>
    <col min="9479" max="9479" width="3" style="369" customWidth="1"/>
    <col min="9480" max="9480" width="5.77734375" style="369" customWidth="1"/>
    <col min="9481" max="9481" width="4.109375" style="369" customWidth="1"/>
    <col min="9482" max="9728" width="8.88671875" style="369"/>
    <col min="9729" max="9729" width="4" style="369" customWidth="1"/>
    <col min="9730" max="9730" width="4.77734375" style="369" customWidth="1"/>
    <col min="9731" max="9731" width="9.88671875" style="369" customWidth="1"/>
    <col min="9732" max="9732" width="33.44140625" style="369" customWidth="1"/>
    <col min="9733" max="9733" width="7.77734375" style="369" customWidth="1"/>
    <col min="9734" max="9734" width="4.88671875" style="369" customWidth="1"/>
    <col min="9735" max="9735" width="3" style="369" customWidth="1"/>
    <col min="9736" max="9736" width="5.77734375" style="369" customWidth="1"/>
    <col min="9737" max="9737" width="4.109375" style="369" customWidth="1"/>
    <col min="9738" max="9984" width="8.88671875" style="369"/>
    <col min="9985" max="9985" width="4" style="369" customWidth="1"/>
    <col min="9986" max="9986" width="4.77734375" style="369" customWidth="1"/>
    <col min="9987" max="9987" width="9.88671875" style="369" customWidth="1"/>
    <col min="9988" max="9988" width="33.44140625" style="369" customWidth="1"/>
    <col min="9989" max="9989" width="7.77734375" style="369" customWidth="1"/>
    <col min="9990" max="9990" width="4.88671875" style="369" customWidth="1"/>
    <col min="9991" max="9991" width="3" style="369" customWidth="1"/>
    <col min="9992" max="9992" width="5.77734375" style="369" customWidth="1"/>
    <col min="9993" max="9993" width="4.109375" style="369" customWidth="1"/>
    <col min="9994" max="10240" width="8.88671875" style="369"/>
    <col min="10241" max="10241" width="4" style="369" customWidth="1"/>
    <col min="10242" max="10242" width="4.77734375" style="369" customWidth="1"/>
    <col min="10243" max="10243" width="9.88671875" style="369" customWidth="1"/>
    <col min="10244" max="10244" width="33.44140625" style="369" customWidth="1"/>
    <col min="10245" max="10245" width="7.77734375" style="369" customWidth="1"/>
    <col min="10246" max="10246" width="4.88671875" style="369" customWidth="1"/>
    <col min="10247" max="10247" width="3" style="369" customWidth="1"/>
    <col min="10248" max="10248" width="5.77734375" style="369" customWidth="1"/>
    <col min="10249" max="10249" width="4.109375" style="369" customWidth="1"/>
    <col min="10250" max="10496" width="8.88671875" style="369"/>
    <col min="10497" max="10497" width="4" style="369" customWidth="1"/>
    <col min="10498" max="10498" width="4.77734375" style="369" customWidth="1"/>
    <col min="10499" max="10499" width="9.88671875" style="369" customWidth="1"/>
    <col min="10500" max="10500" width="33.44140625" style="369" customWidth="1"/>
    <col min="10501" max="10501" width="7.77734375" style="369" customWidth="1"/>
    <col min="10502" max="10502" width="4.88671875" style="369" customWidth="1"/>
    <col min="10503" max="10503" width="3" style="369" customWidth="1"/>
    <col min="10504" max="10504" width="5.77734375" style="369" customWidth="1"/>
    <col min="10505" max="10505" width="4.109375" style="369" customWidth="1"/>
    <col min="10506" max="10752" width="8.88671875" style="369"/>
    <col min="10753" max="10753" width="4" style="369" customWidth="1"/>
    <col min="10754" max="10754" width="4.77734375" style="369" customWidth="1"/>
    <col min="10755" max="10755" width="9.88671875" style="369" customWidth="1"/>
    <col min="10756" max="10756" width="33.44140625" style="369" customWidth="1"/>
    <col min="10757" max="10757" width="7.77734375" style="369" customWidth="1"/>
    <col min="10758" max="10758" width="4.88671875" style="369" customWidth="1"/>
    <col min="10759" max="10759" width="3" style="369" customWidth="1"/>
    <col min="10760" max="10760" width="5.77734375" style="369" customWidth="1"/>
    <col min="10761" max="10761" width="4.109375" style="369" customWidth="1"/>
    <col min="10762" max="11008" width="8.88671875" style="369"/>
    <col min="11009" max="11009" width="4" style="369" customWidth="1"/>
    <col min="11010" max="11010" width="4.77734375" style="369" customWidth="1"/>
    <col min="11011" max="11011" width="9.88671875" style="369" customWidth="1"/>
    <col min="11012" max="11012" width="33.44140625" style="369" customWidth="1"/>
    <col min="11013" max="11013" width="7.77734375" style="369" customWidth="1"/>
    <col min="11014" max="11014" width="4.88671875" style="369" customWidth="1"/>
    <col min="11015" max="11015" width="3" style="369" customWidth="1"/>
    <col min="11016" max="11016" width="5.77734375" style="369" customWidth="1"/>
    <col min="11017" max="11017" width="4.109375" style="369" customWidth="1"/>
    <col min="11018" max="11264" width="8.88671875" style="369"/>
    <col min="11265" max="11265" width="4" style="369" customWidth="1"/>
    <col min="11266" max="11266" width="4.77734375" style="369" customWidth="1"/>
    <col min="11267" max="11267" width="9.88671875" style="369" customWidth="1"/>
    <col min="11268" max="11268" width="33.44140625" style="369" customWidth="1"/>
    <col min="11269" max="11269" width="7.77734375" style="369" customWidth="1"/>
    <col min="11270" max="11270" width="4.88671875" style="369" customWidth="1"/>
    <col min="11271" max="11271" width="3" style="369" customWidth="1"/>
    <col min="11272" max="11272" width="5.77734375" style="369" customWidth="1"/>
    <col min="11273" max="11273" width="4.109375" style="369" customWidth="1"/>
    <col min="11274" max="11520" width="8.88671875" style="369"/>
    <col min="11521" max="11521" width="4" style="369" customWidth="1"/>
    <col min="11522" max="11522" width="4.77734375" style="369" customWidth="1"/>
    <col min="11523" max="11523" width="9.88671875" style="369" customWidth="1"/>
    <col min="11524" max="11524" width="33.44140625" style="369" customWidth="1"/>
    <col min="11525" max="11525" width="7.77734375" style="369" customWidth="1"/>
    <col min="11526" max="11526" width="4.88671875" style="369" customWidth="1"/>
    <col min="11527" max="11527" width="3" style="369" customWidth="1"/>
    <col min="11528" max="11528" width="5.77734375" style="369" customWidth="1"/>
    <col min="11529" max="11529" width="4.109375" style="369" customWidth="1"/>
    <col min="11530" max="11776" width="8.88671875" style="369"/>
    <col min="11777" max="11777" width="4" style="369" customWidth="1"/>
    <col min="11778" max="11778" width="4.77734375" style="369" customWidth="1"/>
    <col min="11779" max="11779" width="9.88671875" style="369" customWidth="1"/>
    <col min="11780" max="11780" width="33.44140625" style="369" customWidth="1"/>
    <col min="11781" max="11781" width="7.77734375" style="369" customWidth="1"/>
    <col min="11782" max="11782" width="4.88671875" style="369" customWidth="1"/>
    <col min="11783" max="11783" width="3" style="369" customWidth="1"/>
    <col min="11784" max="11784" width="5.77734375" style="369" customWidth="1"/>
    <col min="11785" max="11785" width="4.109375" style="369" customWidth="1"/>
    <col min="11786" max="12032" width="8.88671875" style="369"/>
    <col min="12033" max="12033" width="4" style="369" customWidth="1"/>
    <col min="12034" max="12034" width="4.77734375" style="369" customWidth="1"/>
    <col min="12035" max="12035" width="9.88671875" style="369" customWidth="1"/>
    <col min="12036" max="12036" width="33.44140625" style="369" customWidth="1"/>
    <col min="12037" max="12037" width="7.77734375" style="369" customWidth="1"/>
    <col min="12038" max="12038" width="4.88671875" style="369" customWidth="1"/>
    <col min="12039" max="12039" width="3" style="369" customWidth="1"/>
    <col min="12040" max="12040" width="5.77734375" style="369" customWidth="1"/>
    <col min="12041" max="12041" width="4.109375" style="369" customWidth="1"/>
    <col min="12042" max="12288" width="8.88671875" style="369"/>
    <col min="12289" max="12289" width="4" style="369" customWidth="1"/>
    <col min="12290" max="12290" width="4.77734375" style="369" customWidth="1"/>
    <col min="12291" max="12291" width="9.88671875" style="369" customWidth="1"/>
    <col min="12292" max="12292" width="33.44140625" style="369" customWidth="1"/>
    <col min="12293" max="12293" width="7.77734375" style="369" customWidth="1"/>
    <col min="12294" max="12294" width="4.88671875" style="369" customWidth="1"/>
    <col min="12295" max="12295" width="3" style="369" customWidth="1"/>
    <col min="12296" max="12296" width="5.77734375" style="369" customWidth="1"/>
    <col min="12297" max="12297" width="4.109375" style="369" customWidth="1"/>
    <col min="12298" max="12544" width="8.88671875" style="369"/>
    <col min="12545" max="12545" width="4" style="369" customWidth="1"/>
    <col min="12546" max="12546" width="4.77734375" style="369" customWidth="1"/>
    <col min="12547" max="12547" width="9.88671875" style="369" customWidth="1"/>
    <col min="12548" max="12548" width="33.44140625" style="369" customWidth="1"/>
    <col min="12549" max="12549" width="7.77734375" style="369" customWidth="1"/>
    <col min="12550" max="12550" width="4.88671875" style="369" customWidth="1"/>
    <col min="12551" max="12551" width="3" style="369" customWidth="1"/>
    <col min="12552" max="12552" width="5.77734375" style="369" customWidth="1"/>
    <col min="12553" max="12553" width="4.109375" style="369" customWidth="1"/>
    <col min="12554" max="12800" width="8.88671875" style="369"/>
    <col min="12801" max="12801" width="4" style="369" customWidth="1"/>
    <col min="12802" max="12802" width="4.77734375" style="369" customWidth="1"/>
    <col min="12803" max="12803" width="9.88671875" style="369" customWidth="1"/>
    <col min="12804" max="12804" width="33.44140625" style="369" customWidth="1"/>
    <col min="12805" max="12805" width="7.77734375" style="369" customWidth="1"/>
    <col min="12806" max="12806" width="4.88671875" style="369" customWidth="1"/>
    <col min="12807" max="12807" width="3" style="369" customWidth="1"/>
    <col min="12808" max="12808" width="5.77734375" style="369" customWidth="1"/>
    <col min="12809" max="12809" width="4.109375" style="369" customWidth="1"/>
    <col min="12810" max="13056" width="8.88671875" style="369"/>
    <col min="13057" max="13057" width="4" style="369" customWidth="1"/>
    <col min="13058" max="13058" width="4.77734375" style="369" customWidth="1"/>
    <col min="13059" max="13059" width="9.88671875" style="369" customWidth="1"/>
    <col min="13060" max="13060" width="33.44140625" style="369" customWidth="1"/>
    <col min="13061" max="13061" width="7.77734375" style="369" customWidth="1"/>
    <col min="13062" max="13062" width="4.88671875" style="369" customWidth="1"/>
    <col min="13063" max="13063" width="3" style="369" customWidth="1"/>
    <col min="13064" max="13064" width="5.77734375" style="369" customWidth="1"/>
    <col min="13065" max="13065" width="4.109375" style="369" customWidth="1"/>
    <col min="13066" max="13312" width="8.88671875" style="369"/>
    <col min="13313" max="13313" width="4" style="369" customWidth="1"/>
    <col min="13314" max="13314" width="4.77734375" style="369" customWidth="1"/>
    <col min="13315" max="13315" width="9.88671875" style="369" customWidth="1"/>
    <col min="13316" max="13316" width="33.44140625" style="369" customWidth="1"/>
    <col min="13317" max="13317" width="7.77734375" style="369" customWidth="1"/>
    <col min="13318" max="13318" width="4.88671875" style="369" customWidth="1"/>
    <col min="13319" max="13319" width="3" style="369" customWidth="1"/>
    <col min="13320" max="13320" width="5.77734375" style="369" customWidth="1"/>
    <col min="13321" max="13321" width="4.109375" style="369" customWidth="1"/>
    <col min="13322" max="13568" width="8.88671875" style="369"/>
    <col min="13569" max="13569" width="4" style="369" customWidth="1"/>
    <col min="13570" max="13570" width="4.77734375" style="369" customWidth="1"/>
    <col min="13571" max="13571" width="9.88671875" style="369" customWidth="1"/>
    <col min="13572" max="13572" width="33.44140625" style="369" customWidth="1"/>
    <col min="13573" max="13573" width="7.77734375" style="369" customWidth="1"/>
    <col min="13574" max="13574" width="4.88671875" style="369" customWidth="1"/>
    <col min="13575" max="13575" width="3" style="369" customWidth="1"/>
    <col min="13576" max="13576" width="5.77734375" style="369" customWidth="1"/>
    <col min="13577" max="13577" width="4.109375" style="369" customWidth="1"/>
    <col min="13578" max="13824" width="8.88671875" style="369"/>
    <col min="13825" max="13825" width="4" style="369" customWidth="1"/>
    <col min="13826" max="13826" width="4.77734375" style="369" customWidth="1"/>
    <col min="13827" max="13827" width="9.88671875" style="369" customWidth="1"/>
    <col min="13828" max="13828" width="33.44140625" style="369" customWidth="1"/>
    <col min="13829" max="13829" width="7.77734375" style="369" customWidth="1"/>
    <col min="13830" max="13830" width="4.88671875" style="369" customWidth="1"/>
    <col min="13831" max="13831" width="3" style="369" customWidth="1"/>
    <col min="13832" max="13832" width="5.77734375" style="369" customWidth="1"/>
    <col min="13833" max="13833" width="4.109375" style="369" customWidth="1"/>
    <col min="13834" max="14080" width="8.88671875" style="369"/>
    <col min="14081" max="14081" width="4" style="369" customWidth="1"/>
    <col min="14082" max="14082" width="4.77734375" style="369" customWidth="1"/>
    <col min="14083" max="14083" width="9.88671875" style="369" customWidth="1"/>
    <col min="14084" max="14084" width="33.44140625" style="369" customWidth="1"/>
    <col min="14085" max="14085" width="7.77734375" style="369" customWidth="1"/>
    <col min="14086" max="14086" width="4.88671875" style="369" customWidth="1"/>
    <col min="14087" max="14087" width="3" style="369" customWidth="1"/>
    <col min="14088" max="14088" width="5.77734375" style="369" customWidth="1"/>
    <col min="14089" max="14089" width="4.109375" style="369" customWidth="1"/>
    <col min="14090" max="14336" width="8.88671875" style="369"/>
    <col min="14337" max="14337" width="4" style="369" customWidth="1"/>
    <col min="14338" max="14338" width="4.77734375" style="369" customWidth="1"/>
    <col min="14339" max="14339" width="9.88671875" style="369" customWidth="1"/>
    <col min="14340" max="14340" width="33.44140625" style="369" customWidth="1"/>
    <col min="14341" max="14341" width="7.77734375" style="369" customWidth="1"/>
    <col min="14342" max="14342" width="4.88671875" style="369" customWidth="1"/>
    <col min="14343" max="14343" width="3" style="369" customWidth="1"/>
    <col min="14344" max="14344" width="5.77734375" style="369" customWidth="1"/>
    <col min="14345" max="14345" width="4.109375" style="369" customWidth="1"/>
    <col min="14346" max="14592" width="8.88671875" style="369"/>
    <col min="14593" max="14593" width="4" style="369" customWidth="1"/>
    <col min="14594" max="14594" width="4.77734375" style="369" customWidth="1"/>
    <col min="14595" max="14595" width="9.88671875" style="369" customWidth="1"/>
    <col min="14596" max="14596" width="33.44140625" style="369" customWidth="1"/>
    <col min="14597" max="14597" width="7.77734375" style="369" customWidth="1"/>
    <col min="14598" max="14598" width="4.88671875" style="369" customWidth="1"/>
    <col min="14599" max="14599" width="3" style="369" customWidth="1"/>
    <col min="14600" max="14600" width="5.77734375" style="369" customWidth="1"/>
    <col min="14601" max="14601" width="4.109375" style="369" customWidth="1"/>
    <col min="14602" max="14848" width="8.88671875" style="369"/>
    <col min="14849" max="14849" width="4" style="369" customWidth="1"/>
    <col min="14850" max="14850" width="4.77734375" style="369" customWidth="1"/>
    <col min="14851" max="14851" width="9.88671875" style="369" customWidth="1"/>
    <col min="14852" max="14852" width="33.44140625" style="369" customWidth="1"/>
    <col min="14853" max="14853" width="7.77734375" style="369" customWidth="1"/>
    <col min="14854" max="14854" width="4.88671875" style="369" customWidth="1"/>
    <col min="14855" max="14855" width="3" style="369" customWidth="1"/>
    <col min="14856" max="14856" width="5.77734375" style="369" customWidth="1"/>
    <col min="14857" max="14857" width="4.109375" style="369" customWidth="1"/>
    <col min="14858" max="15104" width="8.88671875" style="369"/>
    <col min="15105" max="15105" width="4" style="369" customWidth="1"/>
    <col min="15106" max="15106" width="4.77734375" style="369" customWidth="1"/>
    <col min="15107" max="15107" width="9.88671875" style="369" customWidth="1"/>
    <col min="15108" max="15108" width="33.44140625" style="369" customWidth="1"/>
    <col min="15109" max="15109" width="7.77734375" style="369" customWidth="1"/>
    <col min="15110" max="15110" width="4.88671875" style="369" customWidth="1"/>
    <col min="15111" max="15111" width="3" style="369" customWidth="1"/>
    <col min="15112" max="15112" width="5.77734375" style="369" customWidth="1"/>
    <col min="15113" max="15113" width="4.109375" style="369" customWidth="1"/>
    <col min="15114" max="15360" width="8.88671875" style="369"/>
    <col min="15361" max="15361" width="4" style="369" customWidth="1"/>
    <col min="15362" max="15362" width="4.77734375" style="369" customWidth="1"/>
    <col min="15363" max="15363" width="9.88671875" style="369" customWidth="1"/>
    <col min="15364" max="15364" width="33.44140625" style="369" customWidth="1"/>
    <col min="15365" max="15365" width="7.77734375" style="369" customWidth="1"/>
    <col min="15366" max="15366" width="4.88671875" style="369" customWidth="1"/>
    <col min="15367" max="15367" width="3" style="369" customWidth="1"/>
    <col min="15368" max="15368" width="5.77734375" style="369" customWidth="1"/>
    <col min="15369" max="15369" width="4.109375" style="369" customWidth="1"/>
    <col min="15370" max="15616" width="8.88671875" style="369"/>
    <col min="15617" max="15617" width="4" style="369" customWidth="1"/>
    <col min="15618" max="15618" width="4.77734375" style="369" customWidth="1"/>
    <col min="15619" max="15619" width="9.88671875" style="369" customWidth="1"/>
    <col min="15620" max="15620" width="33.44140625" style="369" customWidth="1"/>
    <col min="15621" max="15621" width="7.77734375" style="369" customWidth="1"/>
    <col min="15622" max="15622" width="4.88671875" style="369" customWidth="1"/>
    <col min="15623" max="15623" width="3" style="369" customWidth="1"/>
    <col min="15624" max="15624" width="5.77734375" style="369" customWidth="1"/>
    <col min="15625" max="15625" width="4.109375" style="369" customWidth="1"/>
    <col min="15626" max="15872" width="8.88671875" style="369"/>
    <col min="15873" max="15873" width="4" style="369" customWidth="1"/>
    <col min="15874" max="15874" width="4.77734375" style="369" customWidth="1"/>
    <col min="15875" max="15875" width="9.88671875" style="369" customWidth="1"/>
    <col min="15876" max="15876" width="33.44140625" style="369" customWidth="1"/>
    <col min="15877" max="15877" width="7.77734375" style="369" customWidth="1"/>
    <col min="15878" max="15878" width="4.88671875" style="369" customWidth="1"/>
    <col min="15879" max="15879" width="3" style="369" customWidth="1"/>
    <col min="15880" max="15880" width="5.77734375" style="369" customWidth="1"/>
    <col min="15881" max="15881" width="4.109375" style="369" customWidth="1"/>
    <col min="15882" max="16128" width="8.88671875" style="369"/>
    <col min="16129" max="16129" width="4" style="369" customWidth="1"/>
    <col min="16130" max="16130" width="4.77734375" style="369" customWidth="1"/>
    <col min="16131" max="16131" width="9.88671875" style="369" customWidth="1"/>
    <col min="16132" max="16132" width="33.44140625" style="369" customWidth="1"/>
    <col min="16133" max="16133" width="7.77734375" style="369" customWidth="1"/>
    <col min="16134" max="16134" width="4.88671875" style="369" customWidth="1"/>
    <col min="16135" max="16135" width="3" style="369" customWidth="1"/>
    <col min="16136" max="16136" width="5.77734375" style="369" customWidth="1"/>
    <col min="16137" max="16137" width="4.109375" style="369" customWidth="1"/>
    <col min="16138" max="16384" width="8.88671875" style="369"/>
  </cols>
  <sheetData>
    <row r="1" spans="1:12" ht="50.1" customHeight="1">
      <c r="A1" s="1604" t="s">
        <v>204</v>
      </c>
      <c r="B1" s="1604"/>
      <c r="C1" s="1604"/>
      <c r="D1" s="1604"/>
      <c r="E1" s="1604"/>
      <c r="F1" s="1604"/>
      <c r="G1" s="1604"/>
      <c r="H1" s="1604"/>
      <c r="I1" s="1604"/>
    </row>
    <row r="2" spans="1:12" ht="30" customHeight="1">
      <c r="A2" s="370"/>
      <c r="B2" s="370"/>
      <c r="C2" s="370"/>
      <c r="D2" s="370"/>
      <c r="E2" s="370"/>
      <c r="F2" s="370"/>
      <c r="G2" s="370"/>
      <c r="H2" s="370" t="s">
        <v>136</v>
      </c>
      <c r="I2" s="370"/>
    </row>
    <row r="3" spans="1:12" ht="35.1" customHeight="1">
      <c r="A3" s="1605" t="s">
        <v>137</v>
      </c>
      <c r="B3" s="1606"/>
      <c r="C3" s="1606"/>
      <c r="D3" s="460" t="s">
        <v>138</v>
      </c>
      <c r="E3" s="1606" t="s">
        <v>139</v>
      </c>
      <c r="F3" s="1606"/>
      <c r="G3" s="1606" t="s">
        <v>140</v>
      </c>
      <c r="H3" s="1606"/>
      <c r="I3" s="1607"/>
    </row>
    <row r="4" spans="1:12" ht="35.1" customHeight="1">
      <c r="A4" s="1599" t="s">
        <v>101</v>
      </c>
      <c r="B4" s="1602" t="s">
        <v>563</v>
      </c>
      <c r="C4" s="1602"/>
      <c r="D4" s="371" t="s">
        <v>598</v>
      </c>
      <c r="E4" s="372">
        <f>ROUND(((1.7^2)-(PI()*0.6^2)/4)*0.2,3)</f>
        <v>0.52100000000000002</v>
      </c>
      <c r="F4" s="373" t="s">
        <v>128</v>
      </c>
      <c r="G4" s="1608"/>
      <c r="H4" s="1608"/>
      <c r="I4" s="1609"/>
    </row>
    <row r="5" spans="1:12" ht="35.1" customHeight="1">
      <c r="A5" s="1585"/>
      <c r="B5" s="1587" t="s">
        <v>564</v>
      </c>
      <c r="C5" s="1587"/>
      <c r="D5" s="461" t="s">
        <v>565</v>
      </c>
      <c r="E5" s="374">
        <f>ROUND(((1.7^2)-(1.2^2))*1,3)</f>
        <v>1.45</v>
      </c>
      <c r="F5" s="375" t="s">
        <v>128</v>
      </c>
      <c r="G5" s="1586" t="s">
        <v>145</v>
      </c>
      <c r="H5" s="1586"/>
      <c r="I5" s="1596"/>
    </row>
    <row r="6" spans="1:12" ht="35.1" customHeight="1">
      <c r="A6" s="1585"/>
      <c r="B6" s="1587" t="s">
        <v>566</v>
      </c>
      <c r="C6" s="1587"/>
      <c r="D6" s="461" t="s">
        <v>567</v>
      </c>
      <c r="E6" s="374">
        <f>ROUND(2*2*0.3,3)</f>
        <v>1.2</v>
      </c>
      <c r="F6" s="375" t="s">
        <v>128</v>
      </c>
      <c r="G6" s="1586"/>
      <c r="H6" s="1586"/>
      <c r="I6" s="1596"/>
    </row>
    <row r="7" spans="1:12" ht="35.1" customHeight="1">
      <c r="A7" s="1585"/>
      <c r="B7" s="1587" t="s">
        <v>568</v>
      </c>
      <c r="C7" s="1587"/>
      <c r="D7" s="461" t="s">
        <v>569</v>
      </c>
      <c r="E7" s="374">
        <f>ROUND(2.2*2.2*0.1,3)</f>
        <v>0.48399999999999999</v>
      </c>
      <c r="F7" s="375" t="s">
        <v>128</v>
      </c>
      <c r="G7" s="1586"/>
      <c r="H7" s="1586"/>
      <c r="I7" s="1596"/>
    </row>
    <row r="8" spans="1:12" ht="39.950000000000003" customHeight="1">
      <c r="A8" s="437" t="s">
        <v>546</v>
      </c>
      <c r="B8" s="1587" t="s">
        <v>622</v>
      </c>
      <c r="C8" s="1587"/>
      <c r="D8" s="462" t="s">
        <v>604</v>
      </c>
      <c r="E8" s="376">
        <f>ROUND((((PI()*1^2)-(PI()*0.698^2))/4*0.05)+(((PI()*1^2)-(PI()*0.78^2))/4*0.07)+(((PI()*1^2)-(PI()*0.6^2))/4*0.1),3)</f>
        <v>9.1999999999999998E-2</v>
      </c>
      <c r="F8" s="377" t="s">
        <v>128</v>
      </c>
      <c r="G8" s="1586"/>
      <c r="H8" s="1586"/>
      <c r="I8" s="1596"/>
    </row>
    <row r="9" spans="1:12" ht="35.1" customHeight="1">
      <c r="A9" s="1585" t="s">
        <v>571</v>
      </c>
      <c r="B9" s="1586"/>
      <c r="C9" s="1586"/>
      <c r="D9" s="463" t="s">
        <v>605</v>
      </c>
      <c r="E9" s="378">
        <f>ROUND(((PI()*1^2)/4-(PI()*0.6^2)/4)*0.01,3)</f>
        <v>5.0000000000000001E-3</v>
      </c>
      <c r="F9" s="377" t="s">
        <v>128</v>
      </c>
      <c r="G9" s="1586"/>
      <c r="H9" s="1586"/>
      <c r="I9" s="1596"/>
    </row>
    <row r="10" spans="1:12" ht="35.1" customHeight="1">
      <c r="A10" s="1597" t="s">
        <v>120</v>
      </c>
      <c r="B10" s="1600" t="s">
        <v>121</v>
      </c>
      <c r="C10" s="379" t="s">
        <v>149</v>
      </c>
      <c r="D10" s="461" t="s">
        <v>601</v>
      </c>
      <c r="E10" s="374">
        <f>ROUND((1.2^2)-(PI()*0.6^2)/4,3)</f>
        <v>1.157</v>
      </c>
      <c r="F10" s="375" t="s">
        <v>127</v>
      </c>
      <c r="G10" s="1586" t="s">
        <v>107</v>
      </c>
      <c r="H10" s="1586"/>
      <c r="I10" s="1596"/>
    </row>
    <row r="11" spans="1:12" ht="35.1" customHeight="1">
      <c r="A11" s="1598"/>
      <c r="B11" s="1601"/>
      <c r="C11" s="379" t="s">
        <v>149</v>
      </c>
      <c r="D11" s="461" t="s">
        <v>572</v>
      </c>
      <c r="E11" s="374">
        <f>ROUND(1.7*0.2*4,3)</f>
        <v>1.36</v>
      </c>
      <c r="F11" s="375" t="s">
        <v>127</v>
      </c>
      <c r="G11" s="1586" t="s">
        <v>124</v>
      </c>
      <c r="H11" s="1586"/>
      <c r="I11" s="1596"/>
    </row>
    <row r="12" spans="1:12" ht="35.1" customHeight="1">
      <c r="A12" s="1598"/>
      <c r="B12" s="1601"/>
      <c r="C12" s="379" t="s">
        <v>153</v>
      </c>
      <c r="D12" s="461" t="s">
        <v>573</v>
      </c>
      <c r="E12" s="374">
        <f>ROUND(2*0.3*4,3)</f>
        <v>2.4</v>
      </c>
      <c r="F12" s="375" t="s">
        <v>127</v>
      </c>
      <c r="G12" s="1586"/>
      <c r="H12" s="1586"/>
      <c r="I12" s="1596"/>
    </row>
    <row r="13" spans="1:12" ht="35.1" customHeight="1">
      <c r="A13" s="1598"/>
      <c r="B13" s="1602"/>
      <c r="C13" s="379" t="s">
        <v>154</v>
      </c>
      <c r="D13" s="461" t="s">
        <v>574</v>
      </c>
      <c r="E13" s="374">
        <f>ROUND(1.2*1*4+1.7*1*4,3)</f>
        <v>11.6</v>
      </c>
      <c r="F13" s="375" t="s">
        <v>127</v>
      </c>
      <c r="G13" s="1586" t="s">
        <v>145</v>
      </c>
      <c r="H13" s="1586"/>
      <c r="I13" s="1596"/>
      <c r="L13" s="380"/>
    </row>
    <row r="14" spans="1:12" ht="35.1" customHeight="1">
      <c r="A14" s="1598"/>
      <c r="B14" s="379" t="s">
        <v>121</v>
      </c>
      <c r="C14" s="379" t="s">
        <v>575</v>
      </c>
      <c r="D14" s="461" t="s">
        <v>576</v>
      </c>
      <c r="E14" s="374">
        <f>ROUND(2.2*0.1*4,3)</f>
        <v>0.88</v>
      </c>
      <c r="F14" s="375" t="s">
        <v>127</v>
      </c>
      <c r="G14" s="1586"/>
      <c r="H14" s="1586"/>
      <c r="I14" s="1596"/>
    </row>
    <row r="15" spans="1:12" ht="35.1" customHeight="1">
      <c r="A15" s="1598"/>
      <c r="B15" s="1600" t="s">
        <v>552</v>
      </c>
      <c r="C15" s="379" t="s">
        <v>577</v>
      </c>
      <c r="D15" s="461" t="s">
        <v>578</v>
      </c>
      <c r="E15" s="374">
        <f>ROUND(PI()*0.6*0.2,3)</f>
        <v>0.377</v>
      </c>
      <c r="F15" s="381" t="s">
        <v>194</v>
      </c>
      <c r="G15" s="1586" t="s">
        <v>109</v>
      </c>
      <c r="H15" s="1586"/>
      <c r="I15" s="1596"/>
    </row>
    <row r="16" spans="1:12" ht="35.1" customHeight="1">
      <c r="A16" s="1599"/>
      <c r="B16" s="1603"/>
      <c r="C16" s="379" t="s">
        <v>579</v>
      </c>
      <c r="D16" s="464" t="s">
        <v>580</v>
      </c>
      <c r="E16" s="382">
        <f>ROUND((((3.1415*1)+(3.1415*0.6))*0.1),3)</f>
        <v>0.503</v>
      </c>
      <c r="F16" s="377" t="s">
        <v>127</v>
      </c>
      <c r="G16" s="1586" t="s">
        <v>111</v>
      </c>
      <c r="H16" s="1586"/>
      <c r="I16" s="1596"/>
    </row>
    <row r="17" spans="1:15" ht="35.1" customHeight="1">
      <c r="A17" s="1589" t="s">
        <v>160</v>
      </c>
      <c r="B17" s="1587"/>
      <c r="C17" s="1587"/>
      <c r="D17" s="461" t="s">
        <v>161</v>
      </c>
      <c r="E17" s="374" t="s">
        <v>111</v>
      </c>
      <c r="F17" s="381" t="s">
        <v>111</v>
      </c>
      <c r="G17" s="1586" t="s">
        <v>111</v>
      </c>
      <c r="H17" s="1586"/>
      <c r="I17" s="1596"/>
    </row>
    <row r="18" spans="1:15" ht="35.1" customHeight="1">
      <c r="A18" s="1589" t="s">
        <v>162</v>
      </c>
      <c r="B18" s="1587"/>
      <c r="C18" s="1587"/>
      <c r="D18" s="461" t="s">
        <v>602</v>
      </c>
      <c r="E18" s="374">
        <f>ROUND(((1.2^2)-(PI()*0.6^2)/4)*1,3)</f>
        <v>1.157</v>
      </c>
      <c r="F18" s="381" t="s">
        <v>116</v>
      </c>
      <c r="G18" s="1586" t="s">
        <v>145</v>
      </c>
      <c r="H18" s="1586"/>
      <c r="I18" s="1596"/>
    </row>
    <row r="19" spans="1:15" ht="35.1" customHeight="1">
      <c r="A19" s="1585" t="s">
        <v>581</v>
      </c>
      <c r="B19" s="1586"/>
      <c r="C19" s="1586"/>
      <c r="D19" s="461" t="s">
        <v>582</v>
      </c>
      <c r="E19" s="374">
        <f>ROUND(1.2*1*4,3)</f>
        <v>4.8</v>
      </c>
      <c r="F19" s="375" t="s">
        <v>127</v>
      </c>
      <c r="G19" s="1586" t="s">
        <v>145</v>
      </c>
      <c r="H19" s="1586"/>
      <c r="I19" s="1596"/>
    </row>
    <row r="20" spans="1:15" ht="35.1" customHeight="1">
      <c r="A20" s="1585" t="s">
        <v>555</v>
      </c>
      <c r="B20" s="1586"/>
      <c r="C20" s="1586"/>
      <c r="D20" s="465" t="s">
        <v>583</v>
      </c>
      <c r="E20" s="374">
        <f>ROUND((1.7^2-PI()*0.6^2/4)+(2*2),3)</f>
        <v>6.6070000000000002</v>
      </c>
      <c r="F20" s="375" t="s">
        <v>127</v>
      </c>
      <c r="G20" s="1587" t="s">
        <v>164</v>
      </c>
      <c r="H20" s="1587"/>
      <c r="I20" s="1588"/>
      <c r="J20" s="369" t="s">
        <v>233</v>
      </c>
      <c r="K20" s="383" t="e">
        <f>#REF!</f>
        <v>#REF!</v>
      </c>
    </row>
    <row r="21" spans="1:15" ht="35.1" customHeight="1">
      <c r="A21" s="1589" t="s">
        <v>556</v>
      </c>
      <c r="B21" s="1587"/>
      <c r="C21" s="1586" t="s">
        <v>102</v>
      </c>
      <c r="D21" s="465" t="s">
        <v>584</v>
      </c>
      <c r="E21" s="374">
        <v>0.01</v>
      </c>
      <c r="F21" s="384" t="s">
        <v>118</v>
      </c>
      <c r="G21" s="385" t="s">
        <v>111</v>
      </c>
      <c r="H21" s="436" t="s">
        <v>585</v>
      </c>
      <c r="I21" s="386" t="s">
        <v>111</v>
      </c>
      <c r="J21" s="369" t="s">
        <v>586</v>
      </c>
      <c r="K21" s="369" t="s">
        <v>587</v>
      </c>
      <c r="L21" s="369" t="s">
        <v>588</v>
      </c>
      <c r="M21" s="369" t="s">
        <v>589</v>
      </c>
      <c r="N21" s="369" t="s">
        <v>590</v>
      </c>
      <c r="O21" s="369" t="s">
        <v>591</v>
      </c>
    </row>
    <row r="22" spans="1:15" ht="35.1" customHeight="1">
      <c r="A22" s="1589"/>
      <c r="B22" s="1587"/>
      <c r="C22" s="1586"/>
      <c r="D22" s="465" t="s">
        <v>592</v>
      </c>
      <c r="E22" s="374">
        <v>4.5999999999999999E-2</v>
      </c>
      <c r="F22" s="384" t="s">
        <v>118</v>
      </c>
      <c r="G22" s="1590"/>
      <c r="H22" s="1591"/>
      <c r="I22" s="1592"/>
      <c r="J22" s="369" t="s">
        <v>593</v>
      </c>
      <c r="K22" s="369" t="e">
        <f>K20+K20+0.3+1.45</f>
        <v>#REF!</v>
      </c>
      <c r="L22" s="369">
        <v>22</v>
      </c>
      <c r="M22" s="369" t="e">
        <f>K22*L22</f>
        <v>#REF!</v>
      </c>
    </row>
    <row r="23" spans="1:15" ht="35.1" customHeight="1">
      <c r="A23" s="1589"/>
      <c r="B23" s="1587"/>
      <c r="C23" s="466" t="s">
        <v>2</v>
      </c>
      <c r="D23" s="465" t="s">
        <v>592</v>
      </c>
      <c r="E23" s="374" t="e">
        <f>O23</f>
        <v>#REF!</v>
      </c>
      <c r="F23" s="384" t="s">
        <v>118</v>
      </c>
      <c r="G23" s="1593"/>
      <c r="H23" s="1594"/>
      <c r="I23" s="1595"/>
      <c r="J23" s="369" t="s">
        <v>603</v>
      </c>
      <c r="K23" s="369">
        <f>0.3+1.45+1.45</f>
        <v>3.2</v>
      </c>
      <c r="L23" s="369">
        <v>38</v>
      </c>
      <c r="M23" s="369">
        <f>L23*K23</f>
        <v>121.60000000000001</v>
      </c>
      <c r="N23" s="369">
        <v>0.995</v>
      </c>
      <c r="O23" s="387" t="e">
        <f>ROUND(((M23+M22)*N23/1000),3)</f>
        <v>#REF!</v>
      </c>
    </row>
    <row r="24" spans="1:15" ht="35.1" customHeight="1">
      <c r="A24" s="1577" t="s">
        <v>561</v>
      </c>
      <c r="B24" s="1578"/>
      <c r="C24" s="1579"/>
      <c r="D24" s="388" t="s">
        <v>165</v>
      </c>
      <c r="E24" s="389">
        <v>3</v>
      </c>
      <c r="F24" s="390" t="s">
        <v>119</v>
      </c>
      <c r="G24" s="391"/>
      <c r="H24" s="467"/>
      <c r="I24" s="392"/>
      <c r="M24" s="369" t="e">
        <f>SUM(M22:M23)</f>
        <v>#REF!</v>
      </c>
    </row>
    <row r="25" spans="1:15" ht="35.1" customHeight="1">
      <c r="A25" s="1580" t="s">
        <v>594</v>
      </c>
      <c r="B25" s="1581"/>
      <c r="C25" s="1582"/>
      <c r="D25" s="393" t="s">
        <v>165</v>
      </c>
      <c r="E25" s="394">
        <v>1</v>
      </c>
      <c r="F25" s="395" t="s">
        <v>119</v>
      </c>
      <c r="G25" s="1583"/>
      <c r="H25" s="1583"/>
      <c r="I25" s="1584"/>
    </row>
  </sheetData>
  <mergeCells count="42">
    <mergeCell ref="A1:I1"/>
    <mergeCell ref="A3:C3"/>
    <mergeCell ref="E3:F3"/>
    <mergeCell ref="G3:I3"/>
    <mergeCell ref="A4:A7"/>
    <mergeCell ref="B4:C4"/>
    <mergeCell ref="G4:I4"/>
    <mergeCell ref="B5:C5"/>
    <mergeCell ref="G5:I5"/>
    <mergeCell ref="B6:C6"/>
    <mergeCell ref="G6:I6"/>
    <mergeCell ref="B7:C7"/>
    <mergeCell ref="G7:I7"/>
    <mergeCell ref="G8:I8"/>
    <mergeCell ref="A10:A16"/>
    <mergeCell ref="B10:B13"/>
    <mergeCell ref="G10:I10"/>
    <mergeCell ref="G11:I11"/>
    <mergeCell ref="G12:I12"/>
    <mergeCell ref="G13:I13"/>
    <mergeCell ref="G14:I14"/>
    <mergeCell ref="B15:B16"/>
    <mergeCell ref="G15:I15"/>
    <mergeCell ref="G16:I16"/>
    <mergeCell ref="A9:C9"/>
    <mergeCell ref="G9:I9"/>
    <mergeCell ref="B8:C8"/>
    <mergeCell ref="A17:C17"/>
    <mergeCell ref="G17:I17"/>
    <mergeCell ref="A18:C18"/>
    <mergeCell ref="G18:I18"/>
    <mergeCell ref="A19:C19"/>
    <mergeCell ref="G19:I19"/>
    <mergeCell ref="A24:C24"/>
    <mergeCell ref="A25:C25"/>
    <mergeCell ref="G25:I25"/>
    <mergeCell ref="A20:C20"/>
    <mergeCell ref="G20:I20"/>
    <mergeCell ref="A21:B23"/>
    <mergeCell ref="C21:C22"/>
    <mergeCell ref="G22:I22"/>
    <mergeCell ref="G23:I23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scale="81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indexed="23"/>
  </sheetPr>
  <dimension ref="A1:I165"/>
  <sheetViews>
    <sheetView workbookViewId="0">
      <selection sqref="A1:I1"/>
    </sheetView>
  </sheetViews>
  <sheetFormatPr defaultRowHeight="21.75" customHeight="1"/>
  <cols>
    <col min="1" max="1" width="3.77734375" style="312" customWidth="1"/>
    <col min="2" max="2" width="4.5546875" style="312" customWidth="1"/>
    <col min="3" max="3" width="9" style="312" customWidth="1"/>
    <col min="4" max="4" width="12.33203125" style="312" customWidth="1"/>
    <col min="5" max="5" width="6.33203125" style="312" customWidth="1"/>
    <col min="6" max="6" width="8.5546875" style="312" customWidth="1"/>
    <col min="7" max="7" width="10.33203125" style="312" customWidth="1"/>
    <col min="8" max="8" width="9" style="312" customWidth="1"/>
    <col min="9" max="9" width="12.5546875" style="312" customWidth="1"/>
    <col min="10" max="10" width="13.109375" style="312" customWidth="1"/>
    <col min="11" max="256" width="8.88671875" style="312"/>
    <col min="257" max="257" width="3.77734375" style="312" customWidth="1"/>
    <col min="258" max="258" width="4.5546875" style="312" customWidth="1"/>
    <col min="259" max="259" width="9" style="312" customWidth="1"/>
    <col min="260" max="260" width="12.33203125" style="312" customWidth="1"/>
    <col min="261" max="261" width="6.33203125" style="312" customWidth="1"/>
    <col min="262" max="262" width="8.5546875" style="312" customWidth="1"/>
    <col min="263" max="263" width="10.33203125" style="312" customWidth="1"/>
    <col min="264" max="264" width="9" style="312" customWidth="1"/>
    <col min="265" max="265" width="12.5546875" style="312" customWidth="1"/>
    <col min="266" max="266" width="13.109375" style="312" customWidth="1"/>
    <col min="267" max="512" width="8.88671875" style="312"/>
    <col min="513" max="513" width="3.77734375" style="312" customWidth="1"/>
    <col min="514" max="514" width="4.5546875" style="312" customWidth="1"/>
    <col min="515" max="515" width="9" style="312" customWidth="1"/>
    <col min="516" max="516" width="12.33203125" style="312" customWidth="1"/>
    <col min="517" max="517" width="6.33203125" style="312" customWidth="1"/>
    <col min="518" max="518" width="8.5546875" style="312" customWidth="1"/>
    <col min="519" max="519" width="10.33203125" style="312" customWidth="1"/>
    <col min="520" max="520" width="9" style="312" customWidth="1"/>
    <col min="521" max="521" width="12.5546875" style="312" customWidth="1"/>
    <col min="522" max="522" width="13.109375" style="312" customWidth="1"/>
    <col min="523" max="768" width="8.88671875" style="312"/>
    <col min="769" max="769" width="3.77734375" style="312" customWidth="1"/>
    <col min="770" max="770" width="4.5546875" style="312" customWidth="1"/>
    <col min="771" max="771" width="9" style="312" customWidth="1"/>
    <col min="772" max="772" width="12.33203125" style="312" customWidth="1"/>
    <col min="773" max="773" width="6.33203125" style="312" customWidth="1"/>
    <col min="774" max="774" width="8.5546875" style="312" customWidth="1"/>
    <col min="775" max="775" width="10.33203125" style="312" customWidth="1"/>
    <col min="776" max="776" width="9" style="312" customWidth="1"/>
    <col min="777" max="777" width="12.5546875" style="312" customWidth="1"/>
    <col min="778" max="778" width="13.109375" style="312" customWidth="1"/>
    <col min="779" max="1024" width="8.88671875" style="312"/>
    <col min="1025" max="1025" width="3.77734375" style="312" customWidth="1"/>
    <col min="1026" max="1026" width="4.5546875" style="312" customWidth="1"/>
    <col min="1027" max="1027" width="9" style="312" customWidth="1"/>
    <col min="1028" max="1028" width="12.33203125" style="312" customWidth="1"/>
    <col min="1029" max="1029" width="6.33203125" style="312" customWidth="1"/>
    <col min="1030" max="1030" width="8.5546875" style="312" customWidth="1"/>
    <col min="1031" max="1031" width="10.33203125" style="312" customWidth="1"/>
    <col min="1032" max="1032" width="9" style="312" customWidth="1"/>
    <col min="1033" max="1033" width="12.5546875" style="312" customWidth="1"/>
    <col min="1034" max="1034" width="13.109375" style="312" customWidth="1"/>
    <col min="1035" max="1280" width="8.88671875" style="312"/>
    <col min="1281" max="1281" width="3.77734375" style="312" customWidth="1"/>
    <col min="1282" max="1282" width="4.5546875" style="312" customWidth="1"/>
    <col min="1283" max="1283" width="9" style="312" customWidth="1"/>
    <col min="1284" max="1284" width="12.33203125" style="312" customWidth="1"/>
    <col min="1285" max="1285" width="6.33203125" style="312" customWidth="1"/>
    <col min="1286" max="1286" width="8.5546875" style="312" customWidth="1"/>
    <col min="1287" max="1287" width="10.33203125" style="312" customWidth="1"/>
    <col min="1288" max="1288" width="9" style="312" customWidth="1"/>
    <col min="1289" max="1289" width="12.5546875" style="312" customWidth="1"/>
    <col min="1290" max="1290" width="13.109375" style="312" customWidth="1"/>
    <col min="1291" max="1536" width="8.88671875" style="312"/>
    <col min="1537" max="1537" width="3.77734375" style="312" customWidth="1"/>
    <col min="1538" max="1538" width="4.5546875" style="312" customWidth="1"/>
    <col min="1539" max="1539" width="9" style="312" customWidth="1"/>
    <col min="1540" max="1540" width="12.33203125" style="312" customWidth="1"/>
    <col min="1541" max="1541" width="6.33203125" style="312" customWidth="1"/>
    <col min="1542" max="1542" width="8.5546875" style="312" customWidth="1"/>
    <col min="1543" max="1543" width="10.33203125" style="312" customWidth="1"/>
    <col min="1544" max="1544" width="9" style="312" customWidth="1"/>
    <col min="1545" max="1545" width="12.5546875" style="312" customWidth="1"/>
    <col min="1546" max="1546" width="13.109375" style="312" customWidth="1"/>
    <col min="1547" max="1792" width="8.88671875" style="312"/>
    <col min="1793" max="1793" width="3.77734375" style="312" customWidth="1"/>
    <col min="1794" max="1794" width="4.5546875" style="312" customWidth="1"/>
    <col min="1795" max="1795" width="9" style="312" customWidth="1"/>
    <col min="1796" max="1796" width="12.33203125" style="312" customWidth="1"/>
    <col min="1797" max="1797" width="6.33203125" style="312" customWidth="1"/>
    <col min="1798" max="1798" width="8.5546875" style="312" customWidth="1"/>
    <col min="1799" max="1799" width="10.33203125" style="312" customWidth="1"/>
    <col min="1800" max="1800" width="9" style="312" customWidth="1"/>
    <col min="1801" max="1801" width="12.5546875" style="312" customWidth="1"/>
    <col min="1802" max="1802" width="13.109375" style="312" customWidth="1"/>
    <col min="1803" max="2048" width="8.88671875" style="312"/>
    <col min="2049" max="2049" width="3.77734375" style="312" customWidth="1"/>
    <col min="2050" max="2050" width="4.5546875" style="312" customWidth="1"/>
    <col min="2051" max="2051" width="9" style="312" customWidth="1"/>
    <col min="2052" max="2052" width="12.33203125" style="312" customWidth="1"/>
    <col min="2053" max="2053" width="6.33203125" style="312" customWidth="1"/>
    <col min="2054" max="2054" width="8.5546875" style="312" customWidth="1"/>
    <col min="2055" max="2055" width="10.33203125" style="312" customWidth="1"/>
    <col min="2056" max="2056" width="9" style="312" customWidth="1"/>
    <col min="2057" max="2057" width="12.5546875" style="312" customWidth="1"/>
    <col min="2058" max="2058" width="13.109375" style="312" customWidth="1"/>
    <col min="2059" max="2304" width="8.88671875" style="312"/>
    <col min="2305" max="2305" width="3.77734375" style="312" customWidth="1"/>
    <col min="2306" max="2306" width="4.5546875" style="312" customWidth="1"/>
    <col min="2307" max="2307" width="9" style="312" customWidth="1"/>
    <col min="2308" max="2308" width="12.33203125" style="312" customWidth="1"/>
    <col min="2309" max="2309" width="6.33203125" style="312" customWidth="1"/>
    <col min="2310" max="2310" width="8.5546875" style="312" customWidth="1"/>
    <col min="2311" max="2311" width="10.33203125" style="312" customWidth="1"/>
    <col min="2312" max="2312" width="9" style="312" customWidth="1"/>
    <col min="2313" max="2313" width="12.5546875" style="312" customWidth="1"/>
    <col min="2314" max="2314" width="13.109375" style="312" customWidth="1"/>
    <col min="2315" max="2560" width="8.88671875" style="312"/>
    <col min="2561" max="2561" width="3.77734375" style="312" customWidth="1"/>
    <col min="2562" max="2562" width="4.5546875" style="312" customWidth="1"/>
    <col min="2563" max="2563" width="9" style="312" customWidth="1"/>
    <col min="2564" max="2564" width="12.33203125" style="312" customWidth="1"/>
    <col min="2565" max="2565" width="6.33203125" style="312" customWidth="1"/>
    <col min="2566" max="2566" width="8.5546875" style="312" customWidth="1"/>
    <col min="2567" max="2567" width="10.33203125" style="312" customWidth="1"/>
    <col min="2568" max="2568" width="9" style="312" customWidth="1"/>
    <col min="2569" max="2569" width="12.5546875" style="312" customWidth="1"/>
    <col min="2570" max="2570" width="13.109375" style="312" customWidth="1"/>
    <col min="2571" max="2816" width="8.88671875" style="312"/>
    <col min="2817" max="2817" width="3.77734375" style="312" customWidth="1"/>
    <col min="2818" max="2818" width="4.5546875" style="312" customWidth="1"/>
    <col min="2819" max="2819" width="9" style="312" customWidth="1"/>
    <col min="2820" max="2820" width="12.33203125" style="312" customWidth="1"/>
    <col min="2821" max="2821" width="6.33203125" style="312" customWidth="1"/>
    <col min="2822" max="2822" width="8.5546875" style="312" customWidth="1"/>
    <col min="2823" max="2823" width="10.33203125" style="312" customWidth="1"/>
    <col min="2824" max="2824" width="9" style="312" customWidth="1"/>
    <col min="2825" max="2825" width="12.5546875" style="312" customWidth="1"/>
    <col min="2826" max="2826" width="13.109375" style="312" customWidth="1"/>
    <col min="2827" max="3072" width="8.88671875" style="312"/>
    <col min="3073" max="3073" width="3.77734375" style="312" customWidth="1"/>
    <col min="3074" max="3074" width="4.5546875" style="312" customWidth="1"/>
    <col min="3075" max="3075" width="9" style="312" customWidth="1"/>
    <col min="3076" max="3076" width="12.33203125" style="312" customWidth="1"/>
    <col min="3077" max="3077" width="6.33203125" style="312" customWidth="1"/>
    <col min="3078" max="3078" width="8.5546875" style="312" customWidth="1"/>
    <col min="3079" max="3079" width="10.33203125" style="312" customWidth="1"/>
    <col min="3080" max="3080" width="9" style="312" customWidth="1"/>
    <col min="3081" max="3081" width="12.5546875" style="312" customWidth="1"/>
    <col min="3082" max="3082" width="13.109375" style="312" customWidth="1"/>
    <col min="3083" max="3328" width="8.88671875" style="312"/>
    <col min="3329" max="3329" width="3.77734375" style="312" customWidth="1"/>
    <col min="3330" max="3330" width="4.5546875" style="312" customWidth="1"/>
    <col min="3331" max="3331" width="9" style="312" customWidth="1"/>
    <col min="3332" max="3332" width="12.33203125" style="312" customWidth="1"/>
    <col min="3333" max="3333" width="6.33203125" style="312" customWidth="1"/>
    <col min="3334" max="3334" width="8.5546875" style="312" customWidth="1"/>
    <col min="3335" max="3335" width="10.33203125" style="312" customWidth="1"/>
    <col min="3336" max="3336" width="9" style="312" customWidth="1"/>
    <col min="3337" max="3337" width="12.5546875" style="312" customWidth="1"/>
    <col min="3338" max="3338" width="13.109375" style="312" customWidth="1"/>
    <col min="3339" max="3584" width="8.88671875" style="312"/>
    <col min="3585" max="3585" width="3.77734375" style="312" customWidth="1"/>
    <col min="3586" max="3586" width="4.5546875" style="312" customWidth="1"/>
    <col min="3587" max="3587" width="9" style="312" customWidth="1"/>
    <col min="3588" max="3588" width="12.33203125" style="312" customWidth="1"/>
    <col min="3589" max="3589" width="6.33203125" style="312" customWidth="1"/>
    <col min="3590" max="3590" width="8.5546875" style="312" customWidth="1"/>
    <col min="3591" max="3591" width="10.33203125" style="312" customWidth="1"/>
    <col min="3592" max="3592" width="9" style="312" customWidth="1"/>
    <col min="3593" max="3593" width="12.5546875" style="312" customWidth="1"/>
    <col min="3594" max="3594" width="13.109375" style="312" customWidth="1"/>
    <col min="3595" max="3840" width="8.88671875" style="312"/>
    <col min="3841" max="3841" width="3.77734375" style="312" customWidth="1"/>
    <col min="3842" max="3842" width="4.5546875" style="312" customWidth="1"/>
    <col min="3843" max="3843" width="9" style="312" customWidth="1"/>
    <col min="3844" max="3844" width="12.33203125" style="312" customWidth="1"/>
    <col min="3845" max="3845" width="6.33203125" style="312" customWidth="1"/>
    <col min="3846" max="3846" width="8.5546875" style="312" customWidth="1"/>
    <col min="3847" max="3847" width="10.33203125" style="312" customWidth="1"/>
    <col min="3848" max="3848" width="9" style="312" customWidth="1"/>
    <col min="3849" max="3849" width="12.5546875" style="312" customWidth="1"/>
    <col min="3850" max="3850" width="13.109375" style="312" customWidth="1"/>
    <col min="3851" max="4096" width="8.88671875" style="312"/>
    <col min="4097" max="4097" width="3.77734375" style="312" customWidth="1"/>
    <col min="4098" max="4098" width="4.5546875" style="312" customWidth="1"/>
    <col min="4099" max="4099" width="9" style="312" customWidth="1"/>
    <col min="4100" max="4100" width="12.33203125" style="312" customWidth="1"/>
    <col min="4101" max="4101" width="6.33203125" style="312" customWidth="1"/>
    <col min="4102" max="4102" width="8.5546875" style="312" customWidth="1"/>
    <col min="4103" max="4103" width="10.33203125" style="312" customWidth="1"/>
    <col min="4104" max="4104" width="9" style="312" customWidth="1"/>
    <col min="4105" max="4105" width="12.5546875" style="312" customWidth="1"/>
    <col min="4106" max="4106" width="13.109375" style="312" customWidth="1"/>
    <col min="4107" max="4352" width="8.88671875" style="312"/>
    <col min="4353" max="4353" width="3.77734375" style="312" customWidth="1"/>
    <col min="4354" max="4354" width="4.5546875" style="312" customWidth="1"/>
    <col min="4355" max="4355" width="9" style="312" customWidth="1"/>
    <col min="4356" max="4356" width="12.33203125" style="312" customWidth="1"/>
    <col min="4357" max="4357" width="6.33203125" style="312" customWidth="1"/>
    <col min="4358" max="4358" width="8.5546875" style="312" customWidth="1"/>
    <col min="4359" max="4359" width="10.33203125" style="312" customWidth="1"/>
    <col min="4360" max="4360" width="9" style="312" customWidth="1"/>
    <col min="4361" max="4361" width="12.5546875" style="312" customWidth="1"/>
    <col min="4362" max="4362" width="13.109375" style="312" customWidth="1"/>
    <col min="4363" max="4608" width="8.88671875" style="312"/>
    <col min="4609" max="4609" width="3.77734375" style="312" customWidth="1"/>
    <col min="4610" max="4610" width="4.5546875" style="312" customWidth="1"/>
    <col min="4611" max="4611" width="9" style="312" customWidth="1"/>
    <col min="4612" max="4612" width="12.33203125" style="312" customWidth="1"/>
    <col min="4613" max="4613" width="6.33203125" style="312" customWidth="1"/>
    <col min="4614" max="4614" width="8.5546875" style="312" customWidth="1"/>
    <col min="4615" max="4615" width="10.33203125" style="312" customWidth="1"/>
    <col min="4616" max="4616" width="9" style="312" customWidth="1"/>
    <col min="4617" max="4617" width="12.5546875" style="312" customWidth="1"/>
    <col min="4618" max="4618" width="13.109375" style="312" customWidth="1"/>
    <col min="4619" max="4864" width="8.88671875" style="312"/>
    <col min="4865" max="4865" width="3.77734375" style="312" customWidth="1"/>
    <col min="4866" max="4866" width="4.5546875" style="312" customWidth="1"/>
    <col min="4867" max="4867" width="9" style="312" customWidth="1"/>
    <col min="4868" max="4868" width="12.33203125" style="312" customWidth="1"/>
    <col min="4869" max="4869" width="6.33203125" style="312" customWidth="1"/>
    <col min="4870" max="4870" width="8.5546875" style="312" customWidth="1"/>
    <col min="4871" max="4871" width="10.33203125" style="312" customWidth="1"/>
    <col min="4872" max="4872" width="9" style="312" customWidth="1"/>
    <col min="4873" max="4873" width="12.5546875" style="312" customWidth="1"/>
    <col min="4874" max="4874" width="13.109375" style="312" customWidth="1"/>
    <col min="4875" max="5120" width="8.88671875" style="312"/>
    <col min="5121" max="5121" width="3.77734375" style="312" customWidth="1"/>
    <col min="5122" max="5122" width="4.5546875" style="312" customWidth="1"/>
    <col min="5123" max="5123" width="9" style="312" customWidth="1"/>
    <col min="5124" max="5124" width="12.33203125" style="312" customWidth="1"/>
    <col min="5125" max="5125" width="6.33203125" style="312" customWidth="1"/>
    <col min="5126" max="5126" width="8.5546875" style="312" customWidth="1"/>
    <col min="5127" max="5127" width="10.33203125" style="312" customWidth="1"/>
    <col min="5128" max="5128" width="9" style="312" customWidth="1"/>
    <col min="5129" max="5129" width="12.5546875" style="312" customWidth="1"/>
    <col min="5130" max="5130" width="13.109375" style="312" customWidth="1"/>
    <col min="5131" max="5376" width="8.88671875" style="312"/>
    <col min="5377" max="5377" width="3.77734375" style="312" customWidth="1"/>
    <col min="5378" max="5378" width="4.5546875" style="312" customWidth="1"/>
    <col min="5379" max="5379" width="9" style="312" customWidth="1"/>
    <col min="5380" max="5380" width="12.33203125" style="312" customWidth="1"/>
    <col min="5381" max="5381" width="6.33203125" style="312" customWidth="1"/>
    <col min="5382" max="5382" width="8.5546875" style="312" customWidth="1"/>
    <col min="5383" max="5383" width="10.33203125" style="312" customWidth="1"/>
    <col min="5384" max="5384" width="9" style="312" customWidth="1"/>
    <col min="5385" max="5385" width="12.5546875" style="312" customWidth="1"/>
    <col min="5386" max="5386" width="13.109375" style="312" customWidth="1"/>
    <col min="5387" max="5632" width="8.88671875" style="312"/>
    <col min="5633" max="5633" width="3.77734375" style="312" customWidth="1"/>
    <col min="5634" max="5634" width="4.5546875" style="312" customWidth="1"/>
    <col min="5635" max="5635" width="9" style="312" customWidth="1"/>
    <col min="5636" max="5636" width="12.33203125" style="312" customWidth="1"/>
    <col min="5637" max="5637" width="6.33203125" style="312" customWidth="1"/>
    <col min="5638" max="5638" width="8.5546875" style="312" customWidth="1"/>
    <col min="5639" max="5639" width="10.33203125" style="312" customWidth="1"/>
    <col min="5640" max="5640" width="9" style="312" customWidth="1"/>
    <col min="5641" max="5641" width="12.5546875" style="312" customWidth="1"/>
    <col min="5642" max="5642" width="13.109375" style="312" customWidth="1"/>
    <col min="5643" max="5888" width="8.88671875" style="312"/>
    <col min="5889" max="5889" width="3.77734375" style="312" customWidth="1"/>
    <col min="5890" max="5890" width="4.5546875" style="312" customWidth="1"/>
    <col min="5891" max="5891" width="9" style="312" customWidth="1"/>
    <col min="5892" max="5892" width="12.33203125" style="312" customWidth="1"/>
    <col min="5893" max="5893" width="6.33203125" style="312" customWidth="1"/>
    <col min="5894" max="5894" width="8.5546875" style="312" customWidth="1"/>
    <col min="5895" max="5895" width="10.33203125" style="312" customWidth="1"/>
    <col min="5896" max="5896" width="9" style="312" customWidth="1"/>
    <col min="5897" max="5897" width="12.5546875" style="312" customWidth="1"/>
    <col min="5898" max="5898" width="13.109375" style="312" customWidth="1"/>
    <col min="5899" max="6144" width="8.88671875" style="312"/>
    <col min="6145" max="6145" width="3.77734375" style="312" customWidth="1"/>
    <col min="6146" max="6146" width="4.5546875" style="312" customWidth="1"/>
    <col min="6147" max="6147" width="9" style="312" customWidth="1"/>
    <col min="6148" max="6148" width="12.33203125" style="312" customWidth="1"/>
    <col min="6149" max="6149" width="6.33203125" style="312" customWidth="1"/>
    <col min="6150" max="6150" width="8.5546875" style="312" customWidth="1"/>
    <col min="6151" max="6151" width="10.33203125" style="312" customWidth="1"/>
    <col min="6152" max="6152" width="9" style="312" customWidth="1"/>
    <col min="6153" max="6153" width="12.5546875" style="312" customWidth="1"/>
    <col min="6154" max="6154" width="13.109375" style="312" customWidth="1"/>
    <col min="6155" max="6400" width="8.88671875" style="312"/>
    <col min="6401" max="6401" width="3.77734375" style="312" customWidth="1"/>
    <col min="6402" max="6402" width="4.5546875" style="312" customWidth="1"/>
    <col min="6403" max="6403" width="9" style="312" customWidth="1"/>
    <col min="6404" max="6404" width="12.33203125" style="312" customWidth="1"/>
    <col min="6405" max="6405" width="6.33203125" style="312" customWidth="1"/>
    <col min="6406" max="6406" width="8.5546875" style="312" customWidth="1"/>
    <col min="6407" max="6407" width="10.33203125" style="312" customWidth="1"/>
    <col min="6408" max="6408" width="9" style="312" customWidth="1"/>
    <col min="6409" max="6409" width="12.5546875" style="312" customWidth="1"/>
    <col min="6410" max="6410" width="13.109375" style="312" customWidth="1"/>
    <col min="6411" max="6656" width="8.88671875" style="312"/>
    <col min="6657" max="6657" width="3.77734375" style="312" customWidth="1"/>
    <col min="6658" max="6658" width="4.5546875" style="312" customWidth="1"/>
    <col min="6659" max="6659" width="9" style="312" customWidth="1"/>
    <col min="6660" max="6660" width="12.33203125" style="312" customWidth="1"/>
    <col min="6661" max="6661" width="6.33203125" style="312" customWidth="1"/>
    <col min="6662" max="6662" width="8.5546875" style="312" customWidth="1"/>
    <col min="6663" max="6663" width="10.33203125" style="312" customWidth="1"/>
    <col min="6664" max="6664" width="9" style="312" customWidth="1"/>
    <col min="6665" max="6665" width="12.5546875" style="312" customWidth="1"/>
    <col min="6666" max="6666" width="13.109375" style="312" customWidth="1"/>
    <col min="6667" max="6912" width="8.88671875" style="312"/>
    <col min="6913" max="6913" width="3.77734375" style="312" customWidth="1"/>
    <col min="6914" max="6914" width="4.5546875" style="312" customWidth="1"/>
    <col min="6915" max="6915" width="9" style="312" customWidth="1"/>
    <col min="6916" max="6916" width="12.33203125" style="312" customWidth="1"/>
    <col min="6917" max="6917" width="6.33203125" style="312" customWidth="1"/>
    <col min="6918" max="6918" width="8.5546875" style="312" customWidth="1"/>
    <col min="6919" max="6919" width="10.33203125" style="312" customWidth="1"/>
    <col min="6920" max="6920" width="9" style="312" customWidth="1"/>
    <col min="6921" max="6921" width="12.5546875" style="312" customWidth="1"/>
    <col min="6922" max="6922" width="13.109375" style="312" customWidth="1"/>
    <col min="6923" max="7168" width="8.88671875" style="312"/>
    <col min="7169" max="7169" width="3.77734375" style="312" customWidth="1"/>
    <col min="7170" max="7170" width="4.5546875" style="312" customWidth="1"/>
    <col min="7171" max="7171" width="9" style="312" customWidth="1"/>
    <col min="7172" max="7172" width="12.33203125" style="312" customWidth="1"/>
    <col min="7173" max="7173" width="6.33203125" style="312" customWidth="1"/>
    <col min="7174" max="7174" width="8.5546875" style="312" customWidth="1"/>
    <col min="7175" max="7175" width="10.33203125" style="312" customWidth="1"/>
    <col min="7176" max="7176" width="9" style="312" customWidth="1"/>
    <col min="7177" max="7177" width="12.5546875" style="312" customWidth="1"/>
    <col min="7178" max="7178" width="13.109375" style="312" customWidth="1"/>
    <col min="7179" max="7424" width="8.88671875" style="312"/>
    <col min="7425" max="7425" width="3.77734375" style="312" customWidth="1"/>
    <col min="7426" max="7426" width="4.5546875" style="312" customWidth="1"/>
    <col min="7427" max="7427" width="9" style="312" customWidth="1"/>
    <col min="7428" max="7428" width="12.33203125" style="312" customWidth="1"/>
    <col min="7429" max="7429" width="6.33203125" style="312" customWidth="1"/>
    <col min="7430" max="7430" width="8.5546875" style="312" customWidth="1"/>
    <col min="7431" max="7431" width="10.33203125" style="312" customWidth="1"/>
    <col min="7432" max="7432" width="9" style="312" customWidth="1"/>
    <col min="7433" max="7433" width="12.5546875" style="312" customWidth="1"/>
    <col min="7434" max="7434" width="13.109375" style="312" customWidth="1"/>
    <col min="7435" max="7680" width="8.88671875" style="312"/>
    <col min="7681" max="7681" width="3.77734375" style="312" customWidth="1"/>
    <col min="7682" max="7682" width="4.5546875" style="312" customWidth="1"/>
    <col min="7683" max="7683" width="9" style="312" customWidth="1"/>
    <col min="7684" max="7684" width="12.33203125" style="312" customWidth="1"/>
    <col min="7685" max="7685" width="6.33203125" style="312" customWidth="1"/>
    <col min="7686" max="7686" width="8.5546875" style="312" customWidth="1"/>
    <col min="7687" max="7687" width="10.33203125" style="312" customWidth="1"/>
    <col min="7688" max="7688" width="9" style="312" customWidth="1"/>
    <col min="7689" max="7689" width="12.5546875" style="312" customWidth="1"/>
    <col min="7690" max="7690" width="13.109375" style="312" customWidth="1"/>
    <col min="7691" max="7936" width="8.88671875" style="312"/>
    <col min="7937" max="7937" width="3.77734375" style="312" customWidth="1"/>
    <col min="7938" max="7938" width="4.5546875" style="312" customWidth="1"/>
    <col min="7939" max="7939" width="9" style="312" customWidth="1"/>
    <col min="7940" max="7940" width="12.33203125" style="312" customWidth="1"/>
    <col min="7941" max="7941" width="6.33203125" style="312" customWidth="1"/>
    <col min="7942" max="7942" width="8.5546875" style="312" customWidth="1"/>
    <col min="7943" max="7943" width="10.33203125" style="312" customWidth="1"/>
    <col min="7944" max="7944" width="9" style="312" customWidth="1"/>
    <col min="7945" max="7945" width="12.5546875" style="312" customWidth="1"/>
    <col min="7946" max="7946" width="13.109375" style="312" customWidth="1"/>
    <col min="7947" max="8192" width="8.88671875" style="312"/>
    <col min="8193" max="8193" width="3.77734375" style="312" customWidth="1"/>
    <col min="8194" max="8194" width="4.5546875" style="312" customWidth="1"/>
    <col min="8195" max="8195" width="9" style="312" customWidth="1"/>
    <col min="8196" max="8196" width="12.33203125" style="312" customWidth="1"/>
    <col min="8197" max="8197" width="6.33203125" style="312" customWidth="1"/>
    <col min="8198" max="8198" width="8.5546875" style="312" customWidth="1"/>
    <col min="8199" max="8199" width="10.33203125" style="312" customWidth="1"/>
    <col min="8200" max="8200" width="9" style="312" customWidth="1"/>
    <col min="8201" max="8201" width="12.5546875" style="312" customWidth="1"/>
    <col min="8202" max="8202" width="13.109375" style="312" customWidth="1"/>
    <col min="8203" max="8448" width="8.88671875" style="312"/>
    <col min="8449" max="8449" width="3.77734375" style="312" customWidth="1"/>
    <col min="8450" max="8450" width="4.5546875" style="312" customWidth="1"/>
    <col min="8451" max="8451" width="9" style="312" customWidth="1"/>
    <col min="8452" max="8452" width="12.33203125" style="312" customWidth="1"/>
    <col min="8453" max="8453" width="6.33203125" style="312" customWidth="1"/>
    <col min="8454" max="8454" width="8.5546875" style="312" customWidth="1"/>
    <col min="8455" max="8455" width="10.33203125" style="312" customWidth="1"/>
    <col min="8456" max="8456" width="9" style="312" customWidth="1"/>
    <col min="8457" max="8457" width="12.5546875" style="312" customWidth="1"/>
    <col min="8458" max="8458" width="13.109375" style="312" customWidth="1"/>
    <col min="8459" max="8704" width="8.88671875" style="312"/>
    <col min="8705" max="8705" width="3.77734375" style="312" customWidth="1"/>
    <col min="8706" max="8706" width="4.5546875" style="312" customWidth="1"/>
    <col min="8707" max="8707" width="9" style="312" customWidth="1"/>
    <col min="8708" max="8708" width="12.33203125" style="312" customWidth="1"/>
    <col min="8709" max="8709" width="6.33203125" style="312" customWidth="1"/>
    <col min="8710" max="8710" width="8.5546875" style="312" customWidth="1"/>
    <col min="8711" max="8711" width="10.33203125" style="312" customWidth="1"/>
    <col min="8712" max="8712" width="9" style="312" customWidth="1"/>
    <col min="8713" max="8713" width="12.5546875" style="312" customWidth="1"/>
    <col min="8714" max="8714" width="13.109375" style="312" customWidth="1"/>
    <col min="8715" max="8960" width="8.88671875" style="312"/>
    <col min="8961" max="8961" width="3.77734375" style="312" customWidth="1"/>
    <col min="8962" max="8962" width="4.5546875" style="312" customWidth="1"/>
    <col min="8963" max="8963" width="9" style="312" customWidth="1"/>
    <col min="8964" max="8964" width="12.33203125" style="312" customWidth="1"/>
    <col min="8965" max="8965" width="6.33203125" style="312" customWidth="1"/>
    <col min="8966" max="8966" width="8.5546875" style="312" customWidth="1"/>
    <col min="8967" max="8967" width="10.33203125" style="312" customWidth="1"/>
    <col min="8968" max="8968" width="9" style="312" customWidth="1"/>
    <col min="8969" max="8969" width="12.5546875" style="312" customWidth="1"/>
    <col min="8970" max="8970" width="13.109375" style="312" customWidth="1"/>
    <col min="8971" max="9216" width="8.88671875" style="312"/>
    <col min="9217" max="9217" width="3.77734375" style="312" customWidth="1"/>
    <col min="9218" max="9218" width="4.5546875" style="312" customWidth="1"/>
    <col min="9219" max="9219" width="9" style="312" customWidth="1"/>
    <col min="9220" max="9220" width="12.33203125" style="312" customWidth="1"/>
    <col min="9221" max="9221" width="6.33203125" style="312" customWidth="1"/>
    <col min="9222" max="9222" width="8.5546875" style="312" customWidth="1"/>
    <col min="9223" max="9223" width="10.33203125" style="312" customWidth="1"/>
    <col min="9224" max="9224" width="9" style="312" customWidth="1"/>
    <col min="9225" max="9225" width="12.5546875" style="312" customWidth="1"/>
    <col min="9226" max="9226" width="13.109375" style="312" customWidth="1"/>
    <col min="9227" max="9472" width="8.88671875" style="312"/>
    <col min="9473" max="9473" width="3.77734375" style="312" customWidth="1"/>
    <col min="9474" max="9474" width="4.5546875" style="312" customWidth="1"/>
    <col min="9475" max="9475" width="9" style="312" customWidth="1"/>
    <col min="9476" max="9476" width="12.33203125" style="312" customWidth="1"/>
    <col min="9477" max="9477" width="6.33203125" style="312" customWidth="1"/>
    <col min="9478" max="9478" width="8.5546875" style="312" customWidth="1"/>
    <col min="9479" max="9479" width="10.33203125" style="312" customWidth="1"/>
    <col min="9480" max="9480" width="9" style="312" customWidth="1"/>
    <col min="9481" max="9481" width="12.5546875" style="312" customWidth="1"/>
    <col min="9482" max="9482" width="13.109375" style="312" customWidth="1"/>
    <col min="9483" max="9728" width="8.88671875" style="312"/>
    <col min="9729" max="9729" width="3.77734375" style="312" customWidth="1"/>
    <col min="9730" max="9730" width="4.5546875" style="312" customWidth="1"/>
    <col min="9731" max="9731" width="9" style="312" customWidth="1"/>
    <col min="9732" max="9732" width="12.33203125" style="312" customWidth="1"/>
    <col min="9733" max="9733" width="6.33203125" style="312" customWidth="1"/>
    <col min="9734" max="9734" width="8.5546875" style="312" customWidth="1"/>
    <col min="9735" max="9735" width="10.33203125" style="312" customWidth="1"/>
    <col min="9736" max="9736" width="9" style="312" customWidth="1"/>
    <col min="9737" max="9737" width="12.5546875" style="312" customWidth="1"/>
    <col min="9738" max="9738" width="13.109375" style="312" customWidth="1"/>
    <col min="9739" max="9984" width="8.88671875" style="312"/>
    <col min="9985" max="9985" width="3.77734375" style="312" customWidth="1"/>
    <col min="9986" max="9986" width="4.5546875" style="312" customWidth="1"/>
    <col min="9987" max="9987" width="9" style="312" customWidth="1"/>
    <col min="9988" max="9988" width="12.33203125" style="312" customWidth="1"/>
    <col min="9989" max="9989" width="6.33203125" style="312" customWidth="1"/>
    <col min="9990" max="9990" width="8.5546875" style="312" customWidth="1"/>
    <col min="9991" max="9991" width="10.33203125" style="312" customWidth="1"/>
    <col min="9992" max="9992" width="9" style="312" customWidth="1"/>
    <col min="9993" max="9993" width="12.5546875" style="312" customWidth="1"/>
    <col min="9994" max="9994" width="13.109375" style="312" customWidth="1"/>
    <col min="9995" max="10240" width="8.88671875" style="312"/>
    <col min="10241" max="10241" width="3.77734375" style="312" customWidth="1"/>
    <col min="10242" max="10242" width="4.5546875" style="312" customWidth="1"/>
    <col min="10243" max="10243" width="9" style="312" customWidth="1"/>
    <col min="10244" max="10244" width="12.33203125" style="312" customWidth="1"/>
    <col min="10245" max="10245" width="6.33203125" style="312" customWidth="1"/>
    <col min="10246" max="10246" width="8.5546875" style="312" customWidth="1"/>
    <col min="10247" max="10247" width="10.33203125" style="312" customWidth="1"/>
    <col min="10248" max="10248" width="9" style="312" customWidth="1"/>
    <col min="10249" max="10249" width="12.5546875" style="312" customWidth="1"/>
    <col min="10250" max="10250" width="13.109375" style="312" customWidth="1"/>
    <col min="10251" max="10496" width="8.88671875" style="312"/>
    <col min="10497" max="10497" width="3.77734375" style="312" customWidth="1"/>
    <col min="10498" max="10498" width="4.5546875" style="312" customWidth="1"/>
    <col min="10499" max="10499" width="9" style="312" customWidth="1"/>
    <col min="10500" max="10500" width="12.33203125" style="312" customWidth="1"/>
    <col min="10501" max="10501" width="6.33203125" style="312" customWidth="1"/>
    <col min="10502" max="10502" width="8.5546875" style="312" customWidth="1"/>
    <col min="10503" max="10503" width="10.33203125" style="312" customWidth="1"/>
    <col min="10504" max="10504" width="9" style="312" customWidth="1"/>
    <col min="10505" max="10505" width="12.5546875" style="312" customWidth="1"/>
    <col min="10506" max="10506" width="13.109375" style="312" customWidth="1"/>
    <col min="10507" max="10752" width="8.88671875" style="312"/>
    <col min="10753" max="10753" width="3.77734375" style="312" customWidth="1"/>
    <col min="10754" max="10754" width="4.5546875" style="312" customWidth="1"/>
    <col min="10755" max="10755" width="9" style="312" customWidth="1"/>
    <col min="10756" max="10756" width="12.33203125" style="312" customWidth="1"/>
    <col min="10757" max="10757" width="6.33203125" style="312" customWidth="1"/>
    <col min="10758" max="10758" width="8.5546875" style="312" customWidth="1"/>
    <col min="10759" max="10759" width="10.33203125" style="312" customWidth="1"/>
    <col min="10760" max="10760" width="9" style="312" customWidth="1"/>
    <col min="10761" max="10761" width="12.5546875" style="312" customWidth="1"/>
    <col min="10762" max="10762" width="13.109375" style="312" customWidth="1"/>
    <col min="10763" max="11008" width="8.88671875" style="312"/>
    <col min="11009" max="11009" width="3.77734375" style="312" customWidth="1"/>
    <col min="11010" max="11010" width="4.5546875" style="312" customWidth="1"/>
    <col min="11011" max="11011" width="9" style="312" customWidth="1"/>
    <col min="11012" max="11012" width="12.33203125" style="312" customWidth="1"/>
    <col min="11013" max="11013" width="6.33203125" style="312" customWidth="1"/>
    <col min="11014" max="11014" width="8.5546875" style="312" customWidth="1"/>
    <col min="11015" max="11015" width="10.33203125" style="312" customWidth="1"/>
    <col min="11016" max="11016" width="9" style="312" customWidth="1"/>
    <col min="11017" max="11017" width="12.5546875" style="312" customWidth="1"/>
    <col min="11018" max="11018" width="13.109375" style="312" customWidth="1"/>
    <col min="11019" max="11264" width="8.88671875" style="312"/>
    <col min="11265" max="11265" width="3.77734375" style="312" customWidth="1"/>
    <col min="11266" max="11266" width="4.5546875" style="312" customWidth="1"/>
    <col min="11267" max="11267" width="9" style="312" customWidth="1"/>
    <col min="11268" max="11268" width="12.33203125" style="312" customWidth="1"/>
    <col min="11269" max="11269" width="6.33203125" style="312" customWidth="1"/>
    <col min="11270" max="11270" width="8.5546875" style="312" customWidth="1"/>
    <col min="11271" max="11271" width="10.33203125" style="312" customWidth="1"/>
    <col min="11272" max="11272" width="9" style="312" customWidth="1"/>
    <col min="11273" max="11273" width="12.5546875" style="312" customWidth="1"/>
    <col min="11274" max="11274" width="13.109375" style="312" customWidth="1"/>
    <col min="11275" max="11520" width="8.88671875" style="312"/>
    <col min="11521" max="11521" width="3.77734375" style="312" customWidth="1"/>
    <col min="11522" max="11522" width="4.5546875" style="312" customWidth="1"/>
    <col min="11523" max="11523" width="9" style="312" customWidth="1"/>
    <col min="11524" max="11524" width="12.33203125" style="312" customWidth="1"/>
    <col min="11525" max="11525" width="6.33203125" style="312" customWidth="1"/>
    <col min="11526" max="11526" width="8.5546875" style="312" customWidth="1"/>
    <col min="11527" max="11527" width="10.33203125" style="312" customWidth="1"/>
    <col min="11528" max="11528" width="9" style="312" customWidth="1"/>
    <col min="11529" max="11529" width="12.5546875" style="312" customWidth="1"/>
    <col min="11530" max="11530" width="13.109375" style="312" customWidth="1"/>
    <col min="11531" max="11776" width="8.88671875" style="312"/>
    <col min="11777" max="11777" width="3.77734375" style="312" customWidth="1"/>
    <col min="11778" max="11778" width="4.5546875" style="312" customWidth="1"/>
    <col min="11779" max="11779" width="9" style="312" customWidth="1"/>
    <col min="11780" max="11780" width="12.33203125" style="312" customWidth="1"/>
    <col min="11781" max="11781" width="6.33203125" style="312" customWidth="1"/>
    <col min="11782" max="11782" width="8.5546875" style="312" customWidth="1"/>
    <col min="11783" max="11783" width="10.33203125" style="312" customWidth="1"/>
    <col min="11784" max="11784" width="9" style="312" customWidth="1"/>
    <col min="11785" max="11785" width="12.5546875" style="312" customWidth="1"/>
    <col min="11786" max="11786" width="13.109375" style="312" customWidth="1"/>
    <col min="11787" max="12032" width="8.88671875" style="312"/>
    <col min="12033" max="12033" width="3.77734375" style="312" customWidth="1"/>
    <col min="12034" max="12034" width="4.5546875" style="312" customWidth="1"/>
    <col min="12035" max="12035" width="9" style="312" customWidth="1"/>
    <col min="12036" max="12036" width="12.33203125" style="312" customWidth="1"/>
    <col min="12037" max="12037" width="6.33203125" style="312" customWidth="1"/>
    <col min="12038" max="12038" width="8.5546875" style="312" customWidth="1"/>
    <col min="12039" max="12039" width="10.33203125" style="312" customWidth="1"/>
    <col min="12040" max="12040" width="9" style="312" customWidth="1"/>
    <col min="12041" max="12041" width="12.5546875" style="312" customWidth="1"/>
    <col min="12042" max="12042" width="13.109375" style="312" customWidth="1"/>
    <col min="12043" max="12288" width="8.88671875" style="312"/>
    <col min="12289" max="12289" width="3.77734375" style="312" customWidth="1"/>
    <col min="12290" max="12290" width="4.5546875" style="312" customWidth="1"/>
    <col min="12291" max="12291" width="9" style="312" customWidth="1"/>
    <col min="12292" max="12292" width="12.33203125" style="312" customWidth="1"/>
    <col min="12293" max="12293" width="6.33203125" style="312" customWidth="1"/>
    <col min="12294" max="12294" width="8.5546875" style="312" customWidth="1"/>
    <col min="12295" max="12295" width="10.33203125" style="312" customWidth="1"/>
    <col min="12296" max="12296" width="9" style="312" customWidth="1"/>
    <col min="12297" max="12297" width="12.5546875" style="312" customWidth="1"/>
    <col min="12298" max="12298" width="13.109375" style="312" customWidth="1"/>
    <col min="12299" max="12544" width="8.88671875" style="312"/>
    <col min="12545" max="12545" width="3.77734375" style="312" customWidth="1"/>
    <col min="12546" max="12546" width="4.5546875" style="312" customWidth="1"/>
    <col min="12547" max="12547" width="9" style="312" customWidth="1"/>
    <col min="12548" max="12548" width="12.33203125" style="312" customWidth="1"/>
    <col min="12549" max="12549" width="6.33203125" style="312" customWidth="1"/>
    <col min="12550" max="12550" width="8.5546875" style="312" customWidth="1"/>
    <col min="12551" max="12551" width="10.33203125" style="312" customWidth="1"/>
    <col min="12552" max="12552" width="9" style="312" customWidth="1"/>
    <col min="12553" max="12553" width="12.5546875" style="312" customWidth="1"/>
    <col min="12554" max="12554" width="13.109375" style="312" customWidth="1"/>
    <col min="12555" max="12800" width="8.88671875" style="312"/>
    <col min="12801" max="12801" width="3.77734375" style="312" customWidth="1"/>
    <col min="12802" max="12802" width="4.5546875" style="312" customWidth="1"/>
    <col min="12803" max="12803" width="9" style="312" customWidth="1"/>
    <col min="12804" max="12804" width="12.33203125" style="312" customWidth="1"/>
    <col min="12805" max="12805" width="6.33203125" style="312" customWidth="1"/>
    <col min="12806" max="12806" width="8.5546875" style="312" customWidth="1"/>
    <col min="12807" max="12807" width="10.33203125" style="312" customWidth="1"/>
    <col min="12808" max="12808" width="9" style="312" customWidth="1"/>
    <col min="12809" max="12809" width="12.5546875" style="312" customWidth="1"/>
    <col min="12810" max="12810" width="13.109375" style="312" customWidth="1"/>
    <col min="12811" max="13056" width="8.88671875" style="312"/>
    <col min="13057" max="13057" width="3.77734375" style="312" customWidth="1"/>
    <col min="13058" max="13058" width="4.5546875" style="312" customWidth="1"/>
    <col min="13059" max="13059" width="9" style="312" customWidth="1"/>
    <col min="13060" max="13060" width="12.33203125" style="312" customWidth="1"/>
    <col min="13061" max="13061" width="6.33203125" style="312" customWidth="1"/>
    <col min="13062" max="13062" width="8.5546875" style="312" customWidth="1"/>
    <col min="13063" max="13063" width="10.33203125" style="312" customWidth="1"/>
    <col min="13064" max="13064" width="9" style="312" customWidth="1"/>
    <col min="13065" max="13065" width="12.5546875" style="312" customWidth="1"/>
    <col min="13066" max="13066" width="13.109375" style="312" customWidth="1"/>
    <col min="13067" max="13312" width="8.88671875" style="312"/>
    <col min="13313" max="13313" width="3.77734375" style="312" customWidth="1"/>
    <col min="13314" max="13314" width="4.5546875" style="312" customWidth="1"/>
    <col min="13315" max="13315" width="9" style="312" customWidth="1"/>
    <col min="13316" max="13316" width="12.33203125" style="312" customWidth="1"/>
    <col min="13317" max="13317" width="6.33203125" style="312" customWidth="1"/>
    <col min="13318" max="13318" width="8.5546875" style="312" customWidth="1"/>
    <col min="13319" max="13319" width="10.33203125" style="312" customWidth="1"/>
    <col min="13320" max="13320" width="9" style="312" customWidth="1"/>
    <col min="13321" max="13321" width="12.5546875" style="312" customWidth="1"/>
    <col min="13322" max="13322" width="13.109375" style="312" customWidth="1"/>
    <col min="13323" max="13568" width="8.88671875" style="312"/>
    <col min="13569" max="13569" width="3.77734375" style="312" customWidth="1"/>
    <col min="13570" max="13570" width="4.5546875" style="312" customWidth="1"/>
    <col min="13571" max="13571" width="9" style="312" customWidth="1"/>
    <col min="13572" max="13572" width="12.33203125" style="312" customWidth="1"/>
    <col min="13573" max="13573" width="6.33203125" style="312" customWidth="1"/>
    <col min="13574" max="13574" width="8.5546875" style="312" customWidth="1"/>
    <col min="13575" max="13575" width="10.33203125" style="312" customWidth="1"/>
    <col min="13576" max="13576" width="9" style="312" customWidth="1"/>
    <col min="13577" max="13577" width="12.5546875" style="312" customWidth="1"/>
    <col min="13578" max="13578" width="13.109375" style="312" customWidth="1"/>
    <col min="13579" max="13824" width="8.88671875" style="312"/>
    <col min="13825" max="13825" width="3.77734375" style="312" customWidth="1"/>
    <col min="13826" max="13826" width="4.5546875" style="312" customWidth="1"/>
    <col min="13827" max="13827" width="9" style="312" customWidth="1"/>
    <col min="13828" max="13828" width="12.33203125" style="312" customWidth="1"/>
    <col min="13829" max="13829" width="6.33203125" style="312" customWidth="1"/>
    <col min="13830" max="13830" width="8.5546875" style="312" customWidth="1"/>
    <col min="13831" max="13831" width="10.33203125" style="312" customWidth="1"/>
    <col min="13832" max="13832" width="9" style="312" customWidth="1"/>
    <col min="13833" max="13833" width="12.5546875" style="312" customWidth="1"/>
    <col min="13834" max="13834" width="13.109375" style="312" customWidth="1"/>
    <col min="13835" max="14080" width="8.88671875" style="312"/>
    <col min="14081" max="14081" width="3.77734375" style="312" customWidth="1"/>
    <col min="14082" max="14082" width="4.5546875" style="312" customWidth="1"/>
    <col min="14083" max="14083" width="9" style="312" customWidth="1"/>
    <col min="14084" max="14084" width="12.33203125" style="312" customWidth="1"/>
    <col min="14085" max="14085" width="6.33203125" style="312" customWidth="1"/>
    <col min="14086" max="14086" width="8.5546875" style="312" customWidth="1"/>
    <col min="14087" max="14087" width="10.33203125" style="312" customWidth="1"/>
    <col min="14088" max="14088" width="9" style="312" customWidth="1"/>
    <col min="14089" max="14089" width="12.5546875" style="312" customWidth="1"/>
    <col min="14090" max="14090" width="13.109375" style="312" customWidth="1"/>
    <col min="14091" max="14336" width="8.88671875" style="312"/>
    <col min="14337" max="14337" width="3.77734375" style="312" customWidth="1"/>
    <col min="14338" max="14338" width="4.5546875" style="312" customWidth="1"/>
    <col min="14339" max="14339" width="9" style="312" customWidth="1"/>
    <col min="14340" max="14340" width="12.33203125" style="312" customWidth="1"/>
    <col min="14341" max="14341" width="6.33203125" style="312" customWidth="1"/>
    <col min="14342" max="14342" width="8.5546875" style="312" customWidth="1"/>
    <col min="14343" max="14343" width="10.33203125" style="312" customWidth="1"/>
    <col min="14344" max="14344" width="9" style="312" customWidth="1"/>
    <col min="14345" max="14345" width="12.5546875" style="312" customWidth="1"/>
    <col min="14346" max="14346" width="13.109375" style="312" customWidth="1"/>
    <col min="14347" max="14592" width="8.88671875" style="312"/>
    <col min="14593" max="14593" width="3.77734375" style="312" customWidth="1"/>
    <col min="14594" max="14594" width="4.5546875" style="312" customWidth="1"/>
    <col min="14595" max="14595" width="9" style="312" customWidth="1"/>
    <col min="14596" max="14596" width="12.33203125" style="312" customWidth="1"/>
    <col min="14597" max="14597" width="6.33203125" style="312" customWidth="1"/>
    <col min="14598" max="14598" width="8.5546875" style="312" customWidth="1"/>
    <col min="14599" max="14599" width="10.33203125" style="312" customWidth="1"/>
    <col min="14600" max="14600" width="9" style="312" customWidth="1"/>
    <col min="14601" max="14601" width="12.5546875" style="312" customWidth="1"/>
    <col min="14602" max="14602" width="13.109375" style="312" customWidth="1"/>
    <col min="14603" max="14848" width="8.88671875" style="312"/>
    <col min="14849" max="14849" width="3.77734375" style="312" customWidth="1"/>
    <col min="14850" max="14850" width="4.5546875" style="312" customWidth="1"/>
    <col min="14851" max="14851" width="9" style="312" customWidth="1"/>
    <col min="14852" max="14852" width="12.33203125" style="312" customWidth="1"/>
    <col min="14853" max="14853" width="6.33203125" style="312" customWidth="1"/>
    <col min="14854" max="14854" width="8.5546875" style="312" customWidth="1"/>
    <col min="14855" max="14855" width="10.33203125" style="312" customWidth="1"/>
    <col min="14856" max="14856" width="9" style="312" customWidth="1"/>
    <col min="14857" max="14857" width="12.5546875" style="312" customWidth="1"/>
    <col min="14858" max="14858" width="13.109375" style="312" customWidth="1"/>
    <col min="14859" max="15104" width="8.88671875" style="312"/>
    <col min="15105" max="15105" width="3.77734375" style="312" customWidth="1"/>
    <col min="15106" max="15106" width="4.5546875" style="312" customWidth="1"/>
    <col min="15107" max="15107" width="9" style="312" customWidth="1"/>
    <col min="15108" max="15108" width="12.33203125" style="312" customWidth="1"/>
    <col min="15109" max="15109" width="6.33203125" style="312" customWidth="1"/>
    <col min="15110" max="15110" width="8.5546875" style="312" customWidth="1"/>
    <col min="15111" max="15111" width="10.33203125" style="312" customWidth="1"/>
    <col min="15112" max="15112" width="9" style="312" customWidth="1"/>
    <col min="15113" max="15113" width="12.5546875" style="312" customWidth="1"/>
    <col min="15114" max="15114" width="13.109375" style="312" customWidth="1"/>
    <col min="15115" max="15360" width="8.88671875" style="312"/>
    <col min="15361" max="15361" width="3.77734375" style="312" customWidth="1"/>
    <col min="15362" max="15362" width="4.5546875" style="312" customWidth="1"/>
    <col min="15363" max="15363" width="9" style="312" customWidth="1"/>
    <col min="15364" max="15364" width="12.33203125" style="312" customWidth="1"/>
    <col min="15365" max="15365" width="6.33203125" style="312" customWidth="1"/>
    <col min="15366" max="15366" width="8.5546875" style="312" customWidth="1"/>
    <col min="15367" max="15367" width="10.33203125" style="312" customWidth="1"/>
    <col min="15368" max="15368" width="9" style="312" customWidth="1"/>
    <col min="15369" max="15369" width="12.5546875" style="312" customWidth="1"/>
    <col min="15370" max="15370" width="13.109375" style="312" customWidth="1"/>
    <col min="15371" max="15616" width="8.88671875" style="312"/>
    <col min="15617" max="15617" width="3.77734375" style="312" customWidth="1"/>
    <col min="15618" max="15618" width="4.5546875" style="312" customWidth="1"/>
    <col min="15619" max="15619" width="9" style="312" customWidth="1"/>
    <col min="15620" max="15620" width="12.33203125" style="312" customWidth="1"/>
    <col min="15621" max="15621" width="6.33203125" style="312" customWidth="1"/>
    <col min="15622" max="15622" width="8.5546875" style="312" customWidth="1"/>
    <col min="15623" max="15623" width="10.33203125" style="312" customWidth="1"/>
    <col min="15624" max="15624" width="9" style="312" customWidth="1"/>
    <col min="15625" max="15625" width="12.5546875" style="312" customWidth="1"/>
    <col min="15626" max="15626" width="13.109375" style="312" customWidth="1"/>
    <col min="15627" max="15872" width="8.88671875" style="312"/>
    <col min="15873" max="15873" width="3.77734375" style="312" customWidth="1"/>
    <col min="15874" max="15874" width="4.5546875" style="312" customWidth="1"/>
    <col min="15875" max="15875" width="9" style="312" customWidth="1"/>
    <col min="15876" max="15876" width="12.33203125" style="312" customWidth="1"/>
    <col min="15877" max="15877" width="6.33203125" style="312" customWidth="1"/>
    <col min="15878" max="15878" width="8.5546875" style="312" customWidth="1"/>
    <col min="15879" max="15879" width="10.33203125" style="312" customWidth="1"/>
    <col min="15880" max="15880" width="9" style="312" customWidth="1"/>
    <col min="15881" max="15881" width="12.5546875" style="312" customWidth="1"/>
    <col min="15882" max="15882" width="13.109375" style="312" customWidth="1"/>
    <col min="15883" max="16128" width="8.88671875" style="312"/>
    <col min="16129" max="16129" width="3.77734375" style="312" customWidth="1"/>
    <col min="16130" max="16130" width="4.5546875" style="312" customWidth="1"/>
    <col min="16131" max="16131" width="9" style="312" customWidth="1"/>
    <col min="16132" max="16132" width="12.33203125" style="312" customWidth="1"/>
    <col min="16133" max="16133" width="6.33203125" style="312" customWidth="1"/>
    <col min="16134" max="16134" width="8.5546875" style="312" customWidth="1"/>
    <col min="16135" max="16135" width="10.33203125" style="312" customWidth="1"/>
    <col min="16136" max="16136" width="9" style="312" customWidth="1"/>
    <col min="16137" max="16137" width="12.5546875" style="312" customWidth="1"/>
    <col min="16138" max="16138" width="13.109375" style="312" customWidth="1"/>
    <col min="16139" max="16384" width="8.88671875" style="312"/>
  </cols>
  <sheetData>
    <row r="1" spans="1:9" s="342" customFormat="1" ht="21.75" customHeight="1">
      <c r="A1" s="1635" t="s">
        <v>272</v>
      </c>
      <c r="B1" s="1635"/>
      <c r="C1" s="1635"/>
      <c r="D1" s="1635"/>
      <c r="E1" s="1635"/>
      <c r="F1" s="1635"/>
      <c r="G1" s="1635"/>
      <c r="H1" s="1635"/>
      <c r="I1" s="1635"/>
    </row>
    <row r="2" spans="1:9" ht="30.95" customHeight="1">
      <c r="A2" s="313"/>
      <c r="B2" s="313"/>
      <c r="C2" s="313"/>
      <c r="D2" s="313"/>
      <c r="E2" s="313"/>
      <c r="F2" s="313"/>
      <c r="G2" s="313"/>
      <c r="H2" s="313"/>
      <c r="I2" s="343"/>
    </row>
    <row r="3" spans="1:9" ht="34.700000000000003" customHeight="1">
      <c r="A3" s="1636" t="s">
        <v>543</v>
      </c>
      <c r="B3" s="1637"/>
      <c r="C3" s="1637"/>
      <c r="D3" s="314" t="s">
        <v>97</v>
      </c>
      <c r="E3" s="314" t="s">
        <v>98</v>
      </c>
      <c r="F3" s="314" t="s">
        <v>233</v>
      </c>
      <c r="G3" s="314" t="s">
        <v>99</v>
      </c>
      <c r="H3" s="314" t="s">
        <v>100</v>
      </c>
      <c r="I3" s="344" t="s">
        <v>22</v>
      </c>
    </row>
    <row r="4" spans="1:9" ht="20.45" customHeight="1">
      <c r="A4" s="1638" t="s">
        <v>101</v>
      </c>
      <c r="B4" s="1631" t="s">
        <v>102</v>
      </c>
      <c r="C4" s="1631"/>
      <c r="D4" s="345" t="s">
        <v>544</v>
      </c>
      <c r="E4" s="345" t="s">
        <v>15</v>
      </c>
      <c r="F4" s="345"/>
      <c r="G4" s="346">
        <f>'특2호맨홀단위수량(보도측)'!E4</f>
        <v>0.52100000000000002</v>
      </c>
      <c r="H4" s="346">
        <f>G4</f>
        <v>0.52100000000000002</v>
      </c>
      <c r="I4" s="347"/>
    </row>
    <row r="5" spans="1:9" ht="15" customHeight="1">
      <c r="A5" s="1627"/>
      <c r="B5" s="1615" t="s">
        <v>103</v>
      </c>
      <c r="C5" s="1615" t="s">
        <v>2</v>
      </c>
      <c r="D5" s="1619" t="s">
        <v>544</v>
      </c>
      <c r="E5" s="1615" t="s">
        <v>15</v>
      </c>
      <c r="F5" s="1622">
        <v>2.63</v>
      </c>
      <c r="G5" s="348">
        <f>'특2호맨홀단위수량(보도측)'!E5</f>
        <v>1.45</v>
      </c>
      <c r="H5" s="1616">
        <f>G6</f>
        <v>3.8140000000000001</v>
      </c>
      <c r="I5" s="1620"/>
    </row>
    <row r="6" spans="1:9" ht="15" customHeight="1">
      <c r="A6" s="1627"/>
      <c r="B6" s="1615"/>
      <c r="C6" s="1615"/>
      <c r="D6" s="1619"/>
      <c r="E6" s="1615"/>
      <c r="F6" s="1615"/>
      <c r="G6" s="349">
        <f>ROUND(F5*G5,3)</f>
        <v>3.8140000000000001</v>
      </c>
      <c r="H6" s="1616"/>
      <c r="I6" s="1620"/>
    </row>
    <row r="7" spans="1:9" ht="23.45" customHeight="1">
      <c r="A7" s="1627"/>
      <c r="B7" s="1615"/>
      <c r="C7" s="332" t="s">
        <v>3</v>
      </c>
      <c r="D7" s="350" t="s">
        <v>544</v>
      </c>
      <c r="E7" s="332" t="s">
        <v>15</v>
      </c>
      <c r="F7" s="332"/>
      <c r="G7" s="351">
        <f>'특2호맨홀단위수량(보도측)'!E6</f>
        <v>1.2</v>
      </c>
      <c r="H7" s="351">
        <f>ROUND(G7,3)</f>
        <v>1.2</v>
      </c>
      <c r="I7" s="352"/>
    </row>
    <row r="8" spans="1:9" ht="23.45" customHeight="1">
      <c r="A8" s="1627"/>
      <c r="B8" s="1615" t="s">
        <v>104</v>
      </c>
      <c r="C8" s="1615"/>
      <c r="D8" s="332"/>
      <c r="E8" s="332"/>
      <c r="F8" s="332"/>
      <c r="G8" s="351"/>
      <c r="H8" s="351">
        <f>SUM(H4:H7)</f>
        <v>5.5350000000000001</v>
      </c>
      <c r="I8" s="353"/>
    </row>
    <row r="9" spans="1:9" ht="23.45" customHeight="1">
      <c r="A9" s="1627"/>
      <c r="B9" s="1615" t="s">
        <v>545</v>
      </c>
      <c r="C9" s="1615"/>
      <c r="D9" s="332" t="s">
        <v>469</v>
      </c>
      <c r="E9" s="332" t="s">
        <v>15</v>
      </c>
      <c r="F9" s="332"/>
      <c r="G9" s="351">
        <f>'특2호맨홀단위수량(보도측)'!E7</f>
        <v>0.48399999999999999</v>
      </c>
      <c r="H9" s="351">
        <f t="shared" ref="H9:H14" si="0">G9</f>
        <v>0.48399999999999999</v>
      </c>
      <c r="I9" s="353"/>
    </row>
    <row r="10" spans="1:9" ht="27" customHeight="1">
      <c r="A10" s="354" t="s">
        <v>546</v>
      </c>
      <c r="B10" s="1619" t="s">
        <v>547</v>
      </c>
      <c r="C10" s="1615"/>
      <c r="D10" s="350" t="s">
        <v>548</v>
      </c>
      <c r="E10" s="332" t="s">
        <v>15</v>
      </c>
      <c r="F10" s="332"/>
      <c r="G10" s="351">
        <f>'특2호맨홀단위수량(보도측)'!E8</f>
        <v>3.5999999999999997E-2</v>
      </c>
      <c r="H10" s="351">
        <f t="shared" si="0"/>
        <v>3.5999999999999997E-2</v>
      </c>
      <c r="I10" s="352"/>
    </row>
    <row r="11" spans="1:9" ht="23.45" customHeight="1">
      <c r="A11" s="1617" t="s">
        <v>439</v>
      </c>
      <c r="B11" s="1615"/>
      <c r="C11" s="1615"/>
      <c r="D11" s="355" t="s">
        <v>549</v>
      </c>
      <c r="E11" s="332" t="s">
        <v>15</v>
      </c>
      <c r="F11" s="332"/>
      <c r="G11" s="356">
        <f>'특2호맨홀단위수량(보도측)'!E9</f>
        <v>4.0000000000000001E-3</v>
      </c>
      <c r="H11" s="356">
        <f t="shared" si="0"/>
        <v>4.0000000000000001E-3</v>
      </c>
      <c r="I11" s="352"/>
    </row>
    <row r="12" spans="1:9" ht="20.25" customHeight="1">
      <c r="A12" s="1626" t="s">
        <v>120</v>
      </c>
      <c r="B12" s="1629" t="s">
        <v>121</v>
      </c>
      <c r="C12" s="332" t="s">
        <v>122</v>
      </c>
      <c r="D12" s="332" t="s">
        <v>106</v>
      </c>
      <c r="E12" s="332" t="s">
        <v>19</v>
      </c>
      <c r="F12" s="332"/>
      <c r="G12" s="351">
        <f>'특2호맨홀단위수량(보도측)'!E10</f>
        <v>1.157</v>
      </c>
      <c r="H12" s="351">
        <f>G12</f>
        <v>1.157</v>
      </c>
      <c r="I12" s="352" t="s">
        <v>107</v>
      </c>
    </row>
    <row r="13" spans="1:9" ht="20.25" customHeight="1">
      <c r="A13" s="1627"/>
      <c r="B13" s="1630"/>
      <c r="C13" s="332" t="s">
        <v>122</v>
      </c>
      <c r="D13" s="332" t="s">
        <v>106</v>
      </c>
      <c r="E13" s="332" t="s">
        <v>19</v>
      </c>
      <c r="F13" s="332"/>
      <c r="G13" s="351">
        <f>'특2호맨홀단위수량(보도측)'!E11</f>
        <v>1.36</v>
      </c>
      <c r="H13" s="351">
        <f t="shared" si="0"/>
        <v>1.36</v>
      </c>
      <c r="I13" s="352" t="s">
        <v>124</v>
      </c>
    </row>
    <row r="14" spans="1:9" ht="20.25" customHeight="1">
      <c r="A14" s="1627"/>
      <c r="B14" s="1630"/>
      <c r="C14" s="332" t="s">
        <v>125</v>
      </c>
      <c r="D14" s="332" t="s">
        <v>106</v>
      </c>
      <c r="E14" s="332" t="s">
        <v>19</v>
      </c>
      <c r="F14" s="332"/>
      <c r="G14" s="351">
        <f>'특2호맨홀단위수량(보도측)'!E12</f>
        <v>2.4</v>
      </c>
      <c r="H14" s="351">
        <f t="shared" si="0"/>
        <v>2.4</v>
      </c>
      <c r="I14" s="352"/>
    </row>
    <row r="15" spans="1:9" ht="20.25" customHeight="1">
      <c r="A15" s="1627"/>
      <c r="B15" s="1630"/>
      <c r="C15" s="1615" t="s">
        <v>108</v>
      </c>
      <c r="D15" s="1629" t="s">
        <v>106</v>
      </c>
      <c r="E15" s="1615" t="s">
        <v>19</v>
      </c>
      <c r="F15" s="1615">
        <f>F5</f>
        <v>2.63</v>
      </c>
      <c r="G15" s="348">
        <f>'특2호맨홀단위수량(차도측)'!E13</f>
        <v>11.6</v>
      </c>
      <c r="H15" s="1616">
        <f>G16</f>
        <v>30.507999999999999</v>
      </c>
      <c r="I15" s="1620"/>
    </row>
    <row r="16" spans="1:9" ht="20.25" customHeight="1">
      <c r="A16" s="1627"/>
      <c r="B16" s="1630"/>
      <c r="C16" s="1615"/>
      <c r="D16" s="1631"/>
      <c r="E16" s="1615"/>
      <c r="F16" s="1615"/>
      <c r="G16" s="349">
        <f>ROUND(F15*G15,3)</f>
        <v>30.507999999999999</v>
      </c>
      <c r="H16" s="1616"/>
      <c r="I16" s="1620"/>
    </row>
    <row r="17" spans="1:9" ht="20.25" customHeight="1">
      <c r="A17" s="1627"/>
      <c r="B17" s="1631"/>
      <c r="C17" s="332" t="s">
        <v>110</v>
      </c>
      <c r="D17" s="332" t="s">
        <v>111</v>
      </c>
      <c r="E17" s="332"/>
      <c r="F17" s="332"/>
      <c r="G17" s="351"/>
      <c r="H17" s="351">
        <f>SUM(H12:H16)</f>
        <v>35.424999999999997</v>
      </c>
      <c r="I17" s="352"/>
    </row>
    <row r="18" spans="1:9" ht="20.25" customHeight="1">
      <c r="A18" s="1627"/>
      <c r="B18" s="357" t="s">
        <v>121</v>
      </c>
      <c r="C18" s="332" t="s">
        <v>550</v>
      </c>
      <c r="D18" s="332" t="s">
        <v>551</v>
      </c>
      <c r="E18" s="332" t="s">
        <v>19</v>
      </c>
      <c r="F18" s="332"/>
      <c r="G18" s="351">
        <f>'특2호맨홀단위수량(보도측)'!E14</f>
        <v>0.88</v>
      </c>
      <c r="H18" s="351">
        <f>G18</f>
        <v>0.88</v>
      </c>
      <c r="I18" s="352"/>
    </row>
    <row r="19" spans="1:9" ht="20.25" customHeight="1">
      <c r="A19" s="1627"/>
      <c r="B19" s="1629" t="s">
        <v>552</v>
      </c>
      <c r="C19" s="332" t="s">
        <v>122</v>
      </c>
      <c r="D19" s="1634" t="s">
        <v>553</v>
      </c>
      <c r="E19" s="332" t="s">
        <v>19</v>
      </c>
      <c r="F19" s="332"/>
      <c r="G19" s="351">
        <f>'특2호맨홀단위수량(보도측)'!E15</f>
        <v>0.377</v>
      </c>
      <c r="H19" s="351">
        <f>G19</f>
        <v>0.377</v>
      </c>
      <c r="I19" s="352" t="s">
        <v>109</v>
      </c>
    </row>
    <row r="20" spans="1:9" ht="20.25" customHeight="1">
      <c r="A20" s="1627"/>
      <c r="B20" s="1632"/>
      <c r="C20" s="332" t="s">
        <v>14</v>
      </c>
      <c r="D20" s="1633"/>
      <c r="E20" s="332" t="s">
        <v>19</v>
      </c>
      <c r="F20" s="332"/>
      <c r="G20" s="351">
        <f>'특2호맨홀단위수량(보도측)'!E16</f>
        <v>0.44</v>
      </c>
      <c r="H20" s="351">
        <f>G20</f>
        <v>0.44</v>
      </c>
      <c r="I20" s="352"/>
    </row>
    <row r="21" spans="1:9" ht="20.25" customHeight="1">
      <c r="A21" s="1628"/>
      <c r="B21" s="1633"/>
      <c r="C21" s="332" t="s">
        <v>268</v>
      </c>
      <c r="D21" s="358"/>
      <c r="E21" s="332" t="s">
        <v>19</v>
      </c>
      <c r="F21" s="332"/>
      <c r="G21" s="351"/>
      <c r="H21" s="351">
        <f>SUM(H19:H20)</f>
        <v>0.81699999999999995</v>
      </c>
      <c r="I21" s="352"/>
    </row>
    <row r="22" spans="1:9" ht="14.25" customHeight="1">
      <c r="A22" s="1617" t="s">
        <v>4</v>
      </c>
      <c r="B22" s="1615"/>
      <c r="C22" s="1615"/>
      <c r="D22" s="1615" t="s">
        <v>126</v>
      </c>
      <c r="E22" s="1615" t="s">
        <v>112</v>
      </c>
      <c r="F22" s="1615">
        <f>F5-0.6</f>
        <v>2.0299999999999998</v>
      </c>
      <c r="G22" s="359">
        <f>F22</f>
        <v>2.0299999999999998</v>
      </c>
      <c r="H22" s="1625">
        <f>ROUNDUP(G22/G23,0)</f>
        <v>7</v>
      </c>
      <c r="I22" s="1621" t="s">
        <v>113</v>
      </c>
    </row>
    <row r="23" spans="1:9" ht="14.25" customHeight="1">
      <c r="A23" s="1617"/>
      <c r="B23" s="1615"/>
      <c r="C23" s="1615"/>
      <c r="D23" s="1615"/>
      <c r="E23" s="1615"/>
      <c r="F23" s="1615"/>
      <c r="G23" s="349">
        <v>0.3</v>
      </c>
      <c r="H23" s="1625"/>
      <c r="I23" s="1621"/>
    </row>
    <row r="24" spans="1:9" ht="14.25" customHeight="1">
      <c r="A24" s="1617" t="s">
        <v>114</v>
      </c>
      <c r="B24" s="1615"/>
      <c r="C24" s="1615"/>
      <c r="D24" s="1615" t="s">
        <v>115</v>
      </c>
      <c r="E24" s="1615" t="s">
        <v>116</v>
      </c>
      <c r="F24" s="1622">
        <f>F5</f>
        <v>2.63</v>
      </c>
      <c r="G24" s="359">
        <f>'특2호맨홀단위수량(보도측)'!E18</f>
        <v>1.157</v>
      </c>
      <c r="H24" s="1616">
        <f>G25</f>
        <v>3.0430000000000001</v>
      </c>
      <c r="I24" s="1623"/>
    </row>
    <row r="25" spans="1:9" ht="14.25" customHeight="1">
      <c r="A25" s="1617"/>
      <c r="B25" s="1615"/>
      <c r="C25" s="1615"/>
      <c r="D25" s="1615"/>
      <c r="E25" s="1615"/>
      <c r="F25" s="1615"/>
      <c r="G25" s="349">
        <f>ROUND(F24*G24,3)</f>
        <v>3.0430000000000001</v>
      </c>
      <c r="H25" s="1616"/>
      <c r="I25" s="1624"/>
    </row>
    <row r="26" spans="1:9" ht="14.25" customHeight="1">
      <c r="A26" s="1617" t="s">
        <v>554</v>
      </c>
      <c r="B26" s="1615"/>
      <c r="C26" s="1615"/>
      <c r="D26" s="1615" t="s">
        <v>117</v>
      </c>
      <c r="E26" s="1615" t="s">
        <v>19</v>
      </c>
      <c r="F26" s="1615">
        <f>F5</f>
        <v>2.63</v>
      </c>
      <c r="G26" s="359">
        <f>'특2호맨홀단위수량(보도측)'!E19</f>
        <v>4.8</v>
      </c>
      <c r="H26" s="1616">
        <f>G27</f>
        <v>12.624000000000001</v>
      </c>
      <c r="I26" s="1620"/>
    </row>
    <row r="27" spans="1:9" ht="14.25" customHeight="1">
      <c r="A27" s="1617"/>
      <c r="B27" s="1615"/>
      <c r="C27" s="1615"/>
      <c r="D27" s="1615"/>
      <c r="E27" s="1615"/>
      <c r="F27" s="1615"/>
      <c r="G27" s="349">
        <f>ROUND(F26*G26,3)</f>
        <v>12.624000000000001</v>
      </c>
      <c r="H27" s="1616"/>
      <c r="I27" s="1620"/>
    </row>
    <row r="28" spans="1:9" ht="23.45" customHeight="1">
      <c r="A28" s="1617" t="s">
        <v>555</v>
      </c>
      <c r="B28" s="1615"/>
      <c r="C28" s="1615"/>
      <c r="D28" s="332" t="s">
        <v>235</v>
      </c>
      <c r="E28" s="332" t="s">
        <v>19</v>
      </c>
      <c r="F28" s="332"/>
      <c r="G28" s="351">
        <f>'특2호맨홀단위수량(보도측)'!E20</f>
        <v>6.6070000000000002</v>
      </c>
      <c r="H28" s="351">
        <f>G28</f>
        <v>6.6070000000000002</v>
      </c>
      <c r="I28" s="352"/>
    </row>
    <row r="29" spans="1:9" ht="17.25" customHeight="1">
      <c r="A29" s="1618" t="s">
        <v>556</v>
      </c>
      <c r="B29" s="1619"/>
      <c r="C29" s="1615" t="s">
        <v>102</v>
      </c>
      <c r="D29" s="332" t="s">
        <v>557</v>
      </c>
      <c r="E29" s="332" t="s">
        <v>118</v>
      </c>
      <c r="F29" s="332"/>
      <c r="G29" s="351">
        <f>'특2호맨홀단위수량(보도측)'!E21</f>
        <v>0.01</v>
      </c>
      <c r="H29" s="351">
        <f>G29</f>
        <v>0.01</v>
      </c>
      <c r="I29" s="352"/>
    </row>
    <row r="30" spans="1:9" ht="17.25" customHeight="1">
      <c r="A30" s="1618"/>
      <c r="B30" s="1619"/>
      <c r="C30" s="1615"/>
      <c r="D30" s="332" t="s">
        <v>558</v>
      </c>
      <c r="E30" s="332" t="s">
        <v>118</v>
      </c>
      <c r="F30" s="332"/>
      <c r="G30" s="351">
        <f>'특2호맨홀단위수량(보도측)'!E22</f>
        <v>4.5999999999999999E-2</v>
      </c>
      <c r="H30" s="351">
        <f>G30</f>
        <v>4.5999999999999999E-2</v>
      </c>
      <c r="I30" s="352" t="s">
        <v>559</v>
      </c>
    </row>
    <row r="31" spans="1:9" ht="17.25" customHeight="1">
      <c r="A31" s="1618"/>
      <c r="B31" s="1619"/>
      <c r="C31" s="332" t="s">
        <v>560</v>
      </c>
      <c r="D31" s="332" t="s">
        <v>558</v>
      </c>
      <c r="E31" s="332" t="s">
        <v>118</v>
      </c>
      <c r="F31" s="360"/>
      <c r="G31" s="351">
        <f>+'특2호맨홀단위수량(보도측)'!E23</f>
        <v>0.27900000000000003</v>
      </c>
      <c r="H31" s="351">
        <f>G31</f>
        <v>0.27900000000000003</v>
      </c>
      <c r="I31" s="361">
        <f>SUM(H30:H31)</f>
        <v>0.32500000000000001</v>
      </c>
    </row>
    <row r="32" spans="1:9" ht="17.25" customHeight="1">
      <c r="A32" s="1618"/>
      <c r="B32" s="1619"/>
      <c r="C32" s="332" t="s">
        <v>104</v>
      </c>
      <c r="D32" s="332"/>
      <c r="E32" s="332"/>
      <c r="F32" s="332"/>
      <c r="G32" s="351"/>
      <c r="H32" s="351">
        <f>SUM(H29:H31)</f>
        <v>0.33500000000000002</v>
      </c>
      <c r="I32" s="352"/>
    </row>
    <row r="33" spans="1:9" ht="17.25" customHeight="1">
      <c r="A33" s="1610" t="s">
        <v>561</v>
      </c>
      <c r="B33" s="1611"/>
      <c r="C33" s="1612"/>
      <c r="D33" s="362" t="s">
        <v>562</v>
      </c>
      <c r="E33" s="332" t="s">
        <v>119</v>
      </c>
      <c r="F33" s="357"/>
      <c r="G33" s="363">
        <f>'특2호맨홀단위수량(보도측)'!E24</f>
        <v>3</v>
      </c>
      <c r="H33" s="363">
        <f>G33</f>
        <v>3</v>
      </c>
      <c r="I33" s="364"/>
    </row>
    <row r="34" spans="1:9" ht="17.25" customHeight="1">
      <c r="A34" s="1613" t="s">
        <v>241</v>
      </c>
      <c r="B34" s="1614"/>
      <c r="C34" s="1614"/>
      <c r="D34" s="365" t="s">
        <v>595</v>
      </c>
      <c r="E34" s="365" t="s">
        <v>119</v>
      </c>
      <c r="F34" s="365"/>
      <c r="G34" s="366">
        <f>'특2호맨홀단위수량(보도측)'!E25</f>
        <v>1</v>
      </c>
      <c r="H34" s="366">
        <f>G34</f>
        <v>1</v>
      </c>
      <c r="I34" s="367"/>
    </row>
    <row r="35" spans="1:9" ht="21.75" customHeight="1">
      <c r="G35" s="368"/>
      <c r="H35" s="368"/>
    </row>
    <row r="36" spans="1:9" ht="21.75" customHeight="1">
      <c r="G36" s="368"/>
      <c r="H36" s="368"/>
    </row>
    <row r="37" spans="1:9" ht="21.75" customHeight="1">
      <c r="G37" s="368"/>
      <c r="H37" s="368"/>
    </row>
    <row r="38" spans="1:9" ht="21.75" customHeight="1">
      <c r="G38" s="368"/>
      <c r="H38" s="368"/>
    </row>
    <row r="39" spans="1:9" ht="21.75" customHeight="1">
      <c r="G39" s="368"/>
      <c r="H39" s="368"/>
    </row>
    <row r="40" spans="1:9" ht="21.75" customHeight="1">
      <c r="G40" s="368"/>
      <c r="H40" s="368"/>
    </row>
    <row r="41" spans="1:9" ht="21.75" customHeight="1">
      <c r="G41" s="368"/>
      <c r="H41" s="368"/>
    </row>
    <row r="42" spans="1:9" ht="21.75" customHeight="1">
      <c r="G42" s="368"/>
      <c r="H42" s="368"/>
    </row>
    <row r="43" spans="1:9" ht="21.75" customHeight="1">
      <c r="G43" s="368"/>
      <c r="H43" s="368"/>
    </row>
    <row r="44" spans="1:9" ht="21.75" customHeight="1">
      <c r="G44" s="368"/>
      <c r="H44" s="368"/>
    </row>
    <row r="45" spans="1:9" ht="21.75" customHeight="1">
      <c r="G45" s="368"/>
      <c r="H45" s="368"/>
    </row>
    <row r="46" spans="1:9" ht="21.75" customHeight="1">
      <c r="G46" s="368"/>
      <c r="H46" s="368"/>
    </row>
    <row r="47" spans="1:9" ht="21.75" customHeight="1">
      <c r="G47" s="368"/>
      <c r="H47" s="368"/>
    </row>
    <row r="48" spans="1:9" ht="21.75" customHeight="1">
      <c r="G48" s="368"/>
      <c r="H48" s="368"/>
    </row>
    <row r="49" spans="7:8" ht="21.75" customHeight="1">
      <c r="G49" s="368"/>
      <c r="H49" s="368"/>
    </row>
    <row r="50" spans="7:8" ht="21.75" customHeight="1">
      <c r="G50" s="368"/>
      <c r="H50" s="368"/>
    </row>
    <row r="51" spans="7:8" ht="21.75" customHeight="1">
      <c r="G51" s="368"/>
      <c r="H51" s="368"/>
    </row>
    <row r="52" spans="7:8" ht="21.75" customHeight="1">
      <c r="G52" s="368"/>
      <c r="H52" s="368"/>
    </row>
    <row r="53" spans="7:8" ht="21.75" customHeight="1">
      <c r="G53" s="368"/>
      <c r="H53" s="368"/>
    </row>
    <row r="54" spans="7:8" ht="21.75" customHeight="1">
      <c r="G54" s="368"/>
      <c r="H54" s="368"/>
    </row>
    <row r="55" spans="7:8" ht="21.75" customHeight="1">
      <c r="G55" s="368"/>
      <c r="H55" s="368"/>
    </row>
    <row r="56" spans="7:8" ht="21.75" customHeight="1">
      <c r="G56" s="368"/>
      <c r="H56" s="368"/>
    </row>
    <row r="57" spans="7:8" ht="21.75" customHeight="1">
      <c r="G57" s="368"/>
      <c r="H57" s="368"/>
    </row>
    <row r="58" spans="7:8" ht="21.75" customHeight="1">
      <c r="G58" s="368"/>
      <c r="H58" s="368"/>
    </row>
    <row r="59" spans="7:8" ht="21.75" customHeight="1">
      <c r="G59" s="368"/>
      <c r="H59" s="368"/>
    </row>
    <row r="60" spans="7:8" ht="21.75" customHeight="1">
      <c r="G60" s="368"/>
      <c r="H60" s="368"/>
    </row>
    <row r="61" spans="7:8" ht="21.75" customHeight="1">
      <c r="G61" s="368"/>
      <c r="H61" s="368"/>
    </row>
    <row r="62" spans="7:8" ht="21.75" customHeight="1">
      <c r="G62" s="368"/>
      <c r="H62" s="368"/>
    </row>
    <row r="63" spans="7:8" ht="21.75" customHeight="1">
      <c r="G63" s="368"/>
      <c r="H63" s="368"/>
    </row>
    <row r="64" spans="7:8" ht="21.75" customHeight="1">
      <c r="G64" s="368"/>
      <c r="H64" s="368"/>
    </row>
    <row r="65" spans="7:8" ht="21.75" customHeight="1">
      <c r="G65" s="368"/>
      <c r="H65" s="368"/>
    </row>
    <row r="66" spans="7:8" ht="21.75" customHeight="1">
      <c r="G66" s="368"/>
      <c r="H66" s="368"/>
    </row>
    <row r="67" spans="7:8" ht="21.75" customHeight="1">
      <c r="G67" s="368"/>
      <c r="H67" s="368"/>
    </row>
    <row r="68" spans="7:8" ht="21.75" customHeight="1">
      <c r="G68" s="368"/>
      <c r="H68" s="368"/>
    </row>
    <row r="69" spans="7:8" ht="21.75" customHeight="1">
      <c r="G69" s="368"/>
      <c r="H69" s="368"/>
    </row>
    <row r="70" spans="7:8" ht="21.75" customHeight="1">
      <c r="G70" s="368"/>
      <c r="H70" s="368"/>
    </row>
    <row r="71" spans="7:8" ht="21.75" customHeight="1">
      <c r="G71" s="368"/>
      <c r="H71" s="368"/>
    </row>
    <row r="72" spans="7:8" ht="21.75" customHeight="1">
      <c r="G72" s="368"/>
      <c r="H72" s="368"/>
    </row>
    <row r="73" spans="7:8" ht="21.75" customHeight="1">
      <c r="G73" s="368"/>
      <c r="H73" s="368"/>
    </row>
    <row r="74" spans="7:8" ht="21.75" customHeight="1">
      <c r="G74" s="368"/>
      <c r="H74" s="368"/>
    </row>
    <row r="75" spans="7:8" ht="21.75" customHeight="1">
      <c r="G75" s="368"/>
      <c r="H75" s="368"/>
    </row>
    <row r="76" spans="7:8" ht="21.75" customHeight="1">
      <c r="G76" s="368"/>
      <c r="H76" s="368"/>
    </row>
    <row r="77" spans="7:8" ht="21.75" customHeight="1">
      <c r="G77" s="368"/>
      <c r="H77" s="368"/>
    </row>
    <row r="78" spans="7:8" ht="21.75" customHeight="1">
      <c r="G78" s="368"/>
      <c r="H78" s="368"/>
    </row>
    <row r="79" spans="7:8" ht="21.75" customHeight="1">
      <c r="G79" s="368"/>
      <c r="H79" s="368"/>
    </row>
    <row r="80" spans="7:8" ht="21.75" customHeight="1">
      <c r="G80" s="368"/>
      <c r="H80" s="368"/>
    </row>
    <row r="81" spans="7:8" ht="21.75" customHeight="1">
      <c r="G81" s="368"/>
      <c r="H81" s="368"/>
    </row>
    <row r="82" spans="7:8" ht="21.75" customHeight="1">
      <c r="G82" s="368"/>
      <c r="H82" s="368"/>
    </row>
    <row r="83" spans="7:8" ht="21.75" customHeight="1">
      <c r="G83" s="368"/>
      <c r="H83" s="368"/>
    </row>
    <row r="84" spans="7:8" ht="21.75" customHeight="1">
      <c r="G84" s="368"/>
      <c r="H84" s="368"/>
    </row>
    <row r="85" spans="7:8" ht="21.75" customHeight="1">
      <c r="G85" s="368"/>
      <c r="H85" s="368"/>
    </row>
    <row r="86" spans="7:8" ht="21.75" customHeight="1">
      <c r="G86" s="368"/>
      <c r="H86" s="368"/>
    </row>
    <row r="87" spans="7:8" ht="21.75" customHeight="1">
      <c r="G87" s="368"/>
      <c r="H87" s="368"/>
    </row>
    <row r="88" spans="7:8" ht="21.75" customHeight="1">
      <c r="G88" s="368"/>
      <c r="H88" s="368"/>
    </row>
    <row r="89" spans="7:8" ht="21.75" customHeight="1">
      <c r="G89" s="368"/>
      <c r="H89" s="368"/>
    </row>
    <row r="90" spans="7:8" ht="21.75" customHeight="1">
      <c r="G90" s="368"/>
      <c r="H90" s="368"/>
    </row>
    <row r="91" spans="7:8" ht="21.75" customHeight="1">
      <c r="G91" s="368"/>
      <c r="H91" s="368"/>
    </row>
    <row r="92" spans="7:8" ht="21.75" customHeight="1">
      <c r="G92" s="368"/>
      <c r="H92" s="368"/>
    </row>
    <row r="93" spans="7:8" ht="21.75" customHeight="1">
      <c r="G93" s="368"/>
      <c r="H93" s="368"/>
    </row>
    <row r="94" spans="7:8" ht="21.75" customHeight="1">
      <c r="G94" s="368"/>
      <c r="H94" s="368"/>
    </row>
    <row r="95" spans="7:8" ht="21.75" customHeight="1">
      <c r="G95" s="368"/>
      <c r="H95" s="368"/>
    </row>
    <row r="96" spans="7:8" ht="21.75" customHeight="1">
      <c r="G96" s="368"/>
      <c r="H96" s="368"/>
    </row>
    <row r="97" spans="7:8" ht="21.75" customHeight="1">
      <c r="G97" s="368"/>
      <c r="H97" s="368"/>
    </row>
    <row r="98" spans="7:8" ht="21.75" customHeight="1">
      <c r="G98" s="368"/>
      <c r="H98" s="368"/>
    </row>
    <row r="99" spans="7:8" ht="21.75" customHeight="1">
      <c r="G99" s="368"/>
      <c r="H99" s="368"/>
    </row>
    <row r="100" spans="7:8" ht="21.75" customHeight="1">
      <c r="G100" s="368"/>
      <c r="H100" s="368"/>
    </row>
    <row r="101" spans="7:8" ht="21.75" customHeight="1">
      <c r="G101" s="368"/>
      <c r="H101" s="368"/>
    </row>
    <row r="102" spans="7:8" ht="21.75" customHeight="1">
      <c r="G102" s="368"/>
      <c r="H102" s="368"/>
    </row>
    <row r="103" spans="7:8" ht="21.75" customHeight="1">
      <c r="G103" s="368"/>
      <c r="H103" s="368"/>
    </row>
    <row r="104" spans="7:8" ht="21.75" customHeight="1">
      <c r="G104" s="368"/>
      <c r="H104" s="368"/>
    </row>
    <row r="105" spans="7:8" ht="21.75" customHeight="1">
      <c r="G105" s="368"/>
      <c r="H105" s="368"/>
    </row>
    <row r="106" spans="7:8" ht="21.75" customHeight="1">
      <c r="G106" s="368"/>
      <c r="H106" s="368"/>
    </row>
    <row r="107" spans="7:8" ht="21.75" customHeight="1">
      <c r="G107" s="368"/>
      <c r="H107" s="368"/>
    </row>
    <row r="108" spans="7:8" ht="21.75" customHeight="1">
      <c r="G108" s="368"/>
      <c r="H108" s="368"/>
    </row>
    <row r="109" spans="7:8" ht="21.75" customHeight="1">
      <c r="G109" s="368"/>
      <c r="H109" s="368"/>
    </row>
    <row r="110" spans="7:8" ht="21.75" customHeight="1">
      <c r="G110" s="368"/>
      <c r="H110" s="368"/>
    </row>
    <row r="111" spans="7:8" ht="21.75" customHeight="1">
      <c r="G111" s="368"/>
      <c r="H111" s="368"/>
    </row>
    <row r="112" spans="7:8" ht="21.75" customHeight="1">
      <c r="G112" s="368"/>
      <c r="H112" s="368"/>
    </row>
    <row r="113" spans="7:8" ht="21.75" customHeight="1">
      <c r="G113" s="368"/>
      <c r="H113" s="368"/>
    </row>
    <row r="114" spans="7:8" ht="21.75" customHeight="1">
      <c r="G114" s="368"/>
      <c r="H114" s="368"/>
    </row>
    <row r="115" spans="7:8" ht="21.75" customHeight="1">
      <c r="G115" s="368"/>
      <c r="H115" s="368"/>
    </row>
    <row r="116" spans="7:8" ht="21.75" customHeight="1">
      <c r="G116" s="368"/>
      <c r="H116" s="368"/>
    </row>
    <row r="117" spans="7:8" ht="21.75" customHeight="1">
      <c r="G117" s="368"/>
      <c r="H117" s="368"/>
    </row>
    <row r="118" spans="7:8" ht="21.75" customHeight="1">
      <c r="G118" s="368"/>
      <c r="H118" s="368"/>
    </row>
    <row r="119" spans="7:8" ht="21.75" customHeight="1">
      <c r="G119" s="368"/>
      <c r="H119" s="368"/>
    </row>
    <row r="120" spans="7:8" ht="21.75" customHeight="1">
      <c r="G120" s="368"/>
      <c r="H120" s="368"/>
    </row>
    <row r="121" spans="7:8" ht="21.75" customHeight="1">
      <c r="G121" s="368"/>
      <c r="H121" s="368"/>
    </row>
    <row r="122" spans="7:8" ht="21.75" customHeight="1">
      <c r="G122" s="368"/>
      <c r="H122" s="368"/>
    </row>
    <row r="123" spans="7:8" ht="21.75" customHeight="1">
      <c r="G123" s="368"/>
      <c r="H123" s="368"/>
    </row>
    <row r="124" spans="7:8" ht="21.75" customHeight="1">
      <c r="G124" s="368"/>
      <c r="H124" s="368"/>
    </row>
    <row r="125" spans="7:8" ht="21.75" customHeight="1">
      <c r="G125" s="368"/>
      <c r="H125" s="368"/>
    </row>
    <row r="126" spans="7:8" ht="21.75" customHeight="1">
      <c r="G126" s="368"/>
      <c r="H126" s="368"/>
    </row>
    <row r="127" spans="7:8" ht="21.75" customHeight="1">
      <c r="G127" s="368"/>
      <c r="H127" s="368"/>
    </row>
    <row r="128" spans="7:8" ht="21.75" customHeight="1">
      <c r="G128" s="368"/>
      <c r="H128" s="368"/>
    </row>
    <row r="129" spans="7:8" ht="21.75" customHeight="1">
      <c r="G129" s="368"/>
      <c r="H129" s="368"/>
    </row>
    <row r="130" spans="7:8" ht="21.75" customHeight="1">
      <c r="G130" s="368"/>
      <c r="H130" s="368"/>
    </row>
    <row r="131" spans="7:8" ht="21.75" customHeight="1">
      <c r="G131" s="368"/>
      <c r="H131" s="368"/>
    </row>
    <row r="132" spans="7:8" ht="21.75" customHeight="1">
      <c r="G132" s="368"/>
      <c r="H132" s="368"/>
    </row>
    <row r="133" spans="7:8" ht="21.75" customHeight="1">
      <c r="G133" s="368"/>
      <c r="H133" s="368"/>
    </row>
    <row r="134" spans="7:8" ht="21.75" customHeight="1">
      <c r="G134" s="368"/>
      <c r="H134" s="368"/>
    </row>
    <row r="135" spans="7:8" ht="21.75" customHeight="1">
      <c r="G135" s="368"/>
      <c r="H135" s="368"/>
    </row>
    <row r="136" spans="7:8" ht="21.75" customHeight="1">
      <c r="G136" s="368"/>
      <c r="H136" s="368"/>
    </row>
    <row r="137" spans="7:8" ht="21.75" customHeight="1">
      <c r="G137" s="368"/>
      <c r="H137" s="368"/>
    </row>
    <row r="138" spans="7:8" ht="21.75" customHeight="1">
      <c r="G138" s="368"/>
      <c r="H138" s="368"/>
    </row>
    <row r="139" spans="7:8" ht="21.75" customHeight="1">
      <c r="G139" s="368"/>
      <c r="H139" s="368"/>
    </row>
    <row r="140" spans="7:8" ht="21.75" customHeight="1">
      <c r="G140" s="368"/>
      <c r="H140" s="368"/>
    </row>
    <row r="141" spans="7:8" ht="21.75" customHeight="1">
      <c r="G141" s="368"/>
      <c r="H141" s="368"/>
    </row>
    <row r="142" spans="7:8" ht="21.75" customHeight="1">
      <c r="G142" s="368"/>
      <c r="H142" s="368"/>
    </row>
    <row r="143" spans="7:8" ht="21.75" customHeight="1">
      <c r="G143" s="368"/>
      <c r="H143" s="368"/>
    </row>
    <row r="144" spans="7:8" ht="21.75" customHeight="1">
      <c r="G144" s="368"/>
      <c r="H144" s="368"/>
    </row>
    <row r="145" spans="7:8" ht="21.75" customHeight="1">
      <c r="G145" s="368"/>
      <c r="H145" s="368"/>
    </row>
    <row r="146" spans="7:8" ht="21.75" customHeight="1">
      <c r="G146" s="368"/>
      <c r="H146" s="368"/>
    </row>
    <row r="147" spans="7:8" ht="21.75" customHeight="1">
      <c r="G147" s="368"/>
      <c r="H147" s="368"/>
    </row>
    <row r="148" spans="7:8" ht="21.75" customHeight="1">
      <c r="G148" s="368"/>
      <c r="H148" s="368"/>
    </row>
    <row r="149" spans="7:8" ht="21.75" customHeight="1">
      <c r="G149" s="368"/>
      <c r="H149" s="368"/>
    </row>
    <row r="150" spans="7:8" ht="21.75" customHeight="1">
      <c r="G150" s="368"/>
      <c r="H150" s="368"/>
    </row>
    <row r="151" spans="7:8" ht="21.75" customHeight="1">
      <c r="G151" s="368"/>
      <c r="H151" s="368"/>
    </row>
    <row r="152" spans="7:8" ht="21.75" customHeight="1">
      <c r="G152" s="368"/>
      <c r="H152" s="368"/>
    </row>
    <row r="153" spans="7:8" ht="21.75" customHeight="1">
      <c r="G153" s="368"/>
      <c r="H153" s="368"/>
    </row>
    <row r="154" spans="7:8" ht="21.75" customHeight="1">
      <c r="G154" s="368"/>
      <c r="H154" s="368"/>
    </row>
    <row r="155" spans="7:8" ht="21.75" customHeight="1">
      <c r="G155" s="368"/>
      <c r="H155" s="368"/>
    </row>
    <row r="156" spans="7:8" ht="21.75" customHeight="1">
      <c r="G156" s="368"/>
      <c r="H156" s="368"/>
    </row>
    <row r="157" spans="7:8" ht="21.75" customHeight="1">
      <c r="G157" s="368"/>
      <c r="H157" s="368"/>
    </row>
    <row r="158" spans="7:8" ht="21.75" customHeight="1">
      <c r="G158" s="368"/>
      <c r="H158" s="368"/>
    </row>
    <row r="159" spans="7:8" ht="21.75" customHeight="1">
      <c r="G159" s="368"/>
      <c r="H159" s="368"/>
    </row>
    <row r="160" spans="7:8" ht="21.75" customHeight="1">
      <c r="G160" s="368"/>
      <c r="H160" s="368"/>
    </row>
    <row r="161" spans="7:8" ht="21.75" customHeight="1">
      <c r="G161" s="368"/>
      <c r="H161" s="368"/>
    </row>
    <row r="162" spans="7:8" ht="21.75" customHeight="1">
      <c r="G162" s="368"/>
      <c r="H162" s="368"/>
    </row>
    <row r="163" spans="7:8" ht="21.75" customHeight="1">
      <c r="G163" s="368"/>
      <c r="H163" s="368"/>
    </row>
    <row r="164" spans="7:8" ht="21.75" customHeight="1">
      <c r="G164" s="368"/>
      <c r="H164" s="368"/>
    </row>
    <row r="165" spans="7:8" ht="21.75" customHeight="1">
      <c r="G165" s="368"/>
      <c r="H165" s="368"/>
    </row>
  </sheetData>
  <mergeCells count="48">
    <mergeCell ref="A1:I1"/>
    <mergeCell ref="A3:C3"/>
    <mergeCell ref="A4:A9"/>
    <mergeCell ref="B4:C4"/>
    <mergeCell ref="B5:B7"/>
    <mergeCell ref="C5:C6"/>
    <mergeCell ref="D5:D6"/>
    <mergeCell ref="E5:E6"/>
    <mergeCell ref="F5:F6"/>
    <mergeCell ref="H5:H6"/>
    <mergeCell ref="I5:I6"/>
    <mergeCell ref="B8:C8"/>
    <mergeCell ref="B9:C9"/>
    <mergeCell ref="B10:C10"/>
    <mergeCell ref="A11:C11"/>
    <mergeCell ref="F15:F16"/>
    <mergeCell ref="H15:H16"/>
    <mergeCell ref="I15:I16"/>
    <mergeCell ref="A12:A21"/>
    <mergeCell ref="B12:B17"/>
    <mergeCell ref="C15:C16"/>
    <mergeCell ref="D15:D16"/>
    <mergeCell ref="E15:E16"/>
    <mergeCell ref="B19:B21"/>
    <mergeCell ref="D19:D20"/>
    <mergeCell ref="I26:I27"/>
    <mergeCell ref="I22:I23"/>
    <mergeCell ref="A24:C25"/>
    <mergeCell ref="D24:D25"/>
    <mergeCell ref="E24:E25"/>
    <mergeCell ref="F24:F25"/>
    <mergeCell ref="H24:H25"/>
    <mergeCell ref="I24:I25"/>
    <mergeCell ref="A22:C23"/>
    <mergeCell ref="D22:D23"/>
    <mergeCell ref="E22:E23"/>
    <mergeCell ref="F22:F23"/>
    <mergeCell ref="H22:H23"/>
    <mergeCell ref="A26:C27"/>
    <mergeCell ref="D26:D27"/>
    <mergeCell ref="E26:E27"/>
    <mergeCell ref="A33:C33"/>
    <mergeCell ref="A34:C34"/>
    <mergeCell ref="F26:F27"/>
    <mergeCell ref="H26:H27"/>
    <mergeCell ref="A28:C28"/>
    <mergeCell ref="A29:B32"/>
    <mergeCell ref="C29:C30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>
    <tabColor indexed="23"/>
  </sheetPr>
  <dimension ref="A1:O25"/>
  <sheetViews>
    <sheetView workbookViewId="0">
      <selection sqref="A1:I1"/>
    </sheetView>
  </sheetViews>
  <sheetFormatPr defaultRowHeight="21.75" customHeight="1"/>
  <cols>
    <col min="1" max="1" width="4" style="312" customWidth="1"/>
    <col min="2" max="2" width="4.77734375" style="312" customWidth="1"/>
    <col min="3" max="3" width="9.88671875" style="312" customWidth="1"/>
    <col min="4" max="4" width="33.44140625" style="312" customWidth="1"/>
    <col min="5" max="5" width="7.77734375" style="312" customWidth="1"/>
    <col min="6" max="6" width="4.88671875" style="312" customWidth="1"/>
    <col min="7" max="7" width="3" style="312" customWidth="1"/>
    <col min="8" max="8" width="5.77734375" style="312" customWidth="1"/>
    <col min="9" max="9" width="4.109375" style="312" customWidth="1"/>
    <col min="10" max="256" width="8.88671875" style="312"/>
    <col min="257" max="257" width="4" style="312" customWidth="1"/>
    <col min="258" max="258" width="4.77734375" style="312" customWidth="1"/>
    <col min="259" max="259" width="9.88671875" style="312" customWidth="1"/>
    <col min="260" max="260" width="33.44140625" style="312" customWidth="1"/>
    <col min="261" max="261" width="7.77734375" style="312" customWidth="1"/>
    <col min="262" max="262" width="4.88671875" style="312" customWidth="1"/>
    <col min="263" max="263" width="3" style="312" customWidth="1"/>
    <col min="264" max="264" width="5.77734375" style="312" customWidth="1"/>
    <col min="265" max="265" width="4.109375" style="312" customWidth="1"/>
    <col min="266" max="512" width="8.88671875" style="312"/>
    <col min="513" max="513" width="4" style="312" customWidth="1"/>
    <col min="514" max="514" width="4.77734375" style="312" customWidth="1"/>
    <col min="515" max="515" width="9.88671875" style="312" customWidth="1"/>
    <col min="516" max="516" width="33.44140625" style="312" customWidth="1"/>
    <col min="517" max="517" width="7.77734375" style="312" customWidth="1"/>
    <col min="518" max="518" width="4.88671875" style="312" customWidth="1"/>
    <col min="519" max="519" width="3" style="312" customWidth="1"/>
    <col min="520" max="520" width="5.77734375" style="312" customWidth="1"/>
    <col min="521" max="521" width="4.109375" style="312" customWidth="1"/>
    <col min="522" max="768" width="8.88671875" style="312"/>
    <col min="769" max="769" width="4" style="312" customWidth="1"/>
    <col min="770" max="770" width="4.77734375" style="312" customWidth="1"/>
    <col min="771" max="771" width="9.88671875" style="312" customWidth="1"/>
    <col min="772" max="772" width="33.44140625" style="312" customWidth="1"/>
    <col min="773" max="773" width="7.77734375" style="312" customWidth="1"/>
    <col min="774" max="774" width="4.88671875" style="312" customWidth="1"/>
    <col min="775" max="775" width="3" style="312" customWidth="1"/>
    <col min="776" max="776" width="5.77734375" style="312" customWidth="1"/>
    <col min="777" max="777" width="4.109375" style="312" customWidth="1"/>
    <col min="778" max="1024" width="8.88671875" style="312"/>
    <col min="1025" max="1025" width="4" style="312" customWidth="1"/>
    <col min="1026" max="1026" width="4.77734375" style="312" customWidth="1"/>
    <col min="1027" max="1027" width="9.88671875" style="312" customWidth="1"/>
    <col min="1028" max="1028" width="33.44140625" style="312" customWidth="1"/>
    <col min="1029" max="1029" width="7.77734375" style="312" customWidth="1"/>
    <col min="1030" max="1030" width="4.88671875" style="312" customWidth="1"/>
    <col min="1031" max="1031" width="3" style="312" customWidth="1"/>
    <col min="1032" max="1032" width="5.77734375" style="312" customWidth="1"/>
    <col min="1033" max="1033" width="4.109375" style="312" customWidth="1"/>
    <col min="1034" max="1280" width="8.88671875" style="312"/>
    <col min="1281" max="1281" width="4" style="312" customWidth="1"/>
    <col min="1282" max="1282" width="4.77734375" style="312" customWidth="1"/>
    <col min="1283" max="1283" width="9.88671875" style="312" customWidth="1"/>
    <col min="1284" max="1284" width="33.44140625" style="312" customWidth="1"/>
    <col min="1285" max="1285" width="7.77734375" style="312" customWidth="1"/>
    <col min="1286" max="1286" width="4.88671875" style="312" customWidth="1"/>
    <col min="1287" max="1287" width="3" style="312" customWidth="1"/>
    <col min="1288" max="1288" width="5.77734375" style="312" customWidth="1"/>
    <col min="1289" max="1289" width="4.109375" style="312" customWidth="1"/>
    <col min="1290" max="1536" width="8.88671875" style="312"/>
    <col min="1537" max="1537" width="4" style="312" customWidth="1"/>
    <col min="1538" max="1538" width="4.77734375" style="312" customWidth="1"/>
    <col min="1539" max="1539" width="9.88671875" style="312" customWidth="1"/>
    <col min="1540" max="1540" width="33.44140625" style="312" customWidth="1"/>
    <col min="1541" max="1541" width="7.77734375" style="312" customWidth="1"/>
    <col min="1542" max="1542" width="4.88671875" style="312" customWidth="1"/>
    <col min="1543" max="1543" width="3" style="312" customWidth="1"/>
    <col min="1544" max="1544" width="5.77734375" style="312" customWidth="1"/>
    <col min="1545" max="1545" width="4.109375" style="312" customWidth="1"/>
    <col min="1546" max="1792" width="8.88671875" style="312"/>
    <col min="1793" max="1793" width="4" style="312" customWidth="1"/>
    <col min="1794" max="1794" width="4.77734375" style="312" customWidth="1"/>
    <col min="1795" max="1795" width="9.88671875" style="312" customWidth="1"/>
    <col min="1796" max="1796" width="33.44140625" style="312" customWidth="1"/>
    <col min="1797" max="1797" width="7.77734375" style="312" customWidth="1"/>
    <col min="1798" max="1798" width="4.88671875" style="312" customWidth="1"/>
    <col min="1799" max="1799" width="3" style="312" customWidth="1"/>
    <col min="1800" max="1800" width="5.77734375" style="312" customWidth="1"/>
    <col min="1801" max="1801" width="4.109375" style="312" customWidth="1"/>
    <col min="1802" max="2048" width="8.88671875" style="312"/>
    <col min="2049" max="2049" width="4" style="312" customWidth="1"/>
    <col min="2050" max="2050" width="4.77734375" style="312" customWidth="1"/>
    <col min="2051" max="2051" width="9.88671875" style="312" customWidth="1"/>
    <col min="2052" max="2052" width="33.44140625" style="312" customWidth="1"/>
    <col min="2053" max="2053" width="7.77734375" style="312" customWidth="1"/>
    <col min="2054" max="2054" width="4.88671875" style="312" customWidth="1"/>
    <col min="2055" max="2055" width="3" style="312" customWidth="1"/>
    <col min="2056" max="2056" width="5.77734375" style="312" customWidth="1"/>
    <col min="2057" max="2057" width="4.109375" style="312" customWidth="1"/>
    <col min="2058" max="2304" width="8.88671875" style="312"/>
    <col min="2305" max="2305" width="4" style="312" customWidth="1"/>
    <col min="2306" max="2306" width="4.77734375" style="312" customWidth="1"/>
    <col min="2307" max="2307" width="9.88671875" style="312" customWidth="1"/>
    <col min="2308" max="2308" width="33.44140625" style="312" customWidth="1"/>
    <col min="2309" max="2309" width="7.77734375" style="312" customWidth="1"/>
    <col min="2310" max="2310" width="4.88671875" style="312" customWidth="1"/>
    <col min="2311" max="2311" width="3" style="312" customWidth="1"/>
    <col min="2312" max="2312" width="5.77734375" style="312" customWidth="1"/>
    <col min="2313" max="2313" width="4.109375" style="312" customWidth="1"/>
    <col min="2314" max="2560" width="8.88671875" style="312"/>
    <col min="2561" max="2561" width="4" style="312" customWidth="1"/>
    <col min="2562" max="2562" width="4.77734375" style="312" customWidth="1"/>
    <col min="2563" max="2563" width="9.88671875" style="312" customWidth="1"/>
    <col min="2564" max="2564" width="33.44140625" style="312" customWidth="1"/>
    <col min="2565" max="2565" width="7.77734375" style="312" customWidth="1"/>
    <col min="2566" max="2566" width="4.88671875" style="312" customWidth="1"/>
    <col min="2567" max="2567" width="3" style="312" customWidth="1"/>
    <col min="2568" max="2568" width="5.77734375" style="312" customWidth="1"/>
    <col min="2569" max="2569" width="4.109375" style="312" customWidth="1"/>
    <col min="2570" max="2816" width="8.88671875" style="312"/>
    <col min="2817" max="2817" width="4" style="312" customWidth="1"/>
    <col min="2818" max="2818" width="4.77734375" style="312" customWidth="1"/>
    <col min="2819" max="2819" width="9.88671875" style="312" customWidth="1"/>
    <col min="2820" max="2820" width="33.44140625" style="312" customWidth="1"/>
    <col min="2821" max="2821" width="7.77734375" style="312" customWidth="1"/>
    <col min="2822" max="2822" width="4.88671875" style="312" customWidth="1"/>
    <col min="2823" max="2823" width="3" style="312" customWidth="1"/>
    <col min="2824" max="2824" width="5.77734375" style="312" customWidth="1"/>
    <col min="2825" max="2825" width="4.109375" style="312" customWidth="1"/>
    <col min="2826" max="3072" width="8.88671875" style="312"/>
    <col min="3073" max="3073" width="4" style="312" customWidth="1"/>
    <col min="3074" max="3074" width="4.77734375" style="312" customWidth="1"/>
    <col min="3075" max="3075" width="9.88671875" style="312" customWidth="1"/>
    <col min="3076" max="3076" width="33.44140625" style="312" customWidth="1"/>
    <col min="3077" max="3077" width="7.77734375" style="312" customWidth="1"/>
    <col min="3078" max="3078" width="4.88671875" style="312" customWidth="1"/>
    <col min="3079" max="3079" width="3" style="312" customWidth="1"/>
    <col min="3080" max="3080" width="5.77734375" style="312" customWidth="1"/>
    <col min="3081" max="3081" width="4.109375" style="312" customWidth="1"/>
    <col min="3082" max="3328" width="8.88671875" style="312"/>
    <col min="3329" max="3329" width="4" style="312" customWidth="1"/>
    <col min="3330" max="3330" width="4.77734375" style="312" customWidth="1"/>
    <col min="3331" max="3331" width="9.88671875" style="312" customWidth="1"/>
    <col min="3332" max="3332" width="33.44140625" style="312" customWidth="1"/>
    <col min="3333" max="3333" width="7.77734375" style="312" customWidth="1"/>
    <col min="3334" max="3334" width="4.88671875" style="312" customWidth="1"/>
    <col min="3335" max="3335" width="3" style="312" customWidth="1"/>
    <col min="3336" max="3336" width="5.77734375" style="312" customWidth="1"/>
    <col min="3337" max="3337" width="4.109375" style="312" customWidth="1"/>
    <col min="3338" max="3584" width="8.88671875" style="312"/>
    <col min="3585" max="3585" width="4" style="312" customWidth="1"/>
    <col min="3586" max="3586" width="4.77734375" style="312" customWidth="1"/>
    <col min="3587" max="3587" width="9.88671875" style="312" customWidth="1"/>
    <col min="3588" max="3588" width="33.44140625" style="312" customWidth="1"/>
    <col min="3589" max="3589" width="7.77734375" style="312" customWidth="1"/>
    <col min="3590" max="3590" width="4.88671875" style="312" customWidth="1"/>
    <col min="3591" max="3591" width="3" style="312" customWidth="1"/>
    <col min="3592" max="3592" width="5.77734375" style="312" customWidth="1"/>
    <col min="3593" max="3593" width="4.109375" style="312" customWidth="1"/>
    <col min="3594" max="3840" width="8.88671875" style="312"/>
    <col min="3841" max="3841" width="4" style="312" customWidth="1"/>
    <col min="3842" max="3842" width="4.77734375" style="312" customWidth="1"/>
    <col min="3843" max="3843" width="9.88671875" style="312" customWidth="1"/>
    <col min="3844" max="3844" width="33.44140625" style="312" customWidth="1"/>
    <col min="3845" max="3845" width="7.77734375" style="312" customWidth="1"/>
    <col min="3846" max="3846" width="4.88671875" style="312" customWidth="1"/>
    <col min="3847" max="3847" width="3" style="312" customWidth="1"/>
    <col min="3848" max="3848" width="5.77734375" style="312" customWidth="1"/>
    <col min="3849" max="3849" width="4.109375" style="312" customWidth="1"/>
    <col min="3850" max="4096" width="8.88671875" style="312"/>
    <col min="4097" max="4097" width="4" style="312" customWidth="1"/>
    <col min="4098" max="4098" width="4.77734375" style="312" customWidth="1"/>
    <col min="4099" max="4099" width="9.88671875" style="312" customWidth="1"/>
    <col min="4100" max="4100" width="33.44140625" style="312" customWidth="1"/>
    <col min="4101" max="4101" width="7.77734375" style="312" customWidth="1"/>
    <col min="4102" max="4102" width="4.88671875" style="312" customWidth="1"/>
    <col min="4103" max="4103" width="3" style="312" customWidth="1"/>
    <col min="4104" max="4104" width="5.77734375" style="312" customWidth="1"/>
    <col min="4105" max="4105" width="4.109375" style="312" customWidth="1"/>
    <col min="4106" max="4352" width="8.88671875" style="312"/>
    <col min="4353" max="4353" width="4" style="312" customWidth="1"/>
    <col min="4354" max="4354" width="4.77734375" style="312" customWidth="1"/>
    <col min="4355" max="4355" width="9.88671875" style="312" customWidth="1"/>
    <col min="4356" max="4356" width="33.44140625" style="312" customWidth="1"/>
    <col min="4357" max="4357" width="7.77734375" style="312" customWidth="1"/>
    <col min="4358" max="4358" width="4.88671875" style="312" customWidth="1"/>
    <col min="4359" max="4359" width="3" style="312" customWidth="1"/>
    <col min="4360" max="4360" width="5.77734375" style="312" customWidth="1"/>
    <col min="4361" max="4361" width="4.109375" style="312" customWidth="1"/>
    <col min="4362" max="4608" width="8.88671875" style="312"/>
    <col min="4609" max="4609" width="4" style="312" customWidth="1"/>
    <col min="4610" max="4610" width="4.77734375" style="312" customWidth="1"/>
    <col min="4611" max="4611" width="9.88671875" style="312" customWidth="1"/>
    <col min="4612" max="4612" width="33.44140625" style="312" customWidth="1"/>
    <col min="4613" max="4613" width="7.77734375" style="312" customWidth="1"/>
    <col min="4614" max="4614" width="4.88671875" style="312" customWidth="1"/>
    <col min="4615" max="4615" width="3" style="312" customWidth="1"/>
    <col min="4616" max="4616" width="5.77734375" style="312" customWidth="1"/>
    <col min="4617" max="4617" width="4.109375" style="312" customWidth="1"/>
    <col min="4618" max="4864" width="8.88671875" style="312"/>
    <col min="4865" max="4865" width="4" style="312" customWidth="1"/>
    <col min="4866" max="4866" width="4.77734375" style="312" customWidth="1"/>
    <col min="4867" max="4867" width="9.88671875" style="312" customWidth="1"/>
    <col min="4868" max="4868" width="33.44140625" style="312" customWidth="1"/>
    <col min="4869" max="4869" width="7.77734375" style="312" customWidth="1"/>
    <col min="4870" max="4870" width="4.88671875" style="312" customWidth="1"/>
    <col min="4871" max="4871" width="3" style="312" customWidth="1"/>
    <col min="4872" max="4872" width="5.77734375" style="312" customWidth="1"/>
    <col min="4873" max="4873" width="4.109375" style="312" customWidth="1"/>
    <col min="4874" max="5120" width="8.88671875" style="312"/>
    <col min="5121" max="5121" width="4" style="312" customWidth="1"/>
    <col min="5122" max="5122" width="4.77734375" style="312" customWidth="1"/>
    <col min="5123" max="5123" width="9.88671875" style="312" customWidth="1"/>
    <col min="5124" max="5124" width="33.44140625" style="312" customWidth="1"/>
    <col min="5125" max="5125" width="7.77734375" style="312" customWidth="1"/>
    <col min="5126" max="5126" width="4.88671875" style="312" customWidth="1"/>
    <col min="5127" max="5127" width="3" style="312" customWidth="1"/>
    <col min="5128" max="5128" width="5.77734375" style="312" customWidth="1"/>
    <col min="5129" max="5129" width="4.109375" style="312" customWidth="1"/>
    <col min="5130" max="5376" width="8.88671875" style="312"/>
    <col min="5377" max="5377" width="4" style="312" customWidth="1"/>
    <col min="5378" max="5378" width="4.77734375" style="312" customWidth="1"/>
    <col min="5379" max="5379" width="9.88671875" style="312" customWidth="1"/>
    <col min="5380" max="5380" width="33.44140625" style="312" customWidth="1"/>
    <col min="5381" max="5381" width="7.77734375" style="312" customWidth="1"/>
    <col min="5382" max="5382" width="4.88671875" style="312" customWidth="1"/>
    <col min="5383" max="5383" width="3" style="312" customWidth="1"/>
    <col min="5384" max="5384" width="5.77734375" style="312" customWidth="1"/>
    <col min="5385" max="5385" width="4.109375" style="312" customWidth="1"/>
    <col min="5386" max="5632" width="8.88671875" style="312"/>
    <col min="5633" max="5633" width="4" style="312" customWidth="1"/>
    <col min="5634" max="5634" width="4.77734375" style="312" customWidth="1"/>
    <col min="5635" max="5635" width="9.88671875" style="312" customWidth="1"/>
    <col min="5636" max="5636" width="33.44140625" style="312" customWidth="1"/>
    <col min="5637" max="5637" width="7.77734375" style="312" customWidth="1"/>
    <col min="5638" max="5638" width="4.88671875" style="312" customWidth="1"/>
    <col min="5639" max="5639" width="3" style="312" customWidth="1"/>
    <col min="5640" max="5640" width="5.77734375" style="312" customWidth="1"/>
    <col min="5641" max="5641" width="4.109375" style="312" customWidth="1"/>
    <col min="5642" max="5888" width="8.88671875" style="312"/>
    <col min="5889" max="5889" width="4" style="312" customWidth="1"/>
    <col min="5890" max="5890" width="4.77734375" style="312" customWidth="1"/>
    <col min="5891" max="5891" width="9.88671875" style="312" customWidth="1"/>
    <col min="5892" max="5892" width="33.44140625" style="312" customWidth="1"/>
    <col min="5893" max="5893" width="7.77734375" style="312" customWidth="1"/>
    <col min="5894" max="5894" width="4.88671875" style="312" customWidth="1"/>
    <col min="5895" max="5895" width="3" style="312" customWidth="1"/>
    <col min="5896" max="5896" width="5.77734375" style="312" customWidth="1"/>
    <col min="5897" max="5897" width="4.109375" style="312" customWidth="1"/>
    <col min="5898" max="6144" width="8.88671875" style="312"/>
    <col min="6145" max="6145" width="4" style="312" customWidth="1"/>
    <col min="6146" max="6146" width="4.77734375" style="312" customWidth="1"/>
    <col min="6147" max="6147" width="9.88671875" style="312" customWidth="1"/>
    <col min="6148" max="6148" width="33.44140625" style="312" customWidth="1"/>
    <col min="6149" max="6149" width="7.77734375" style="312" customWidth="1"/>
    <col min="6150" max="6150" width="4.88671875" style="312" customWidth="1"/>
    <col min="6151" max="6151" width="3" style="312" customWidth="1"/>
    <col min="6152" max="6152" width="5.77734375" style="312" customWidth="1"/>
    <col min="6153" max="6153" width="4.109375" style="312" customWidth="1"/>
    <col min="6154" max="6400" width="8.88671875" style="312"/>
    <col min="6401" max="6401" width="4" style="312" customWidth="1"/>
    <col min="6402" max="6402" width="4.77734375" style="312" customWidth="1"/>
    <col min="6403" max="6403" width="9.88671875" style="312" customWidth="1"/>
    <col min="6404" max="6404" width="33.44140625" style="312" customWidth="1"/>
    <col min="6405" max="6405" width="7.77734375" style="312" customWidth="1"/>
    <col min="6406" max="6406" width="4.88671875" style="312" customWidth="1"/>
    <col min="6407" max="6407" width="3" style="312" customWidth="1"/>
    <col min="6408" max="6408" width="5.77734375" style="312" customWidth="1"/>
    <col min="6409" max="6409" width="4.109375" style="312" customWidth="1"/>
    <col min="6410" max="6656" width="8.88671875" style="312"/>
    <col min="6657" max="6657" width="4" style="312" customWidth="1"/>
    <col min="6658" max="6658" width="4.77734375" style="312" customWidth="1"/>
    <col min="6659" max="6659" width="9.88671875" style="312" customWidth="1"/>
    <col min="6660" max="6660" width="33.44140625" style="312" customWidth="1"/>
    <col min="6661" max="6661" width="7.77734375" style="312" customWidth="1"/>
    <col min="6662" max="6662" width="4.88671875" style="312" customWidth="1"/>
    <col min="6663" max="6663" width="3" style="312" customWidth="1"/>
    <col min="6664" max="6664" width="5.77734375" style="312" customWidth="1"/>
    <col min="6665" max="6665" width="4.109375" style="312" customWidth="1"/>
    <col min="6666" max="6912" width="8.88671875" style="312"/>
    <col min="6913" max="6913" width="4" style="312" customWidth="1"/>
    <col min="6914" max="6914" width="4.77734375" style="312" customWidth="1"/>
    <col min="6915" max="6915" width="9.88671875" style="312" customWidth="1"/>
    <col min="6916" max="6916" width="33.44140625" style="312" customWidth="1"/>
    <col min="6917" max="6917" width="7.77734375" style="312" customWidth="1"/>
    <col min="6918" max="6918" width="4.88671875" style="312" customWidth="1"/>
    <col min="6919" max="6919" width="3" style="312" customWidth="1"/>
    <col min="6920" max="6920" width="5.77734375" style="312" customWidth="1"/>
    <col min="6921" max="6921" width="4.109375" style="312" customWidth="1"/>
    <col min="6922" max="7168" width="8.88671875" style="312"/>
    <col min="7169" max="7169" width="4" style="312" customWidth="1"/>
    <col min="7170" max="7170" width="4.77734375" style="312" customWidth="1"/>
    <col min="7171" max="7171" width="9.88671875" style="312" customWidth="1"/>
    <col min="7172" max="7172" width="33.44140625" style="312" customWidth="1"/>
    <col min="7173" max="7173" width="7.77734375" style="312" customWidth="1"/>
    <col min="7174" max="7174" width="4.88671875" style="312" customWidth="1"/>
    <col min="7175" max="7175" width="3" style="312" customWidth="1"/>
    <col min="7176" max="7176" width="5.77734375" style="312" customWidth="1"/>
    <col min="7177" max="7177" width="4.109375" style="312" customWidth="1"/>
    <col min="7178" max="7424" width="8.88671875" style="312"/>
    <col min="7425" max="7425" width="4" style="312" customWidth="1"/>
    <col min="7426" max="7426" width="4.77734375" style="312" customWidth="1"/>
    <col min="7427" max="7427" width="9.88671875" style="312" customWidth="1"/>
    <col min="7428" max="7428" width="33.44140625" style="312" customWidth="1"/>
    <col min="7429" max="7429" width="7.77734375" style="312" customWidth="1"/>
    <col min="7430" max="7430" width="4.88671875" style="312" customWidth="1"/>
    <col min="7431" max="7431" width="3" style="312" customWidth="1"/>
    <col min="7432" max="7432" width="5.77734375" style="312" customWidth="1"/>
    <col min="7433" max="7433" width="4.109375" style="312" customWidth="1"/>
    <col min="7434" max="7680" width="8.88671875" style="312"/>
    <col min="7681" max="7681" width="4" style="312" customWidth="1"/>
    <col min="7682" max="7682" width="4.77734375" style="312" customWidth="1"/>
    <col min="7683" max="7683" width="9.88671875" style="312" customWidth="1"/>
    <col min="7684" max="7684" width="33.44140625" style="312" customWidth="1"/>
    <col min="7685" max="7685" width="7.77734375" style="312" customWidth="1"/>
    <col min="7686" max="7686" width="4.88671875" style="312" customWidth="1"/>
    <col min="7687" max="7687" width="3" style="312" customWidth="1"/>
    <col min="7688" max="7688" width="5.77734375" style="312" customWidth="1"/>
    <col min="7689" max="7689" width="4.109375" style="312" customWidth="1"/>
    <col min="7690" max="7936" width="8.88671875" style="312"/>
    <col min="7937" max="7937" width="4" style="312" customWidth="1"/>
    <col min="7938" max="7938" width="4.77734375" style="312" customWidth="1"/>
    <col min="7939" max="7939" width="9.88671875" style="312" customWidth="1"/>
    <col min="7940" max="7940" width="33.44140625" style="312" customWidth="1"/>
    <col min="7941" max="7941" width="7.77734375" style="312" customWidth="1"/>
    <col min="7942" max="7942" width="4.88671875" style="312" customWidth="1"/>
    <col min="7943" max="7943" width="3" style="312" customWidth="1"/>
    <col min="7944" max="7944" width="5.77734375" style="312" customWidth="1"/>
    <col min="7945" max="7945" width="4.109375" style="312" customWidth="1"/>
    <col min="7946" max="8192" width="8.88671875" style="312"/>
    <col min="8193" max="8193" width="4" style="312" customWidth="1"/>
    <col min="8194" max="8194" width="4.77734375" style="312" customWidth="1"/>
    <col min="8195" max="8195" width="9.88671875" style="312" customWidth="1"/>
    <col min="8196" max="8196" width="33.44140625" style="312" customWidth="1"/>
    <col min="8197" max="8197" width="7.77734375" style="312" customWidth="1"/>
    <col min="8198" max="8198" width="4.88671875" style="312" customWidth="1"/>
    <col min="8199" max="8199" width="3" style="312" customWidth="1"/>
    <col min="8200" max="8200" width="5.77734375" style="312" customWidth="1"/>
    <col min="8201" max="8201" width="4.109375" style="312" customWidth="1"/>
    <col min="8202" max="8448" width="8.88671875" style="312"/>
    <col min="8449" max="8449" width="4" style="312" customWidth="1"/>
    <col min="8450" max="8450" width="4.77734375" style="312" customWidth="1"/>
    <col min="8451" max="8451" width="9.88671875" style="312" customWidth="1"/>
    <col min="8452" max="8452" width="33.44140625" style="312" customWidth="1"/>
    <col min="8453" max="8453" width="7.77734375" style="312" customWidth="1"/>
    <col min="8454" max="8454" width="4.88671875" style="312" customWidth="1"/>
    <col min="8455" max="8455" width="3" style="312" customWidth="1"/>
    <col min="8456" max="8456" width="5.77734375" style="312" customWidth="1"/>
    <col min="8457" max="8457" width="4.109375" style="312" customWidth="1"/>
    <col min="8458" max="8704" width="8.88671875" style="312"/>
    <col min="8705" max="8705" width="4" style="312" customWidth="1"/>
    <col min="8706" max="8706" width="4.77734375" style="312" customWidth="1"/>
    <col min="8707" max="8707" width="9.88671875" style="312" customWidth="1"/>
    <col min="8708" max="8708" width="33.44140625" style="312" customWidth="1"/>
    <col min="8709" max="8709" width="7.77734375" style="312" customWidth="1"/>
    <col min="8710" max="8710" width="4.88671875" style="312" customWidth="1"/>
    <col min="8711" max="8711" width="3" style="312" customWidth="1"/>
    <col min="8712" max="8712" width="5.77734375" style="312" customWidth="1"/>
    <col min="8713" max="8713" width="4.109375" style="312" customWidth="1"/>
    <col min="8714" max="8960" width="8.88671875" style="312"/>
    <col min="8961" max="8961" width="4" style="312" customWidth="1"/>
    <col min="8962" max="8962" width="4.77734375" style="312" customWidth="1"/>
    <col min="8963" max="8963" width="9.88671875" style="312" customWidth="1"/>
    <col min="8964" max="8964" width="33.44140625" style="312" customWidth="1"/>
    <col min="8965" max="8965" width="7.77734375" style="312" customWidth="1"/>
    <col min="8966" max="8966" width="4.88671875" style="312" customWidth="1"/>
    <col min="8967" max="8967" width="3" style="312" customWidth="1"/>
    <col min="8968" max="8968" width="5.77734375" style="312" customWidth="1"/>
    <col min="8969" max="8969" width="4.109375" style="312" customWidth="1"/>
    <col min="8970" max="9216" width="8.88671875" style="312"/>
    <col min="9217" max="9217" width="4" style="312" customWidth="1"/>
    <col min="9218" max="9218" width="4.77734375" style="312" customWidth="1"/>
    <col min="9219" max="9219" width="9.88671875" style="312" customWidth="1"/>
    <col min="9220" max="9220" width="33.44140625" style="312" customWidth="1"/>
    <col min="9221" max="9221" width="7.77734375" style="312" customWidth="1"/>
    <col min="9222" max="9222" width="4.88671875" style="312" customWidth="1"/>
    <col min="9223" max="9223" width="3" style="312" customWidth="1"/>
    <col min="9224" max="9224" width="5.77734375" style="312" customWidth="1"/>
    <col min="9225" max="9225" width="4.109375" style="312" customWidth="1"/>
    <col min="9226" max="9472" width="8.88671875" style="312"/>
    <col min="9473" max="9473" width="4" style="312" customWidth="1"/>
    <col min="9474" max="9474" width="4.77734375" style="312" customWidth="1"/>
    <col min="9475" max="9475" width="9.88671875" style="312" customWidth="1"/>
    <col min="9476" max="9476" width="33.44140625" style="312" customWidth="1"/>
    <col min="9477" max="9477" width="7.77734375" style="312" customWidth="1"/>
    <col min="9478" max="9478" width="4.88671875" style="312" customWidth="1"/>
    <col min="9479" max="9479" width="3" style="312" customWidth="1"/>
    <col min="9480" max="9480" width="5.77734375" style="312" customWidth="1"/>
    <col min="9481" max="9481" width="4.109375" style="312" customWidth="1"/>
    <col min="9482" max="9728" width="8.88671875" style="312"/>
    <col min="9729" max="9729" width="4" style="312" customWidth="1"/>
    <col min="9730" max="9730" width="4.77734375" style="312" customWidth="1"/>
    <col min="9731" max="9731" width="9.88671875" style="312" customWidth="1"/>
    <col min="9732" max="9732" width="33.44140625" style="312" customWidth="1"/>
    <col min="9733" max="9733" width="7.77734375" style="312" customWidth="1"/>
    <col min="9734" max="9734" width="4.88671875" style="312" customWidth="1"/>
    <col min="9735" max="9735" width="3" style="312" customWidth="1"/>
    <col min="9736" max="9736" width="5.77734375" style="312" customWidth="1"/>
    <col min="9737" max="9737" width="4.109375" style="312" customWidth="1"/>
    <col min="9738" max="9984" width="8.88671875" style="312"/>
    <col min="9985" max="9985" width="4" style="312" customWidth="1"/>
    <col min="9986" max="9986" width="4.77734375" style="312" customWidth="1"/>
    <col min="9987" max="9987" width="9.88671875" style="312" customWidth="1"/>
    <col min="9988" max="9988" width="33.44140625" style="312" customWidth="1"/>
    <col min="9989" max="9989" width="7.77734375" style="312" customWidth="1"/>
    <col min="9990" max="9990" width="4.88671875" style="312" customWidth="1"/>
    <col min="9991" max="9991" width="3" style="312" customWidth="1"/>
    <col min="9992" max="9992" width="5.77734375" style="312" customWidth="1"/>
    <col min="9993" max="9993" width="4.109375" style="312" customWidth="1"/>
    <col min="9994" max="10240" width="8.88671875" style="312"/>
    <col min="10241" max="10241" width="4" style="312" customWidth="1"/>
    <col min="10242" max="10242" width="4.77734375" style="312" customWidth="1"/>
    <col min="10243" max="10243" width="9.88671875" style="312" customWidth="1"/>
    <col min="10244" max="10244" width="33.44140625" style="312" customWidth="1"/>
    <col min="10245" max="10245" width="7.77734375" style="312" customWidth="1"/>
    <col min="10246" max="10246" width="4.88671875" style="312" customWidth="1"/>
    <col min="10247" max="10247" width="3" style="312" customWidth="1"/>
    <col min="10248" max="10248" width="5.77734375" style="312" customWidth="1"/>
    <col min="10249" max="10249" width="4.109375" style="312" customWidth="1"/>
    <col min="10250" max="10496" width="8.88671875" style="312"/>
    <col min="10497" max="10497" width="4" style="312" customWidth="1"/>
    <col min="10498" max="10498" width="4.77734375" style="312" customWidth="1"/>
    <col min="10499" max="10499" width="9.88671875" style="312" customWidth="1"/>
    <col min="10500" max="10500" width="33.44140625" style="312" customWidth="1"/>
    <col min="10501" max="10501" width="7.77734375" style="312" customWidth="1"/>
    <col min="10502" max="10502" width="4.88671875" style="312" customWidth="1"/>
    <col min="10503" max="10503" width="3" style="312" customWidth="1"/>
    <col min="10504" max="10504" width="5.77734375" style="312" customWidth="1"/>
    <col min="10505" max="10505" width="4.109375" style="312" customWidth="1"/>
    <col min="10506" max="10752" width="8.88671875" style="312"/>
    <col min="10753" max="10753" width="4" style="312" customWidth="1"/>
    <col min="10754" max="10754" width="4.77734375" style="312" customWidth="1"/>
    <col min="10755" max="10755" width="9.88671875" style="312" customWidth="1"/>
    <col min="10756" max="10756" width="33.44140625" style="312" customWidth="1"/>
    <col min="10757" max="10757" width="7.77734375" style="312" customWidth="1"/>
    <col min="10758" max="10758" width="4.88671875" style="312" customWidth="1"/>
    <col min="10759" max="10759" width="3" style="312" customWidth="1"/>
    <col min="10760" max="10760" width="5.77734375" style="312" customWidth="1"/>
    <col min="10761" max="10761" width="4.109375" style="312" customWidth="1"/>
    <col min="10762" max="11008" width="8.88671875" style="312"/>
    <col min="11009" max="11009" width="4" style="312" customWidth="1"/>
    <col min="11010" max="11010" width="4.77734375" style="312" customWidth="1"/>
    <col min="11011" max="11011" width="9.88671875" style="312" customWidth="1"/>
    <col min="11012" max="11012" width="33.44140625" style="312" customWidth="1"/>
    <col min="11013" max="11013" width="7.77734375" style="312" customWidth="1"/>
    <col min="11014" max="11014" width="4.88671875" style="312" customWidth="1"/>
    <col min="11015" max="11015" width="3" style="312" customWidth="1"/>
    <col min="11016" max="11016" width="5.77734375" style="312" customWidth="1"/>
    <col min="11017" max="11017" width="4.109375" style="312" customWidth="1"/>
    <col min="11018" max="11264" width="8.88671875" style="312"/>
    <col min="11265" max="11265" width="4" style="312" customWidth="1"/>
    <col min="11266" max="11266" width="4.77734375" style="312" customWidth="1"/>
    <col min="11267" max="11267" width="9.88671875" style="312" customWidth="1"/>
    <col min="11268" max="11268" width="33.44140625" style="312" customWidth="1"/>
    <col min="11269" max="11269" width="7.77734375" style="312" customWidth="1"/>
    <col min="11270" max="11270" width="4.88671875" style="312" customWidth="1"/>
    <col min="11271" max="11271" width="3" style="312" customWidth="1"/>
    <col min="11272" max="11272" width="5.77734375" style="312" customWidth="1"/>
    <col min="11273" max="11273" width="4.109375" style="312" customWidth="1"/>
    <col min="11274" max="11520" width="8.88671875" style="312"/>
    <col min="11521" max="11521" width="4" style="312" customWidth="1"/>
    <col min="11522" max="11522" width="4.77734375" style="312" customWidth="1"/>
    <col min="11523" max="11523" width="9.88671875" style="312" customWidth="1"/>
    <col min="11524" max="11524" width="33.44140625" style="312" customWidth="1"/>
    <col min="11525" max="11525" width="7.77734375" style="312" customWidth="1"/>
    <col min="11526" max="11526" width="4.88671875" style="312" customWidth="1"/>
    <col min="11527" max="11527" width="3" style="312" customWidth="1"/>
    <col min="11528" max="11528" width="5.77734375" style="312" customWidth="1"/>
    <col min="11529" max="11529" width="4.109375" style="312" customWidth="1"/>
    <col min="11530" max="11776" width="8.88671875" style="312"/>
    <col min="11777" max="11777" width="4" style="312" customWidth="1"/>
    <col min="11778" max="11778" width="4.77734375" style="312" customWidth="1"/>
    <col min="11779" max="11779" width="9.88671875" style="312" customWidth="1"/>
    <col min="11780" max="11780" width="33.44140625" style="312" customWidth="1"/>
    <col min="11781" max="11781" width="7.77734375" style="312" customWidth="1"/>
    <col min="11782" max="11782" width="4.88671875" style="312" customWidth="1"/>
    <col min="11783" max="11783" width="3" style="312" customWidth="1"/>
    <col min="11784" max="11784" width="5.77734375" style="312" customWidth="1"/>
    <col min="11785" max="11785" width="4.109375" style="312" customWidth="1"/>
    <col min="11786" max="12032" width="8.88671875" style="312"/>
    <col min="12033" max="12033" width="4" style="312" customWidth="1"/>
    <col min="12034" max="12034" width="4.77734375" style="312" customWidth="1"/>
    <col min="12035" max="12035" width="9.88671875" style="312" customWidth="1"/>
    <col min="12036" max="12036" width="33.44140625" style="312" customWidth="1"/>
    <col min="12037" max="12037" width="7.77734375" style="312" customWidth="1"/>
    <col min="12038" max="12038" width="4.88671875" style="312" customWidth="1"/>
    <col min="12039" max="12039" width="3" style="312" customWidth="1"/>
    <col min="12040" max="12040" width="5.77734375" style="312" customWidth="1"/>
    <col min="12041" max="12041" width="4.109375" style="312" customWidth="1"/>
    <col min="12042" max="12288" width="8.88671875" style="312"/>
    <col min="12289" max="12289" width="4" style="312" customWidth="1"/>
    <col min="12290" max="12290" width="4.77734375" style="312" customWidth="1"/>
    <col min="12291" max="12291" width="9.88671875" style="312" customWidth="1"/>
    <col min="12292" max="12292" width="33.44140625" style="312" customWidth="1"/>
    <col min="12293" max="12293" width="7.77734375" style="312" customWidth="1"/>
    <col min="12294" max="12294" width="4.88671875" style="312" customWidth="1"/>
    <col min="12295" max="12295" width="3" style="312" customWidth="1"/>
    <col min="12296" max="12296" width="5.77734375" style="312" customWidth="1"/>
    <col min="12297" max="12297" width="4.109375" style="312" customWidth="1"/>
    <col min="12298" max="12544" width="8.88671875" style="312"/>
    <col min="12545" max="12545" width="4" style="312" customWidth="1"/>
    <col min="12546" max="12546" width="4.77734375" style="312" customWidth="1"/>
    <col min="12547" max="12547" width="9.88671875" style="312" customWidth="1"/>
    <col min="12548" max="12548" width="33.44140625" style="312" customWidth="1"/>
    <col min="12549" max="12549" width="7.77734375" style="312" customWidth="1"/>
    <col min="12550" max="12550" width="4.88671875" style="312" customWidth="1"/>
    <col min="12551" max="12551" width="3" style="312" customWidth="1"/>
    <col min="12552" max="12552" width="5.77734375" style="312" customWidth="1"/>
    <col min="12553" max="12553" width="4.109375" style="312" customWidth="1"/>
    <col min="12554" max="12800" width="8.88671875" style="312"/>
    <col min="12801" max="12801" width="4" style="312" customWidth="1"/>
    <col min="12802" max="12802" width="4.77734375" style="312" customWidth="1"/>
    <col min="12803" max="12803" width="9.88671875" style="312" customWidth="1"/>
    <col min="12804" max="12804" width="33.44140625" style="312" customWidth="1"/>
    <col min="12805" max="12805" width="7.77734375" style="312" customWidth="1"/>
    <col min="12806" max="12806" width="4.88671875" style="312" customWidth="1"/>
    <col min="12807" max="12807" width="3" style="312" customWidth="1"/>
    <col min="12808" max="12808" width="5.77734375" style="312" customWidth="1"/>
    <col min="12809" max="12809" width="4.109375" style="312" customWidth="1"/>
    <col min="12810" max="13056" width="8.88671875" style="312"/>
    <col min="13057" max="13057" width="4" style="312" customWidth="1"/>
    <col min="13058" max="13058" width="4.77734375" style="312" customWidth="1"/>
    <col min="13059" max="13059" width="9.88671875" style="312" customWidth="1"/>
    <col min="13060" max="13060" width="33.44140625" style="312" customWidth="1"/>
    <col min="13061" max="13061" width="7.77734375" style="312" customWidth="1"/>
    <col min="13062" max="13062" width="4.88671875" style="312" customWidth="1"/>
    <col min="13063" max="13063" width="3" style="312" customWidth="1"/>
    <col min="13064" max="13064" width="5.77734375" style="312" customWidth="1"/>
    <col min="13065" max="13065" width="4.109375" style="312" customWidth="1"/>
    <col min="13066" max="13312" width="8.88671875" style="312"/>
    <col min="13313" max="13313" width="4" style="312" customWidth="1"/>
    <col min="13314" max="13314" width="4.77734375" style="312" customWidth="1"/>
    <col min="13315" max="13315" width="9.88671875" style="312" customWidth="1"/>
    <col min="13316" max="13316" width="33.44140625" style="312" customWidth="1"/>
    <col min="13317" max="13317" width="7.77734375" style="312" customWidth="1"/>
    <col min="13318" max="13318" width="4.88671875" style="312" customWidth="1"/>
    <col min="13319" max="13319" width="3" style="312" customWidth="1"/>
    <col min="13320" max="13320" width="5.77734375" style="312" customWidth="1"/>
    <col min="13321" max="13321" width="4.109375" style="312" customWidth="1"/>
    <col min="13322" max="13568" width="8.88671875" style="312"/>
    <col min="13569" max="13569" width="4" style="312" customWidth="1"/>
    <col min="13570" max="13570" width="4.77734375" style="312" customWidth="1"/>
    <col min="13571" max="13571" width="9.88671875" style="312" customWidth="1"/>
    <col min="13572" max="13572" width="33.44140625" style="312" customWidth="1"/>
    <col min="13573" max="13573" width="7.77734375" style="312" customWidth="1"/>
    <col min="13574" max="13574" width="4.88671875" style="312" customWidth="1"/>
    <col min="13575" max="13575" width="3" style="312" customWidth="1"/>
    <col min="13576" max="13576" width="5.77734375" style="312" customWidth="1"/>
    <col min="13577" max="13577" width="4.109375" style="312" customWidth="1"/>
    <col min="13578" max="13824" width="8.88671875" style="312"/>
    <col min="13825" max="13825" width="4" style="312" customWidth="1"/>
    <col min="13826" max="13826" width="4.77734375" style="312" customWidth="1"/>
    <col min="13827" max="13827" width="9.88671875" style="312" customWidth="1"/>
    <col min="13828" max="13828" width="33.44140625" style="312" customWidth="1"/>
    <col min="13829" max="13829" width="7.77734375" style="312" customWidth="1"/>
    <col min="13830" max="13830" width="4.88671875" style="312" customWidth="1"/>
    <col min="13831" max="13831" width="3" style="312" customWidth="1"/>
    <col min="13832" max="13832" width="5.77734375" style="312" customWidth="1"/>
    <col min="13833" max="13833" width="4.109375" style="312" customWidth="1"/>
    <col min="13834" max="14080" width="8.88671875" style="312"/>
    <col min="14081" max="14081" width="4" style="312" customWidth="1"/>
    <col min="14082" max="14082" width="4.77734375" style="312" customWidth="1"/>
    <col min="14083" max="14083" width="9.88671875" style="312" customWidth="1"/>
    <col min="14084" max="14084" width="33.44140625" style="312" customWidth="1"/>
    <col min="14085" max="14085" width="7.77734375" style="312" customWidth="1"/>
    <col min="14086" max="14086" width="4.88671875" style="312" customWidth="1"/>
    <col min="14087" max="14087" width="3" style="312" customWidth="1"/>
    <col min="14088" max="14088" width="5.77734375" style="312" customWidth="1"/>
    <col min="14089" max="14089" width="4.109375" style="312" customWidth="1"/>
    <col min="14090" max="14336" width="8.88671875" style="312"/>
    <col min="14337" max="14337" width="4" style="312" customWidth="1"/>
    <col min="14338" max="14338" width="4.77734375" style="312" customWidth="1"/>
    <col min="14339" max="14339" width="9.88671875" style="312" customWidth="1"/>
    <col min="14340" max="14340" width="33.44140625" style="312" customWidth="1"/>
    <col min="14341" max="14341" width="7.77734375" style="312" customWidth="1"/>
    <col min="14342" max="14342" width="4.88671875" style="312" customWidth="1"/>
    <col min="14343" max="14343" width="3" style="312" customWidth="1"/>
    <col min="14344" max="14344" width="5.77734375" style="312" customWidth="1"/>
    <col min="14345" max="14345" width="4.109375" style="312" customWidth="1"/>
    <col min="14346" max="14592" width="8.88671875" style="312"/>
    <col min="14593" max="14593" width="4" style="312" customWidth="1"/>
    <col min="14594" max="14594" width="4.77734375" style="312" customWidth="1"/>
    <col min="14595" max="14595" width="9.88671875" style="312" customWidth="1"/>
    <col min="14596" max="14596" width="33.44140625" style="312" customWidth="1"/>
    <col min="14597" max="14597" width="7.77734375" style="312" customWidth="1"/>
    <col min="14598" max="14598" width="4.88671875" style="312" customWidth="1"/>
    <col min="14599" max="14599" width="3" style="312" customWidth="1"/>
    <col min="14600" max="14600" width="5.77734375" style="312" customWidth="1"/>
    <col min="14601" max="14601" width="4.109375" style="312" customWidth="1"/>
    <col min="14602" max="14848" width="8.88671875" style="312"/>
    <col min="14849" max="14849" width="4" style="312" customWidth="1"/>
    <col min="14850" max="14850" width="4.77734375" style="312" customWidth="1"/>
    <col min="14851" max="14851" width="9.88671875" style="312" customWidth="1"/>
    <col min="14852" max="14852" width="33.44140625" style="312" customWidth="1"/>
    <col min="14853" max="14853" width="7.77734375" style="312" customWidth="1"/>
    <col min="14854" max="14854" width="4.88671875" style="312" customWidth="1"/>
    <col min="14855" max="14855" width="3" style="312" customWidth="1"/>
    <col min="14856" max="14856" width="5.77734375" style="312" customWidth="1"/>
    <col min="14857" max="14857" width="4.109375" style="312" customWidth="1"/>
    <col min="14858" max="15104" width="8.88671875" style="312"/>
    <col min="15105" max="15105" width="4" style="312" customWidth="1"/>
    <col min="15106" max="15106" width="4.77734375" style="312" customWidth="1"/>
    <col min="15107" max="15107" width="9.88671875" style="312" customWidth="1"/>
    <col min="15108" max="15108" width="33.44140625" style="312" customWidth="1"/>
    <col min="15109" max="15109" width="7.77734375" style="312" customWidth="1"/>
    <col min="15110" max="15110" width="4.88671875" style="312" customWidth="1"/>
    <col min="15111" max="15111" width="3" style="312" customWidth="1"/>
    <col min="15112" max="15112" width="5.77734375" style="312" customWidth="1"/>
    <col min="15113" max="15113" width="4.109375" style="312" customWidth="1"/>
    <col min="15114" max="15360" width="8.88671875" style="312"/>
    <col min="15361" max="15361" width="4" style="312" customWidth="1"/>
    <col min="15362" max="15362" width="4.77734375" style="312" customWidth="1"/>
    <col min="15363" max="15363" width="9.88671875" style="312" customWidth="1"/>
    <col min="15364" max="15364" width="33.44140625" style="312" customWidth="1"/>
    <col min="15365" max="15365" width="7.77734375" style="312" customWidth="1"/>
    <col min="15366" max="15366" width="4.88671875" style="312" customWidth="1"/>
    <col min="15367" max="15367" width="3" style="312" customWidth="1"/>
    <col min="15368" max="15368" width="5.77734375" style="312" customWidth="1"/>
    <col min="15369" max="15369" width="4.109375" style="312" customWidth="1"/>
    <col min="15370" max="15616" width="8.88671875" style="312"/>
    <col min="15617" max="15617" width="4" style="312" customWidth="1"/>
    <col min="15618" max="15618" width="4.77734375" style="312" customWidth="1"/>
    <col min="15619" max="15619" width="9.88671875" style="312" customWidth="1"/>
    <col min="15620" max="15620" width="33.44140625" style="312" customWidth="1"/>
    <col min="15621" max="15621" width="7.77734375" style="312" customWidth="1"/>
    <col min="15622" max="15622" width="4.88671875" style="312" customWidth="1"/>
    <col min="15623" max="15623" width="3" style="312" customWidth="1"/>
    <col min="15624" max="15624" width="5.77734375" style="312" customWidth="1"/>
    <col min="15625" max="15625" width="4.109375" style="312" customWidth="1"/>
    <col min="15626" max="15872" width="8.88671875" style="312"/>
    <col min="15873" max="15873" width="4" style="312" customWidth="1"/>
    <col min="15874" max="15874" width="4.77734375" style="312" customWidth="1"/>
    <col min="15875" max="15875" width="9.88671875" style="312" customWidth="1"/>
    <col min="15876" max="15876" width="33.44140625" style="312" customWidth="1"/>
    <col min="15877" max="15877" width="7.77734375" style="312" customWidth="1"/>
    <col min="15878" max="15878" width="4.88671875" style="312" customWidth="1"/>
    <col min="15879" max="15879" width="3" style="312" customWidth="1"/>
    <col min="15880" max="15880" width="5.77734375" style="312" customWidth="1"/>
    <col min="15881" max="15881" width="4.109375" style="312" customWidth="1"/>
    <col min="15882" max="16128" width="8.88671875" style="312"/>
    <col min="16129" max="16129" width="4" style="312" customWidth="1"/>
    <col min="16130" max="16130" width="4.77734375" style="312" customWidth="1"/>
    <col min="16131" max="16131" width="9.88671875" style="312" customWidth="1"/>
    <col min="16132" max="16132" width="33.44140625" style="312" customWidth="1"/>
    <col min="16133" max="16133" width="7.77734375" style="312" customWidth="1"/>
    <col min="16134" max="16134" width="4.88671875" style="312" customWidth="1"/>
    <col min="16135" max="16135" width="3" style="312" customWidth="1"/>
    <col min="16136" max="16136" width="5.77734375" style="312" customWidth="1"/>
    <col min="16137" max="16137" width="4.109375" style="312" customWidth="1"/>
    <col min="16138" max="16384" width="8.88671875" style="312"/>
  </cols>
  <sheetData>
    <row r="1" spans="1:12" ht="30" customHeight="1">
      <c r="A1" s="1635" t="s">
        <v>205</v>
      </c>
      <c r="B1" s="1635"/>
      <c r="C1" s="1635"/>
      <c r="D1" s="1635"/>
      <c r="E1" s="1635"/>
      <c r="F1" s="1635"/>
      <c r="G1" s="1635"/>
      <c r="H1" s="1635"/>
      <c r="I1" s="1635"/>
    </row>
    <row r="2" spans="1:12" ht="21.75" customHeight="1">
      <c r="A2" s="313"/>
      <c r="B2" s="313"/>
      <c r="C2" s="313"/>
      <c r="D2" s="313"/>
      <c r="E2" s="313"/>
      <c r="F2" s="313"/>
      <c r="G2" s="313"/>
      <c r="H2" s="313" t="s">
        <v>136</v>
      </c>
      <c r="I2" s="313"/>
    </row>
    <row r="3" spans="1:12" ht="25.5" customHeight="1">
      <c r="A3" s="1636" t="s">
        <v>137</v>
      </c>
      <c r="B3" s="1637"/>
      <c r="C3" s="1637"/>
      <c r="D3" s="314" t="s">
        <v>138</v>
      </c>
      <c r="E3" s="1637" t="s">
        <v>139</v>
      </c>
      <c r="F3" s="1637"/>
      <c r="G3" s="1637" t="s">
        <v>140</v>
      </c>
      <c r="H3" s="1637"/>
      <c r="I3" s="1655"/>
    </row>
    <row r="4" spans="1:12" ht="30.75" customHeight="1">
      <c r="A4" s="1650" t="s">
        <v>101</v>
      </c>
      <c r="B4" s="1653" t="s">
        <v>563</v>
      </c>
      <c r="C4" s="1653"/>
      <c r="D4" s="315" t="s">
        <v>598</v>
      </c>
      <c r="E4" s="316">
        <f>ROUND(((1.7^2)-(PI()*0.6^2)/4)*0.2,3)</f>
        <v>0.52100000000000002</v>
      </c>
      <c r="F4" s="317" t="s">
        <v>128</v>
      </c>
      <c r="G4" s="1631"/>
      <c r="H4" s="1631"/>
      <c r="I4" s="1656"/>
    </row>
    <row r="5" spans="1:12" ht="30" customHeight="1">
      <c r="A5" s="1617"/>
      <c r="B5" s="1619" t="s">
        <v>564</v>
      </c>
      <c r="C5" s="1619"/>
      <c r="D5" s="318" t="s">
        <v>565</v>
      </c>
      <c r="E5" s="319">
        <f>ROUND(((1.7^2)-(1.2^2))*1,3)</f>
        <v>1.45</v>
      </c>
      <c r="F5" s="320" t="s">
        <v>128</v>
      </c>
      <c r="G5" s="1615" t="s">
        <v>145</v>
      </c>
      <c r="H5" s="1615"/>
      <c r="I5" s="1620"/>
    </row>
    <row r="6" spans="1:12" ht="30" customHeight="1">
      <c r="A6" s="1617"/>
      <c r="B6" s="1619" t="s">
        <v>566</v>
      </c>
      <c r="C6" s="1619"/>
      <c r="D6" s="318" t="s">
        <v>567</v>
      </c>
      <c r="E6" s="319">
        <f>ROUND(2*2*0.3,3)</f>
        <v>1.2</v>
      </c>
      <c r="F6" s="320" t="s">
        <v>128</v>
      </c>
      <c r="G6" s="1615"/>
      <c r="H6" s="1615"/>
      <c r="I6" s="1620"/>
    </row>
    <row r="7" spans="1:12" ht="30" customHeight="1">
      <c r="A7" s="1617"/>
      <c r="B7" s="1619" t="s">
        <v>568</v>
      </c>
      <c r="C7" s="1619"/>
      <c r="D7" s="318" t="s">
        <v>569</v>
      </c>
      <c r="E7" s="319">
        <f>ROUND(2.2*2.2*0.1,3)</f>
        <v>0.48399999999999999</v>
      </c>
      <c r="F7" s="320" t="s">
        <v>128</v>
      </c>
      <c r="G7" s="1615"/>
      <c r="H7" s="1615"/>
      <c r="I7" s="1620"/>
    </row>
    <row r="8" spans="1:12" ht="54" customHeight="1">
      <c r="A8" s="321" t="s">
        <v>546</v>
      </c>
      <c r="B8" s="1619" t="s">
        <v>570</v>
      </c>
      <c r="C8" s="1619"/>
      <c r="D8" s="322" t="s">
        <v>599</v>
      </c>
      <c r="E8" s="319">
        <f>ROUND(((0.8^2)-(PI()*0.6^2)/4)*0.1,3)</f>
        <v>3.5999999999999997E-2</v>
      </c>
      <c r="F8" s="320" t="s">
        <v>128</v>
      </c>
      <c r="G8" s="1615"/>
      <c r="H8" s="1615"/>
      <c r="I8" s="1620"/>
    </row>
    <row r="9" spans="1:12" ht="26.25" customHeight="1">
      <c r="A9" s="1617" t="s">
        <v>571</v>
      </c>
      <c r="B9" s="1615"/>
      <c r="C9" s="1615"/>
      <c r="D9" s="318" t="s">
        <v>600</v>
      </c>
      <c r="E9" s="323">
        <f>ROUND(((0.8^2)-(PI()*0.6^2)/4)*0.01,3)</f>
        <v>4.0000000000000001E-3</v>
      </c>
      <c r="F9" s="320" t="s">
        <v>128</v>
      </c>
      <c r="G9" s="1615"/>
      <c r="H9" s="1615"/>
      <c r="I9" s="1620"/>
    </row>
    <row r="10" spans="1:12" ht="26.25" customHeight="1">
      <c r="A10" s="1626" t="s">
        <v>120</v>
      </c>
      <c r="B10" s="1651" t="s">
        <v>121</v>
      </c>
      <c r="C10" s="324" t="s">
        <v>149</v>
      </c>
      <c r="D10" s="318" t="s">
        <v>601</v>
      </c>
      <c r="E10" s="319">
        <f>ROUND((1.2^2)-(PI()*0.6^2)/4,3)</f>
        <v>1.157</v>
      </c>
      <c r="F10" s="320" t="s">
        <v>127</v>
      </c>
      <c r="G10" s="1615" t="s">
        <v>107</v>
      </c>
      <c r="H10" s="1615"/>
      <c r="I10" s="1620"/>
    </row>
    <row r="11" spans="1:12" ht="29.25" customHeight="1">
      <c r="A11" s="1627"/>
      <c r="B11" s="1652"/>
      <c r="C11" s="324" t="s">
        <v>149</v>
      </c>
      <c r="D11" s="318" t="s">
        <v>572</v>
      </c>
      <c r="E11" s="319">
        <f>ROUND(1.7*0.2*4,3)</f>
        <v>1.36</v>
      </c>
      <c r="F11" s="320" t="s">
        <v>127</v>
      </c>
      <c r="G11" s="1615" t="s">
        <v>124</v>
      </c>
      <c r="H11" s="1615"/>
      <c r="I11" s="1620"/>
    </row>
    <row r="12" spans="1:12" ht="29.25" customHeight="1">
      <c r="A12" s="1627"/>
      <c r="B12" s="1652"/>
      <c r="C12" s="324" t="s">
        <v>153</v>
      </c>
      <c r="D12" s="318" t="s">
        <v>573</v>
      </c>
      <c r="E12" s="319">
        <f>ROUND(2*0.3*4,3)</f>
        <v>2.4</v>
      </c>
      <c r="F12" s="320" t="s">
        <v>127</v>
      </c>
      <c r="G12" s="1615"/>
      <c r="H12" s="1615"/>
      <c r="I12" s="1620"/>
    </row>
    <row r="13" spans="1:12" ht="29.25" customHeight="1">
      <c r="A13" s="1627"/>
      <c r="B13" s="1653"/>
      <c r="C13" s="324" t="s">
        <v>154</v>
      </c>
      <c r="D13" s="318" t="s">
        <v>574</v>
      </c>
      <c r="E13" s="319">
        <f>ROUND(1.2*1*4+1.7*1*4,3)</f>
        <v>11.6</v>
      </c>
      <c r="F13" s="320" t="s">
        <v>127</v>
      </c>
      <c r="G13" s="1615" t="s">
        <v>145</v>
      </c>
      <c r="H13" s="1615"/>
      <c r="I13" s="1620"/>
      <c r="L13" s="325"/>
    </row>
    <row r="14" spans="1:12" ht="29.25" customHeight="1">
      <c r="A14" s="1627"/>
      <c r="B14" s="324" t="s">
        <v>121</v>
      </c>
      <c r="C14" s="324" t="s">
        <v>575</v>
      </c>
      <c r="D14" s="318" t="s">
        <v>576</v>
      </c>
      <c r="E14" s="319">
        <f>ROUND(2.2*0.1*4,3)</f>
        <v>0.88</v>
      </c>
      <c r="F14" s="320" t="s">
        <v>127</v>
      </c>
      <c r="G14" s="1615"/>
      <c r="H14" s="1615"/>
      <c r="I14" s="1620"/>
    </row>
    <row r="15" spans="1:12" ht="29.25" customHeight="1">
      <c r="A15" s="1627"/>
      <c r="B15" s="1651" t="s">
        <v>552</v>
      </c>
      <c r="C15" s="324" t="s">
        <v>577</v>
      </c>
      <c r="D15" s="318" t="s">
        <v>578</v>
      </c>
      <c r="E15" s="319">
        <f>ROUND(PI()*0.6*0.2,3)</f>
        <v>0.377</v>
      </c>
      <c r="F15" s="326" t="s">
        <v>194</v>
      </c>
      <c r="G15" s="1615" t="s">
        <v>109</v>
      </c>
      <c r="H15" s="1615"/>
      <c r="I15" s="1620"/>
    </row>
    <row r="16" spans="1:12" ht="29.25" customHeight="1">
      <c r="A16" s="1650"/>
      <c r="B16" s="1654"/>
      <c r="C16" s="324" t="s">
        <v>579</v>
      </c>
      <c r="D16" s="318" t="s">
        <v>596</v>
      </c>
      <c r="E16" s="319">
        <v>0.44</v>
      </c>
      <c r="F16" s="326" t="s">
        <v>127</v>
      </c>
      <c r="G16" s="1615" t="s">
        <v>111</v>
      </c>
      <c r="H16" s="1615"/>
      <c r="I16" s="1620"/>
    </row>
    <row r="17" spans="1:15" ht="27" customHeight="1">
      <c r="A17" s="1618" t="s">
        <v>160</v>
      </c>
      <c r="B17" s="1619"/>
      <c r="C17" s="1619"/>
      <c r="D17" s="318" t="s">
        <v>161</v>
      </c>
      <c r="E17" s="319" t="s">
        <v>111</v>
      </c>
      <c r="F17" s="326" t="s">
        <v>111</v>
      </c>
      <c r="G17" s="1615" t="s">
        <v>111</v>
      </c>
      <c r="H17" s="1615"/>
      <c r="I17" s="1620"/>
    </row>
    <row r="18" spans="1:15" ht="24" customHeight="1">
      <c r="A18" s="1618" t="s">
        <v>162</v>
      </c>
      <c r="B18" s="1619"/>
      <c r="C18" s="1619"/>
      <c r="D18" s="318" t="s">
        <v>602</v>
      </c>
      <c r="E18" s="319">
        <f>ROUND(((1.2^2)-(PI()*0.6^2)/4)*1,3)</f>
        <v>1.157</v>
      </c>
      <c r="F18" s="326" t="s">
        <v>116</v>
      </c>
      <c r="G18" s="1615" t="s">
        <v>145</v>
      </c>
      <c r="H18" s="1615"/>
      <c r="I18" s="1620"/>
    </row>
    <row r="19" spans="1:15" ht="24" customHeight="1">
      <c r="A19" s="1617" t="s">
        <v>581</v>
      </c>
      <c r="B19" s="1615"/>
      <c r="C19" s="1615"/>
      <c r="D19" s="318" t="s">
        <v>582</v>
      </c>
      <c r="E19" s="319">
        <f>ROUND(1.2*1*4,3)</f>
        <v>4.8</v>
      </c>
      <c r="F19" s="320" t="s">
        <v>127</v>
      </c>
      <c r="G19" s="1615" t="s">
        <v>145</v>
      </c>
      <c r="H19" s="1615"/>
      <c r="I19" s="1620"/>
    </row>
    <row r="20" spans="1:15" ht="37.5" customHeight="1">
      <c r="A20" s="1617" t="s">
        <v>555</v>
      </c>
      <c r="B20" s="1615"/>
      <c r="C20" s="1615"/>
      <c r="D20" s="322" t="s">
        <v>583</v>
      </c>
      <c r="E20" s="319">
        <f>ROUND((1.7^2-PI()*0.6^2/4)+(2*2),3)</f>
        <v>6.6070000000000002</v>
      </c>
      <c r="F20" s="320" t="s">
        <v>127</v>
      </c>
      <c r="G20" s="1619" t="s">
        <v>164</v>
      </c>
      <c r="H20" s="1619"/>
      <c r="I20" s="1643"/>
      <c r="J20" s="312" t="s">
        <v>233</v>
      </c>
      <c r="K20" s="327">
        <v>2.74</v>
      </c>
    </row>
    <row r="21" spans="1:15" ht="20.25" customHeight="1">
      <c r="A21" s="1618" t="s">
        <v>556</v>
      </c>
      <c r="B21" s="1619"/>
      <c r="C21" s="1615" t="s">
        <v>102</v>
      </c>
      <c r="D21" s="322" t="s">
        <v>584</v>
      </c>
      <c r="E21" s="319">
        <v>0.01</v>
      </c>
      <c r="F21" s="328" t="s">
        <v>118</v>
      </c>
      <c r="G21" s="329" t="s">
        <v>111</v>
      </c>
      <c r="H21" s="330" t="s">
        <v>585</v>
      </c>
      <c r="I21" s="331" t="s">
        <v>111</v>
      </c>
      <c r="J21" s="312" t="s">
        <v>586</v>
      </c>
      <c r="K21" s="312" t="s">
        <v>587</v>
      </c>
      <c r="L21" s="312" t="s">
        <v>588</v>
      </c>
      <c r="M21" s="312" t="s">
        <v>589</v>
      </c>
      <c r="N21" s="312" t="s">
        <v>590</v>
      </c>
      <c r="O21" s="312" t="s">
        <v>591</v>
      </c>
    </row>
    <row r="22" spans="1:15" ht="20.25" customHeight="1">
      <c r="A22" s="1618"/>
      <c r="B22" s="1619"/>
      <c r="C22" s="1615"/>
      <c r="D22" s="322" t="s">
        <v>592</v>
      </c>
      <c r="E22" s="319">
        <v>4.5999999999999999E-2</v>
      </c>
      <c r="F22" s="328" t="s">
        <v>118</v>
      </c>
      <c r="G22" s="1644"/>
      <c r="H22" s="1645"/>
      <c r="I22" s="1646"/>
      <c r="J22" s="312" t="s">
        <v>593</v>
      </c>
      <c r="K22" s="312">
        <f>K20+K20+0.3+1.45</f>
        <v>7.23</v>
      </c>
      <c r="L22" s="312">
        <v>22</v>
      </c>
      <c r="M22" s="312">
        <f>K22*L22</f>
        <v>159.06</v>
      </c>
    </row>
    <row r="23" spans="1:15" ht="20.25" customHeight="1">
      <c r="A23" s="1618"/>
      <c r="B23" s="1619"/>
      <c r="C23" s="332" t="s">
        <v>2</v>
      </c>
      <c r="D23" s="322" t="s">
        <v>592</v>
      </c>
      <c r="E23" s="319">
        <f>O23</f>
        <v>0.27900000000000003</v>
      </c>
      <c r="F23" s="328" t="s">
        <v>118</v>
      </c>
      <c r="G23" s="1647"/>
      <c r="H23" s="1648"/>
      <c r="I23" s="1649"/>
      <c r="J23" s="312" t="s">
        <v>603</v>
      </c>
      <c r="K23" s="312">
        <f>0.3+1.45+1.45</f>
        <v>3.2</v>
      </c>
      <c r="L23" s="312">
        <v>38</v>
      </c>
      <c r="M23" s="312">
        <f>L23*K23</f>
        <v>121.60000000000001</v>
      </c>
      <c r="N23" s="312">
        <v>0.995</v>
      </c>
      <c r="O23" s="333">
        <f>ROUND(((M23+M22)*N23/1000),3)</f>
        <v>0.27900000000000003</v>
      </c>
    </row>
    <row r="24" spans="1:15" ht="20.25" customHeight="1">
      <c r="A24" s="1610" t="s">
        <v>561</v>
      </c>
      <c r="B24" s="1611"/>
      <c r="C24" s="1612"/>
      <c r="D24" s="334" t="s">
        <v>165</v>
      </c>
      <c r="E24" s="335">
        <v>3</v>
      </c>
      <c r="F24" s="336" t="s">
        <v>119</v>
      </c>
      <c r="G24" s="337"/>
      <c r="H24" s="313"/>
      <c r="I24" s="338"/>
      <c r="M24" s="312">
        <f>SUM(M22:M23)</f>
        <v>280.66000000000003</v>
      </c>
    </row>
    <row r="25" spans="1:15" ht="22.5" customHeight="1">
      <c r="A25" s="1639" t="s">
        <v>597</v>
      </c>
      <c r="B25" s="1640"/>
      <c r="C25" s="1641"/>
      <c r="D25" s="339" t="s">
        <v>165</v>
      </c>
      <c r="E25" s="340">
        <v>1</v>
      </c>
      <c r="F25" s="341" t="s">
        <v>119</v>
      </c>
      <c r="G25" s="1614"/>
      <c r="H25" s="1614"/>
      <c r="I25" s="1642"/>
    </row>
  </sheetData>
  <mergeCells count="42">
    <mergeCell ref="A1:I1"/>
    <mergeCell ref="A3:C3"/>
    <mergeCell ref="E3:F3"/>
    <mergeCell ref="G3:I3"/>
    <mergeCell ref="A4:A7"/>
    <mergeCell ref="B4:C4"/>
    <mergeCell ref="G4:I4"/>
    <mergeCell ref="B5:C5"/>
    <mergeCell ref="G5:I5"/>
    <mergeCell ref="B6:C6"/>
    <mergeCell ref="G6:I6"/>
    <mergeCell ref="B7:C7"/>
    <mergeCell ref="G7:I7"/>
    <mergeCell ref="G8:I8"/>
    <mergeCell ref="A10:A16"/>
    <mergeCell ref="B10:B13"/>
    <mergeCell ref="G10:I10"/>
    <mergeCell ref="G11:I11"/>
    <mergeCell ref="G12:I12"/>
    <mergeCell ref="G13:I13"/>
    <mergeCell ref="G14:I14"/>
    <mergeCell ref="B15:B16"/>
    <mergeCell ref="G15:I15"/>
    <mergeCell ref="G16:I16"/>
    <mergeCell ref="A9:C9"/>
    <mergeCell ref="G9:I9"/>
    <mergeCell ref="B8:C8"/>
    <mergeCell ref="A17:C17"/>
    <mergeCell ref="G17:I17"/>
    <mergeCell ref="A18:C18"/>
    <mergeCell ref="G18:I18"/>
    <mergeCell ref="A19:C19"/>
    <mergeCell ref="G19:I19"/>
    <mergeCell ref="A24:C24"/>
    <mergeCell ref="A25:C25"/>
    <mergeCell ref="G25:I25"/>
    <mergeCell ref="A20:C20"/>
    <mergeCell ref="G20:I20"/>
    <mergeCell ref="A21:B23"/>
    <mergeCell ref="C21:C22"/>
    <mergeCell ref="G22:I22"/>
    <mergeCell ref="G23:I23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rgb="FFFFC000"/>
  </sheetPr>
  <dimension ref="A1:I166"/>
  <sheetViews>
    <sheetView workbookViewId="0">
      <selection sqref="A1:I1"/>
    </sheetView>
  </sheetViews>
  <sheetFormatPr defaultRowHeight="21.75" customHeight="1"/>
  <cols>
    <col min="1" max="1" width="3.77734375" style="616" customWidth="1"/>
    <col min="2" max="2" width="4.5546875" style="616" customWidth="1"/>
    <col min="3" max="3" width="9" style="616" customWidth="1"/>
    <col min="4" max="4" width="12.33203125" style="616" customWidth="1"/>
    <col min="5" max="5" width="6.33203125" style="616" customWidth="1"/>
    <col min="6" max="6" width="8.5546875" style="616" customWidth="1"/>
    <col min="7" max="7" width="10.33203125" style="616" customWidth="1"/>
    <col min="8" max="8" width="9" style="720" customWidth="1"/>
    <col min="9" max="9" width="12.5546875" style="720" customWidth="1"/>
    <col min="10" max="10" width="13.109375" style="616" customWidth="1"/>
    <col min="11" max="256" width="8.88671875" style="616"/>
    <col min="257" max="257" width="3.77734375" style="616" customWidth="1"/>
    <col min="258" max="258" width="4.5546875" style="616" customWidth="1"/>
    <col min="259" max="259" width="9" style="616" customWidth="1"/>
    <col min="260" max="260" width="12.33203125" style="616" customWidth="1"/>
    <col min="261" max="261" width="6.33203125" style="616" customWidth="1"/>
    <col min="262" max="262" width="8.5546875" style="616" customWidth="1"/>
    <col min="263" max="263" width="10.33203125" style="616" customWidth="1"/>
    <col min="264" max="264" width="9" style="616" customWidth="1"/>
    <col min="265" max="265" width="12.5546875" style="616" customWidth="1"/>
    <col min="266" max="266" width="13.109375" style="616" customWidth="1"/>
    <col min="267" max="512" width="8.88671875" style="616"/>
    <col min="513" max="513" width="3.77734375" style="616" customWidth="1"/>
    <col min="514" max="514" width="4.5546875" style="616" customWidth="1"/>
    <col min="515" max="515" width="9" style="616" customWidth="1"/>
    <col min="516" max="516" width="12.33203125" style="616" customWidth="1"/>
    <col min="517" max="517" width="6.33203125" style="616" customWidth="1"/>
    <col min="518" max="518" width="8.5546875" style="616" customWidth="1"/>
    <col min="519" max="519" width="10.33203125" style="616" customWidth="1"/>
    <col min="520" max="520" width="9" style="616" customWidth="1"/>
    <col min="521" max="521" width="12.5546875" style="616" customWidth="1"/>
    <col min="522" max="522" width="13.109375" style="616" customWidth="1"/>
    <col min="523" max="768" width="8.88671875" style="616"/>
    <col min="769" max="769" width="3.77734375" style="616" customWidth="1"/>
    <col min="770" max="770" width="4.5546875" style="616" customWidth="1"/>
    <col min="771" max="771" width="9" style="616" customWidth="1"/>
    <col min="772" max="772" width="12.33203125" style="616" customWidth="1"/>
    <col min="773" max="773" width="6.33203125" style="616" customWidth="1"/>
    <col min="774" max="774" width="8.5546875" style="616" customWidth="1"/>
    <col min="775" max="775" width="10.33203125" style="616" customWidth="1"/>
    <col min="776" max="776" width="9" style="616" customWidth="1"/>
    <col min="777" max="777" width="12.5546875" style="616" customWidth="1"/>
    <col min="778" max="778" width="13.109375" style="616" customWidth="1"/>
    <col min="779" max="1024" width="8.88671875" style="616"/>
    <col min="1025" max="1025" width="3.77734375" style="616" customWidth="1"/>
    <col min="1026" max="1026" width="4.5546875" style="616" customWidth="1"/>
    <col min="1027" max="1027" width="9" style="616" customWidth="1"/>
    <col min="1028" max="1028" width="12.33203125" style="616" customWidth="1"/>
    <col min="1029" max="1029" width="6.33203125" style="616" customWidth="1"/>
    <col min="1030" max="1030" width="8.5546875" style="616" customWidth="1"/>
    <col min="1031" max="1031" width="10.33203125" style="616" customWidth="1"/>
    <col min="1032" max="1032" width="9" style="616" customWidth="1"/>
    <col min="1033" max="1033" width="12.5546875" style="616" customWidth="1"/>
    <col min="1034" max="1034" width="13.109375" style="616" customWidth="1"/>
    <col min="1035" max="1280" width="8.88671875" style="616"/>
    <col min="1281" max="1281" width="3.77734375" style="616" customWidth="1"/>
    <col min="1282" max="1282" width="4.5546875" style="616" customWidth="1"/>
    <col min="1283" max="1283" width="9" style="616" customWidth="1"/>
    <col min="1284" max="1284" width="12.33203125" style="616" customWidth="1"/>
    <col min="1285" max="1285" width="6.33203125" style="616" customWidth="1"/>
    <col min="1286" max="1286" width="8.5546875" style="616" customWidth="1"/>
    <col min="1287" max="1287" width="10.33203125" style="616" customWidth="1"/>
    <col min="1288" max="1288" width="9" style="616" customWidth="1"/>
    <col min="1289" max="1289" width="12.5546875" style="616" customWidth="1"/>
    <col min="1290" max="1290" width="13.109375" style="616" customWidth="1"/>
    <col min="1291" max="1536" width="8.88671875" style="616"/>
    <col min="1537" max="1537" width="3.77734375" style="616" customWidth="1"/>
    <col min="1538" max="1538" width="4.5546875" style="616" customWidth="1"/>
    <col min="1539" max="1539" width="9" style="616" customWidth="1"/>
    <col min="1540" max="1540" width="12.33203125" style="616" customWidth="1"/>
    <col min="1541" max="1541" width="6.33203125" style="616" customWidth="1"/>
    <col min="1542" max="1542" width="8.5546875" style="616" customWidth="1"/>
    <col min="1543" max="1543" width="10.33203125" style="616" customWidth="1"/>
    <col min="1544" max="1544" width="9" style="616" customWidth="1"/>
    <col min="1545" max="1545" width="12.5546875" style="616" customWidth="1"/>
    <col min="1546" max="1546" width="13.109375" style="616" customWidth="1"/>
    <col min="1547" max="1792" width="8.88671875" style="616"/>
    <col min="1793" max="1793" width="3.77734375" style="616" customWidth="1"/>
    <col min="1794" max="1794" width="4.5546875" style="616" customWidth="1"/>
    <col min="1795" max="1795" width="9" style="616" customWidth="1"/>
    <col min="1796" max="1796" width="12.33203125" style="616" customWidth="1"/>
    <col min="1797" max="1797" width="6.33203125" style="616" customWidth="1"/>
    <col min="1798" max="1798" width="8.5546875" style="616" customWidth="1"/>
    <col min="1799" max="1799" width="10.33203125" style="616" customWidth="1"/>
    <col min="1800" max="1800" width="9" style="616" customWidth="1"/>
    <col min="1801" max="1801" width="12.5546875" style="616" customWidth="1"/>
    <col min="1802" max="1802" width="13.109375" style="616" customWidth="1"/>
    <col min="1803" max="2048" width="8.88671875" style="616"/>
    <col min="2049" max="2049" width="3.77734375" style="616" customWidth="1"/>
    <col min="2050" max="2050" width="4.5546875" style="616" customWidth="1"/>
    <col min="2051" max="2051" width="9" style="616" customWidth="1"/>
    <col min="2052" max="2052" width="12.33203125" style="616" customWidth="1"/>
    <col min="2053" max="2053" width="6.33203125" style="616" customWidth="1"/>
    <col min="2054" max="2054" width="8.5546875" style="616" customWidth="1"/>
    <col min="2055" max="2055" width="10.33203125" style="616" customWidth="1"/>
    <col min="2056" max="2056" width="9" style="616" customWidth="1"/>
    <col min="2057" max="2057" width="12.5546875" style="616" customWidth="1"/>
    <col min="2058" max="2058" width="13.109375" style="616" customWidth="1"/>
    <col min="2059" max="2304" width="8.88671875" style="616"/>
    <col min="2305" max="2305" width="3.77734375" style="616" customWidth="1"/>
    <col min="2306" max="2306" width="4.5546875" style="616" customWidth="1"/>
    <col min="2307" max="2307" width="9" style="616" customWidth="1"/>
    <col min="2308" max="2308" width="12.33203125" style="616" customWidth="1"/>
    <col min="2309" max="2309" width="6.33203125" style="616" customWidth="1"/>
    <col min="2310" max="2310" width="8.5546875" style="616" customWidth="1"/>
    <col min="2311" max="2311" width="10.33203125" style="616" customWidth="1"/>
    <col min="2312" max="2312" width="9" style="616" customWidth="1"/>
    <col min="2313" max="2313" width="12.5546875" style="616" customWidth="1"/>
    <col min="2314" max="2314" width="13.109375" style="616" customWidth="1"/>
    <col min="2315" max="2560" width="8.88671875" style="616"/>
    <col min="2561" max="2561" width="3.77734375" style="616" customWidth="1"/>
    <col min="2562" max="2562" width="4.5546875" style="616" customWidth="1"/>
    <col min="2563" max="2563" width="9" style="616" customWidth="1"/>
    <col min="2564" max="2564" width="12.33203125" style="616" customWidth="1"/>
    <col min="2565" max="2565" width="6.33203125" style="616" customWidth="1"/>
    <col min="2566" max="2566" width="8.5546875" style="616" customWidth="1"/>
    <col min="2567" max="2567" width="10.33203125" style="616" customWidth="1"/>
    <col min="2568" max="2568" width="9" style="616" customWidth="1"/>
    <col min="2569" max="2569" width="12.5546875" style="616" customWidth="1"/>
    <col min="2570" max="2570" width="13.109375" style="616" customWidth="1"/>
    <col min="2571" max="2816" width="8.88671875" style="616"/>
    <col min="2817" max="2817" width="3.77734375" style="616" customWidth="1"/>
    <col min="2818" max="2818" width="4.5546875" style="616" customWidth="1"/>
    <col min="2819" max="2819" width="9" style="616" customWidth="1"/>
    <col min="2820" max="2820" width="12.33203125" style="616" customWidth="1"/>
    <col min="2821" max="2821" width="6.33203125" style="616" customWidth="1"/>
    <col min="2822" max="2822" width="8.5546875" style="616" customWidth="1"/>
    <col min="2823" max="2823" width="10.33203125" style="616" customWidth="1"/>
    <col min="2824" max="2824" width="9" style="616" customWidth="1"/>
    <col min="2825" max="2825" width="12.5546875" style="616" customWidth="1"/>
    <col min="2826" max="2826" width="13.109375" style="616" customWidth="1"/>
    <col min="2827" max="3072" width="8.88671875" style="616"/>
    <col min="3073" max="3073" width="3.77734375" style="616" customWidth="1"/>
    <col min="3074" max="3074" width="4.5546875" style="616" customWidth="1"/>
    <col min="3075" max="3075" width="9" style="616" customWidth="1"/>
    <col min="3076" max="3076" width="12.33203125" style="616" customWidth="1"/>
    <col min="3077" max="3077" width="6.33203125" style="616" customWidth="1"/>
    <col min="3078" max="3078" width="8.5546875" style="616" customWidth="1"/>
    <col min="3079" max="3079" width="10.33203125" style="616" customWidth="1"/>
    <col min="3080" max="3080" width="9" style="616" customWidth="1"/>
    <col min="3081" max="3081" width="12.5546875" style="616" customWidth="1"/>
    <col min="3082" max="3082" width="13.109375" style="616" customWidth="1"/>
    <col min="3083" max="3328" width="8.88671875" style="616"/>
    <col min="3329" max="3329" width="3.77734375" style="616" customWidth="1"/>
    <col min="3330" max="3330" width="4.5546875" style="616" customWidth="1"/>
    <col min="3331" max="3331" width="9" style="616" customWidth="1"/>
    <col min="3332" max="3332" width="12.33203125" style="616" customWidth="1"/>
    <col min="3333" max="3333" width="6.33203125" style="616" customWidth="1"/>
    <col min="3334" max="3334" width="8.5546875" style="616" customWidth="1"/>
    <col min="3335" max="3335" width="10.33203125" style="616" customWidth="1"/>
    <col min="3336" max="3336" width="9" style="616" customWidth="1"/>
    <col min="3337" max="3337" width="12.5546875" style="616" customWidth="1"/>
    <col min="3338" max="3338" width="13.109375" style="616" customWidth="1"/>
    <col min="3339" max="3584" width="8.88671875" style="616"/>
    <col min="3585" max="3585" width="3.77734375" style="616" customWidth="1"/>
    <col min="3586" max="3586" width="4.5546875" style="616" customWidth="1"/>
    <col min="3587" max="3587" width="9" style="616" customWidth="1"/>
    <col min="3588" max="3588" width="12.33203125" style="616" customWidth="1"/>
    <col min="3589" max="3589" width="6.33203125" style="616" customWidth="1"/>
    <col min="3590" max="3590" width="8.5546875" style="616" customWidth="1"/>
    <col min="3591" max="3591" width="10.33203125" style="616" customWidth="1"/>
    <col min="3592" max="3592" width="9" style="616" customWidth="1"/>
    <col min="3593" max="3593" width="12.5546875" style="616" customWidth="1"/>
    <col min="3594" max="3594" width="13.109375" style="616" customWidth="1"/>
    <col min="3595" max="3840" width="8.88671875" style="616"/>
    <col min="3841" max="3841" width="3.77734375" style="616" customWidth="1"/>
    <col min="3842" max="3842" width="4.5546875" style="616" customWidth="1"/>
    <col min="3843" max="3843" width="9" style="616" customWidth="1"/>
    <col min="3844" max="3844" width="12.33203125" style="616" customWidth="1"/>
    <col min="3845" max="3845" width="6.33203125" style="616" customWidth="1"/>
    <col min="3846" max="3846" width="8.5546875" style="616" customWidth="1"/>
    <col min="3847" max="3847" width="10.33203125" style="616" customWidth="1"/>
    <col min="3848" max="3848" width="9" style="616" customWidth="1"/>
    <col min="3849" max="3849" width="12.5546875" style="616" customWidth="1"/>
    <col min="3850" max="3850" width="13.109375" style="616" customWidth="1"/>
    <col min="3851" max="4096" width="8.88671875" style="616"/>
    <col min="4097" max="4097" width="3.77734375" style="616" customWidth="1"/>
    <col min="4098" max="4098" width="4.5546875" style="616" customWidth="1"/>
    <col min="4099" max="4099" width="9" style="616" customWidth="1"/>
    <col min="4100" max="4100" width="12.33203125" style="616" customWidth="1"/>
    <col min="4101" max="4101" width="6.33203125" style="616" customWidth="1"/>
    <col min="4102" max="4102" width="8.5546875" style="616" customWidth="1"/>
    <col min="4103" max="4103" width="10.33203125" style="616" customWidth="1"/>
    <col min="4104" max="4104" width="9" style="616" customWidth="1"/>
    <col min="4105" max="4105" width="12.5546875" style="616" customWidth="1"/>
    <col min="4106" max="4106" width="13.109375" style="616" customWidth="1"/>
    <col min="4107" max="4352" width="8.88671875" style="616"/>
    <col min="4353" max="4353" width="3.77734375" style="616" customWidth="1"/>
    <col min="4354" max="4354" width="4.5546875" style="616" customWidth="1"/>
    <col min="4355" max="4355" width="9" style="616" customWidth="1"/>
    <col min="4356" max="4356" width="12.33203125" style="616" customWidth="1"/>
    <col min="4357" max="4357" width="6.33203125" style="616" customWidth="1"/>
    <col min="4358" max="4358" width="8.5546875" style="616" customWidth="1"/>
    <col min="4359" max="4359" width="10.33203125" style="616" customWidth="1"/>
    <col min="4360" max="4360" width="9" style="616" customWidth="1"/>
    <col min="4361" max="4361" width="12.5546875" style="616" customWidth="1"/>
    <col min="4362" max="4362" width="13.109375" style="616" customWidth="1"/>
    <col min="4363" max="4608" width="8.88671875" style="616"/>
    <col min="4609" max="4609" width="3.77734375" style="616" customWidth="1"/>
    <col min="4610" max="4610" width="4.5546875" style="616" customWidth="1"/>
    <col min="4611" max="4611" width="9" style="616" customWidth="1"/>
    <col min="4612" max="4612" width="12.33203125" style="616" customWidth="1"/>
    <col min="4613" max="4613" width="6.33203125" style="616" customWidth="1"/>
    <col min="4614" max="4614" width="8.5546875" style="616" customWidth="1"/>
    <col min="4615" max="4615" width="10.33203125" style="616" customWidth="1"/>
    <col min="4616" max="4616" width="9" style="616" customWidth="1"/>
    <col min="4617" max="4617" width="12.5546875" style="616" customWidth="1"/>
    <col min="4618" max="4618" width="13.109375" style="616" customWidth="1"/>
    <col min="4619" max="4864" width="8.88671875" style="616"/>
    <col min="4865" max="4865" width="3.77734375" style="616" customWidth="1"/>
    <col min="4866" max="4866" width="4.5546875" style="616" customWidth="1"/>
    <col min="4867" max="4867" width="9" style="616" customWidth="1"/>
    <col min="4868" max="4868" width="12.33203125" style="616" customWidth="1"/>
    <col min="4869" max="4869" width="6.33203125" style="616" customWidth="1"/>
    <col min="4870" max="4870" width="8.5546875" style="616" customWidth="1"/>
    <col min="4871" max="4871" width="10.33203125" style="616" customWidth="1"/>
    <col min="4872" max="4872" width="9" style="616" customWidth="1"/>
    <col min="4873" max="4873" width="12.5546875" style="616" customWidth="1"/>
    <col min="4874" max="4874" width="13.109375" style="616" customWidth="1"/>
    <col min="4875" max="5120" width="8.88671875" style="616"/>
    <col min="5121" max="5121" width="3.77734375" style="616" customWidth="1"/>
    <col min="5122" max="5122" width="4.5546875" style="616" customWidth="1"/>
    <col min="5123" max="5123" width="9" style="616" customWidth="1"/>
    <col min="5124" max="5124" width="12.33203125" style="616" customWidth="1"/>
    <col min="5125" max="5125" width="6.33203125" style="616" customWidth="1"/>
    <col min="5126" max="5126" width="8.5546875" style="616" customWidth="1"/>
    <col min="5127" max="5127" width="10.33203125" style="616" customWidth="1"/>
    <col min="5128" max="5128" width="9" style="616" customWidth="1"/>
    <col min="5129" max="5129" width="12.5546875" style="616" customWidth="1"/>
    <col min="5130" max="5130" width="13.109375" style="616" customWidth="1"/>
    <col min="5131" max="5376" width="8.88671875" style="616"/>
    <col min="5377" max="5377" width="3.77734375" style="616" customWidth="1"/>
    <col min="5378" max="5378" width="4.5546875" style="616" customWidth="1"/>
    <col min="5379" max="5379" width="9" style="616" customWidth="1"/>
    <col min="5380" max="5380" width="12.33203125" style="616" customWidth="1"/>
    <col min="5381" max="5381" width="6.33203125" style="616" customWidth="1"/>
    <col min="5382" max="5382" width="8.5546875" style="616" customWidth="1"/>
    <col min="5383" max="5383" width="10.33203125" style="616" customWidth="1"/>
    <col min="5384" max="5384" width="9" style="616" customWidth="1"/>
    <col min="5385" max="5385" width="12.5546875" style="616" customWidth="1"/>
    <col min="5386" max="5386" width="13.109375" style="616" customWidth="1"/>
    <col min="5387" max="5632" width="8.88671875" style="616"/>
    <col min="5633" max="5633" width="3.77734375" style="616" customWidth="1"/>
    <col min="5634" max="5634" width="4.5546875" style="616" customWidth="1"/>
    <col min="5635" max="5635" width="9" style="616" customWidth="1"/>
    <col min="5636" max="5636" width="12.33203125" style="616" customWidth="1"/>
    <col min="5637" max="5637" width="6.33203125" style="616" customWidth="1"/>
    <col min="5638" max="5638" width="8.5546875" style="616" customWidth="1"/>
    <col min="5639" max="5639" width="10.33203125" style="616" customWidth="1"/>
    <col min="5640" max="5640" width="9" style="616" customWidth="1"/>
    <col min="5641" max="5641" width="12.5546875" style="616" customWidth="1"/>
    <col min="5642" max="5642" width="13.109375" style="616" customWidth="1"/>
    <col min="5643" max="5888" width="8.88671875" style="616"/>
    <col min="5889" max="5889" width="3.77734375" style="616" customWidth="1"/>
    <col min="5890" max="5890" width="4.5546875" style="616" customWidth="1"/>
    <col min="5891" max="5891" width="9" style="616" customWidth="1"/>
    <col min="5892" max="5892" width="12.33203125" style="616" customWidth="1"/>
    <col min="5893" max="5893" width="6.33203125" style="616" customWidth="1"/>
    <col min="5894" max="5894" width="8.5546875" style="616" customWidth="1"/>
    <col min="5895" max="5895" width="10.33203125" style="616" customWidth="1"/>
    <col min="5896" max="5896" width="9" style="616" customWidth="1"/>
    <col min="5897" max="5897" width="12.5546875" style="616" customWidth="1"/>
    <col min="5898" max="5898" width="13.109375" style="616" customWidth="1"/>
    <col min="5899" max="6144" width="8.88671875" style="616"/>
    <col min="6145" max="6145" width="3.77734375" style="616" customWidth="1"/>
    <col min="6146" max="6146" width="4.5546875" style="616" customWidth="1"/>
    <col min="6147" max="6147" width="9" style="616" customWidth="1"/>
    <col min="6148" max="6148" width="12.33203125" style="616" customWidth="1"/>
    <col min="6149" max="6149" width="6.33203125" style="616" customWidth="1"/>
    <col min="6150" max="6150" width="8.5546875" style="616" customWidth="1"/>
    <col min="6151" max="6151" width="10.33203125" style="616" customWidth="1"/>
    <col min="6152" max="6152" width="9" style="616" customWidth="1"/>
    <col min="6153" max="6153" width="12.5546875" style="616" customWidth="1"/>
    <col min="6154" max="6154" width="13.109375" style="616" customWidth="1"/>
    <col min="6155" max="6400" width="8.88671875" style="616"/>
    <col min="6401" max="6401" width="3.77734375" style="616" customWidth="1"/>
    <col min="6402" max="6402" width="4.5546875" style="616" customWidth="1"/>
    <col min="6403" max="6403" width="9" style="616" customWidth="1"/>
    <col min="6404" max="6404" width="12.33203125" style="616" customWidth="1"/>
    <col min="6405" max="6405" width="6.33203125" style="616" customWidth="1"/>
    <col min="6406" max="6406" width="8.5546875" style="616" customWidth="1"/>
    <col min="6407" max="6407" width="10.33203125" style="616" customWidth="1"/>
    <col min="6408" max="6408" width="9" style="616" customWidth="1"/>
    <col min="6409" max="6409" width="12.5546875" style="616" customWidth="1"/>
    <col min="6410" max="6410" width="13.109375" style="616" customWidth="1"/>
    <col min="6411" max="6656" width="8.88671875" style="616"/>
    <col min="6657" max="6657" width="3.77734375" style="616" customWidth="1"/>
    <col min="6658" max="6658" width="4.5546875" style="616" customWidth="1"/>
    <col min="6659" max="6659" width="9" style="616" customWidth="1"/>
    <col min="6660" max="6660" width="12.33203125" style="616" customWidth="1"/>
    <col min="6661" max="6661" width="6.33203125" style="616" customWidth="1"/>
    <col min="6662" max="6662" width="8.5546875" style="616" customWidth="1"/>
    <col min="6663" max="6663" width="10.33203125" style="616" customWidth="1"/>
    <col min="6664" max="6664" width="9" style="616" customWidth="1"/>
    <col min="6665" max="6665" width="12.5546875" style="616" customWidth="1"/>
    <col min="6666" max="6666" width="13.109375" style="616" customWidth="1"/>
    <col min="6667" max="6912" width="8.88671875" style="616"/>
    <col min="6913" max="6913" width="3.77734375" style="616" customWidth="1"/>
    <col min="6914" max="6914" width="4.5546875" style="616" customWidth="1"/>
    <col min="6915" max="6915" width="9" style="616" customWidth="1"/>
    <col min="6916" max="6916" width="12.33203125" style="616" customWidth="1"/>
    <col min="6917" max="6917" width="6.33203125" style="616" customWidth="1"/>
    <col min="6918" max="6918" width="8.5546875" style="616" customWidth="1"/>
    <col min="6919" max="6919" width="10.33203125" style="616" customWidth="1"/>
    <col min="6920" max="6920" width="9" style="616" customWidth="1"/>
    <col min="6921" max="6921" width="12.5546875" style="616" customWidth="1"/>
    <col min="6922" max="6922" width="13.109375" style="616" customWidth="1"/>
    <col min="6923" max="7168" width="8.88671875" style="616"/>
    <col min="7169" max="7169" width="3.77734375" style="616" customWidth="1"/>
    <col min="7170" max="7170" width="4.5546875" style="616" customWidth="1"/>
    <col min="7171" max="7171" width="9" style="616" customWidth="1"/>
    <col min="7172" max="7172" width="12.33203125" style="616" customWidth="1"/>
    <col min="7173" max="7173" width="6.33203125" style="616" customWidth="1"/>
    <col min="7174" max="7174" width="8.5546875" style="616" customWidth="1"/>
    <col min="7175" max="7175" width="10.33203125" style="616" customWidth="1"/>
    <col min="7176" max="7176" width="9" style="616" customWidth="1"/>
    <col min="7177" max="7177" width="12.5546875" style="616" customWidth="1"/>
    <col min="7178" max="7178" width="13.109375" style="616" customWidth="1"/>
    <col min="7179" max="7424" width="8.88671875" style="616"/>
    <col min="7425" max="7425" width="3.77734375" style="616" customWidth="1"/>
    <col min="7426" max="7426" width="4.5546875" style="616" customWidth="1"/>
    <col min="7427" max="7427" width="9" style="616" customWidth="1"/>
    <col min="7428" max="7428" width="12.33203125" style="616" customWidth="1"/>
    <col min="7429" max="7429" width="6.33203125" style="616" customWidth="1"/>
    <col min="7430" max="7430" width="8.5546875" style="616" customWidth="1"/>
    <col min="7431" max="7431" width="10.33203125" style="616" customWidth="1"/>
    <col min="7432" max="7432" width="9" style="616" customWidth="1"/>
    <col min="7433" max="7433" width="12.5546875" style="616" customWidth="1"/>
    <col min="7434" max="7434" width="13.109375" style="616" customWidth="1"/>
    <col min="7435" max="7680" width="8.88671875" style="616"/>
    <col min="7681" max="7681" width="3.77734375" style="616" customWidth="1"/>
    <col min="7682" max="7682" width="4.5546875" style="616" customWidth="1"/>
    <col min="7683" max="7683" width="9" style="616" customWidth="1"/>
    <col min="7684" max="7684" width="12.33203125" style="616" customWidth="1"/>
    <col min="7685" max="7685" width="6.33203125" style="616" customWidth="1"/>
    <col min="7686" max="7686" width="8.5546875" style="616" customWidth="1"/>
    <col min="7687" max="7687" width="10.33203125" style="616" customWidth="1"/>
    <col min="7688" max="7688" width="9" style="616" customWidth="1"/>
    <col min="7689" max="7689" width="12.5546875" style="616" customWidth="1"/>
    <col min="7690" max="7690" width="13.109375" style="616" customWidth="1"/>
    <col min="7691" max="7936" width="8.88671875" style="616"/>
    <col min="7937" max="7937" width="3.77734375" style="616" customWidth="1"/>
    <col min="7938" max="7938" width="4.5546875" style="616" customWidth="1"/>
    <col min="7939" max="7939" width="9" style="616" customWidth="1"/>
    <col min="7940" max="7940" width="12.33203125" style="616" customWidth="1"/>
    <col min="7941" max="7941" width="6.33203125" style="616" customWidth="1"/>
    <col min="7942" max="7942" width="8.5546875" style="616" customWidth="1"/>
    <col min="7943" max="7943" width="10.33203125" style="616" customWidth="1"/>
    <col min="7944" max="7944" width="9" style="616" customWidth="1"/>
    <col min="7945" max="7945" width="12.5546875" style="616" customWidth="1"/>
    <col min="7946" max="7946" width="13.109375" style="616" customWidth="1"/>
    <col min="7947" max="8192" width="8.88671875" style="616"/>
    <col min="8193" max="8193" width="3.77734375" style="616" customWidth="1"/>
    <col min="8194" max="8194" width="4.5546875" style="616" customWidth="1"/>
    <col min="8195" max="8195" width="9" style="616" customWidth="1"/>
    <col min="8196" max="8196" width="12.33203125" style="616" customWidth="1"/>
    <col min="8197" max="8197" width="6.33203125" style="616" customWidth="1"/>
    <col min="8198" max="8198" width="8.5546875" style="616" customWidth="1"/>
    <col min="8199" max="8199" width="10.33203125" style="616" customWidth="1"/>
    <col min="8200" max="8200" width="9" style="616" customWidth="1"/>
    <col min="8201" max="8201" width="12.5546875" style="616" customWidth="1"/>
    <col min="8202" max="8202" width="13.109375" style="616" customWidth="1"/>
    <col min="8203" max="8448" width="8.88671875" style="616"/>
    <col min="8449" max="8449" width="3.77734375" style="616" customWidth="1"/>
    <col min="8450" max="8450" width="4.5546875" style="616" customWidth="1"/>
    <col min="8451" max="8451" width="9" style="616" customWidth="1"/>
    <col min="8452" max="8452" width="12.33203125" style="616" customWidth="1"/>
    <col min="8453" max="8453" width="6.33203125" style="616" customWidth="1"/>
    <col min="8454" max="8454" width="8.5546875" style="616" customWidth="1"/>
    <col min="8455" max="8455" width="10.33203125" style="616" customWidth="1"/>
    <col min="8456" max="8456" width="9" style="616" customWidth="1"/>
    <col min="8457" max="8457" width="12.5546875" style="616" customWidth="1"/>
    <col min="8458" max="8458" width="13.109375" style="616" customWidth="1"/>
    <col min="8459" max="8704" width="8.88671875" style="616"/>
    <col min="8705" max="8705" width="3.77734375" style="616" customWidth="1"/>
    <col min="8706" max="8706" width="4.5546875" style="616" customWidth="1"/>
    <col min="8707" max="8707" width="9" style="616" customWidth="1"/>
    <col min="8708" max="8708" width="12.33203125" style="616" customWidth="1"/>
    <col min="8709" max="8709" width="6.33203125" style="616" customWidth="1"/>
    <col min="8710" max="8710" width="8.5546875" style="616" customWidth="1"/>
    <col min="8711" max="8711" width="10.33203125" style="616" customWidth="1"/>
    <col min="8712" max="8712" width="9" style="616" customWidth="1"/>
    <col min="8713" max="8713" width="12.5546875" style="616" customWidth="1"/>
    <col min="8714" max="8714" width="13.109375" style="616" customWidth="1"/>
    <col min="8715" max="8960" width="8.88671875" style="616"/>
    <col min="8961" max="8961" width="3.77734375" style="616" customWidth="1"/>
    <col min="8962" max="8962" width="4.5546875" style="616" customWidth="1"/>
    <col min="8963" max="8963" width="9" style="616" customWidth="1"/>
    <col min="8964" max="8964" width="12.33203125" style="616" customWidth="1"/>
    <col min="8965" max="8965" width="6.33203125" style="616" customWidth="1"/>
    <col min="8966" max="8966" width="8.5546875" style="616" customWidth="1"/>
    <col min="8967" max="8967" width="10.33203125" style="616" customWidth="1"/>
    <col min="8968" max="8968" width="9" style="616" customWidth="1"/>
    <col min="8969" max="8969" width="12.5546875" style="616" customWidth="1"/>
    <col min="8970" max="8970" width="13.109375" style="616" customWidth="1"/>
    <col min="8971" max="9216" width="8.88671875" style="616"/>
    <col min="9217" max="9217" width="3.77734375" style="616" customWidth="1"/>
    <col min="9218" max="9218" width="4.5546875" style="616" customWidth="1"/>
    <col min="9219" max="9219" width="9" style="616" customWidth="1"/>
    <col min="9220" max="9220" width="12.33203125" style="616" customWidth="1"/>
    <col min="9221" max="9221" width="6.33203125" style="616" customWidth="1"/>
    <col min="9222" max="9222" width="8.5546875" style="616" customWidth="1"/>
    <col min="9223" max="9223" width="10.33203125" style="616" customWidth="1"/>
    <col min="9224" max="9224" width="9" style="616" customWidth="1"/>
    <col min="9225" max="9225" width="12.5546875" style="616" customWidth="1"/>
    <col min="9226" max="9226" width="13.109375" style="616" customWidth="1"/>
    <col min="9227" max="9472" width="8.88671875" style="616"/>
    <col min="9473" max="9473" width="3.77734375" style="616" customWidth="1"/>
    <col min="9474" max="9474" width="4.5546875" style="616" customWidth="1"/>
    <col min="9475" max="9475" width="9" style="616" customWidth="1"/>
    <col min="9476" max="9476" width="12.33203125" style="616" customWidth="1"/>
    <col min="9477" max="9477" width="6.33203125" style="616" customWidth="1"/>
    <col min="9478" max="9478" width="8.5546875" style="616" customWidth="1"/>
    <col min="9479" max="9479" width="10.33203125" style="616" customWidth="1"/>
    <col min="9480" max="9480" width="9" style="616" customWidth="1"/>
    <col min="9481" max="9481" width="12.5546875" style="616" customWidth="1"/>
    <col min="9482" max="9482" width="13.109375" style="616" customWidth="1"/>
    <col min="9483" max="9728" width="8.88671875" style="616"/>
    <col min="9729" max="9729" width="3.77734375" style="616" customWidth="1"/>
    <col min="9730" max="9730" width="4.5546875" style="616" customWidth="1"/>
    <col min="9731" max="9731" width="9" style="616" customWidth="1"/>
    <col min="9732" max="9732" width="12.33203125" style="616" customWidth="1"/>
    <col min="9733" max="9733" width="6.33203125" style="616" customWidth="1"/>
    <col min="9734" max="9734" width="8.5546875" style="616" customWidth="1"/>
    <col min="9735" max="9735" width="10.33203125" style="616" customWidth="1"/>
    <col min="9736" max="9736" width="9" style="616" customWidth="1"/>
    <col min="9737" max="9737" width="12.5546875" style="616" customWidth="1"/>
    <col min="9738" max="9738" width="13.109375" style="616" customWidth="1"/>
    <col min="9739" max="9984" width="8.88671875" style="616"/>
    <col min="9985" max="9985" width="3.77734375" style="616" customWidth="1"/>
    <col min="9986" max="9986" width="4.5546875" style="616" customWidth="1"/>
    <col min="9987" max="9987" width="9" style="616" customWidth="1"/>
    <col min="9988" max="9988" width="12.33203125" style="616" customWidth="1"/>
    <col min="9989" max="9989" width="6.33203125" style="616" customWidth="1"/>
    <col min="9990" max="9990" width="8.5546875" style="616" customWidth="1"/>
    <col min="9991" max="9991" width="10.33203125" style="616" customWidth="1"/>
    <col min="9992" max="9992" width="9" style="616" customWidth="1"/>
    <col min="9993" max="9993" width="12.5546875" style="616" customWidth="1"/>
    <col min="9994" max="9994" width="13.109375" style="616" customWidth="1"/>
    <col min="9995" max="10240" width="8.88671875" style="616"/>
    <col min="10241" max="10241" width="3.77734375" style="616" customWidth="1"/>
    <col min="10242" max="10242" width="4.5546875" style="616" customWidth="1"/>
    <col min="10243" max="10243" width="9" style="616" customWidth="1"/>
    <col min="10244" max="10244" width="12.33203125" style="616" customWidth="1"/>
    <col min="10245" max="10245" width="6.33203125" style="616" customWidth="1"/>
    <col min="10246" max="10246" width="8.5546875" style="616" customWidth="1"/>
    <col min="10247" max="10247" width="10.33203125" style="616" customWidth="1"/>
    <col min="10248" max="10248" width="9" style="616" customWidth="1"/>
    <col min="10249" max="10249" width="12.5546875" style="616" customWidth="1"/>
    <col min="10250" max="10250" width="13.109375" style="616" customWidth="1"/>
    <col min="10251" max="10496" width="8.88671875" style="616"/>
    <col min="10497" max="10497" width="3.77734375" style="616" customWidth="1"/>
    <col min="10498" max="10498" width="4.5546875" style="616" customWidth="1"/>
    <col min="10499" max="10499" width="9" style="616" customWidth="1"/>
    <col min="10500" max="10500" width="12.33203125" style="616" customWidth="1"/>
    <col min="10501" max="10501" width="6.33203125" style="616" customWidth="1"/>
    <col min="10502" max="10502" width="8.5546875" style="616" customWidth="1"/>
    <col min="10503" max="10503" width="10.33203125" style="616" customWidth="1"/>
    <col min="10504" max="10504" width="9" style="616" customWidth="1"/>
    <col min="10505" max="10505" width="12.5546875" style="616" customWidth="1"/>
    <col min="10506" max="10506" width="13.109375" style="616" customWidth="1"/>
    <col min="10507" max="10752" width="8.88671875" style="616"/>
    <col min="10753" max="10753" width="3.77734375" style="616" customWidth="1"/>
    <col min="10754" max="10754" width="4.5546875" style="616" customWidth="1"/>
    <col min="10755" max="10755" width="9" style="616" customWidth="1"/>
    <col min="10756" max="10756" width="12.33203125" style="616" customWidth="1"/>
    <col min="10757" max="10757" width="6.33203125" style="616" customWidth="1"/>
    <col min="10758" max="10758" width="8.5546875" style="616" customWidth="1"/>
    <col min="10759" max="10759" width="10.33203125" style="616" customWidth="1"/>
    <col min="10760" max="10760" width="9" style="616" customWidth="1"/>
    <col min="10761" max="10761" width="12.5546875" style="616" customWidth="1"/>
    <col min="10762" max="10762" width="13.109375" style="616" customWidth="1"/>
    <col min="10763" max="11008" width="8.88671875" style="616"/>
    <col min="11009" max="11009" width="3.77734375" style="616" customWidth="1"/>
    <col min="11010" max="11010" width="4.5546875" style="616" customWidth="1"/>
    <col min="11011" max="11011" width="9" style="616" customWidth="1"/>
    <col min="11012" max="11012" width="12.33203125" style="616" customWidth="1"/>
    <col min="11013" max="11013" width="6.33203125" style="616" customWidth="1"/>
    <col min="11014" max="11014" width="8.5546875" style="616" customWidth="1"/>
    <col min="11015" max="11015" width="10.33203125" style="616" customWidth="1"/>
    <col min="11016" max="11016" width="9" style="616" customWidth="1"/>
    <col min="11017" max="11017" width="12.5546875" style="616" customWidth="1"/>
    <col min="11018" max="11018" width="13.109375" style="616" customWidth="1"/>
    <col min="11019" max="11264" width="8.88671875" style="616"/>
    <col min="11265" max="11265" width="3.77734375" style="616" customWidth="1"/>
    <col min="11266" max="11266" width="4.5546875" style="616" customWidth="1"/>
    <col min="11267" max="11267" width="9" style="616" customWidth="1"/>
    <col min="11268" max="11268" width="12.33203125" style="616" customWidth="1"/>
    <col min="11269" max="11269" width="6.33203125" style="616" customWidth="1"/>
    <col min="11270" max="11270" width="8.5546875" style="616" customWidth="1"/>
    <col min="11271" max="11271" width="10.33203125" style="616" customWidth="1"/>
    <col min="11272" max="11272" width="9" style="616" customWidth="1"/>
    <col min="11273" max="11273" width="12.5546875" style="616" customWidth="1"/>
    <col min="11274" max="11274" width="13.109375" style="616" customWidth="1"/>
    <col min="11275" max="11520" width="8.88671875" style="616"/>
    <col min="11521" max="11521" width="3.77734375" style="616" customWidth="1"/>
    <col min="11522" max="11522" width="4.5546875" style="616" customWidth="1"/>
    <col min="11523" max="11523" width="9" style="616" customWidth="1"/>
    <col min="11524" max="11524" width="12.33203125" style="616" customWidth="1"/>
    <col min="11525" max="11525" width="6.33203125" style="616" customWidth="1"/>
    <col min="11526" max="11526" width="8.5546875" style="616" customWidth="1"/>
    <col min="11527" max="11527" width="10.33203125" style="616" customWidth="1"/>
    <col min="11528" max="11528" width="9" style="616" customWidth="1"/>
    <col min="11529" max="11529" width="12.5546875" style="616" customWidth="1"/>
    <col min="11530" max="11530" width="13.109375" style="616" customWidth="1"/>
    <col min="11531" max="11776" width="8.88671875" style="616"/>
    <col min="11777" max="11777" width="3.77734375" style="616" customWidth="1"/>
    <col min="11778" max="11778" width="4.5546875" style="616" customWidth="1"/>
    <col min="11779" max="11779" width="9" style="616" customWidth="1"/>
    <col min="11780" max="11780" width="12.33203125" style="616" customWidth="1"/>
    <col min="11781" max="11781" width="6.33203125" style="616" customWidth="1"/>
    <col min="11782" max="11782" width="8.5546875" style="616" customWidth="1"/>
    <col min="11783" max="11783" width="10.33203125" style="616" customWidth="1"/>
    <col min="11784" max="11784" width="9" style="616" customWidth="1"/>
    <col min="11785" max="11785" width="12.5546875" style="616" customWidth="1"/>
    <col min="11786" max="11786" width="13.109375" style="616" customWidth="1"/>
    <col min="11787" max="12032" width="8.88671875" style="616"/>
    <col min="12033" max="12033" width="3.77734375" style="616" customWidth="1"/>
    <col min="12034" max="12034" width="4.5546875" style="616" customWidth="1"/>
    <col min="12035" max="12035" width="9" style="616" customWidth="1"/>
    <col min="12036" max="12036" width="12.33203125" style="616" customWidth="1"/>
    <col min="12037" max="12037" width="6.33203125" style="616" customWidth="1"/>
    <col min="12038" max="12038" width="8.5546875" style="616" customWidth="1"/>
    <col min="12039" max="12039" width="10.33203125" style="616" customWidth="1"/>
    <col min="12040" max="12040" width="9" style="616" customWidth="1"/>
    <col min="12041" max="12041" width="12.5546875" style="616" customWidth="1"/>
    <col min="12042" max="12042" width="13.109375" style="616" customWidth="1"/>
    <col min="12043" max="12288" width="8.88671875" style="616"/>
    <col min="12289" max="12289" width="3.77734375" style="616" customWidth="1"/>
    <col min="12290" max="12290" width="4.5546875" style="616" customWidth="1"/>
    <col min="12291" max="12291" width="9" style="616" customWidth="1"/>
    <col min="12292" max="12292" width="12.33203125" style="616" customWidth="1"/>
    <col min="12293" max="12293" width="6.33203125" style="616" customWidth="1"/>
    <col min="12294" max="12294" width="8.5546875" style="616" customWidth="1"/>
    <col min="12295" max="12295" width="10.33203125" style="616" customWidth="1"/>
    <col min="12296" max="12296" width="9" style="616" customWidth="1"/>
    <col min="12297" max="12297" width="12.5546875" style="616" customWidth="1"/>
    <col min="12298" max="12298" width="13.109375" style="616" customWidth="1"/>
    <col min="12299" max="12544" width="8.88671875" style="616"/>
    <col min="12545" max="12545" width="3.77734375" style="616" customWidth="1"/>
    <col min="12546" max="12546" width="4.5546875" style="616" customWidth="1"/>
    <col min="12547" max="12547" width="9" style="616" customWidth="1"/>
    <col min="12548" max="12548" width="12.33203125" style="616" customWidth="1"/>
    <col min="12549" max="12549" width="6.33203125" style="616" customWidth="1"/>
    <col min="12550" max="12550" width="8.5546875" style="616" customWidth="1"/>
    <col min="12551" max="12551" width="10.33203125" style="616" customWidth="1"/>
    <col min="12552" max="12552" width="9" style="616" customWidth="1"/>
    <col min="12553" max="12553" width="12.5546875" style="616" customWidth="1"/>
    <col min="12554" max="12554" width="13.109375" style="616" customWidth="1"/>
    <col min="12555" max="12800" width="8.88671875" style="616"/>
    <col min="12801" max="12801" width="3.77734375" style="616" customWidth="1"/>
    <col min="12802" max="12802" width="4.5546875" style="616" customWidth="1"/>
    <col min="12803" max="12803" width="9" style="616" customWidth="1"/>
    <col min="12804" max="12804" width="12.33203125" style="616" customWidth="1"/>
    <col min="12805" max="12805" width="6.33203125" style="616" customWidth="1"/>
    <col min="12806" max="12806" width="8.5546875" style="616" customWidth="1"/>
    <col min="12807" max="12807" width="10.33203125" style="616" customWidth="1"/>
    <col min="12808" max="12808" width="9" style="616" customWidth="1"/>
    <col min="12809" max="12809" width="12.5546875" style="616" customWidth="1"/>
    <col min="12810" max="12810" width="13.109375" style="616" customWidth="1"/>
    <col min="12811" max="13056" width="8.88671875" style="616"/>
    <col min="13057" max="13057" width="3.77734375" style="616" customWidth="1"/>
    <col min="13058" max="13058" width="4.5546875" style="616" customWidth="1"/>
    <col min="13059" max="13059" width="9" style="616" customWidth="1"/>
    <col min="13060" max="13060" width="12.33203125" style="616" customWidth="1"/>
    <col min="13061" max="13061" width="6.33203125" style="616" customWidth="1"/>
    <col min="13062" max="13062" width="8.5546875" style="616" customWidth="1"/>
    <col min="13063" max="13063" width="10.33203125" style="616" customWidth="1"/>
    <col min="13064" max="13064" width="9" style="616" customWidth="1"/>
    <col min="13065" max="13065" width="12.5546875" style="616" customWidth="1"/>
    <col min="13066" max="13066" width="13.109375" style="616" customWidth="1"/>
    <col min="13067" max="13312" width="8.88671875" style="616"/>
    <col min="13313" max="13313" width="3.77734375" style="616" customWidth="1"/>
    <col min="13314" max="13314" width="4.5546875" style="616" customWidth="1"/>
    <col min="13315" max="13315" width="9" style="616" customWidth="1"/>
    <col min="13316" max="13316" width="12.33203125" style="616" customWidth="1"/>
    <col min="13317" max="13317" width="6.33203125" style="616" customWidth="1"/>
    <col min="13318" max="13318" width="8.5546875" style="616" customWidth="1"/>
    <col min="13319" max="13319" width="10.33203125" style="616" customWidth="1"/>
    <col min="13320" max="13320" width="9" style="616" customWidth="1"/>
    <col min="13321" max="13321" width="12.5546875" style="616" customWidth="1"/>
    <col min="13322" max="13322" width="13.109375" style="616" customWidth="1"/>
    <col min="13323" max="13568" width="8.88671875" style="616"/>
    <col min="13569" max="13569" width="3.77734375" style="616" customWidth="1"/>
    <col min="13570" max="13570" width="4.5546875" style="616" customWidth="1"/>
    <col min="13571" max="13571" width="9" style="616" customWidth="1"/>
    <col min="13572" max="13572" width="12.33203125" style="616" customWidth="1"/>
    <col min="13573" max="13573" width="6.33203125" style="616" customWidth="1"/>
    <col min="13574" max="13574" width="8.5546875" style="616" customWidth="1"/>
    <col min="13575" max="13575" width="10.33203125" style="616" customWidth="1"/>
    <col min="13576" max="13576" width="9" style="616" customWidth="1"/>
    <col min="13577" max="13577" width="12.5546875" style="616" customWidth="1"/>
    <col min="13578" max="13578" width="13.109375" style="616" customWidth="1"/>
    <col min="13579" max="13824" width="8.88671875" style="616"/>
    <col min="13825" max="13825" width="3.77734375" style="616" customWidth="1"/>
    <col min="13826" max="13826" width="4.5546875" style="616" customWidth="1"/>
    <col min="13827" max="13827" width="9" style="616" customWidth="1"/>
    <col min="13828" max="13828" width="12.33203125" style="616" customWidth="1"/>
    <col min="13829" max="13829" width="6.33203125" style="616" customWidth="1"/>
    <col min="13830" max="13830" width="8.5546875" style="616" customWidth="1"/>
    <col min="13831" max="13831" width="10.33203125" style="616" customWidth="1"/>
    <col min="13832" max="13832" width="9" style="616" customWidth="1"/>
    <col min="13833" max="13833" width="12.5546875" style="616" customWidth="1"/>
    <col min="13834" max="13834" width="13.109375" style="616" customWidth="1"/>
    <col min="13835" max="14080" width="8.88671875" style="616"/>
    <col min="14081" max="14081" width="3.77734375" style="616" customWidth="1"/>
    <col min="14082" max="14082" width="4.5546875" style="616" customWidth="1"/>
    <col min="14083" max="14083" width="9" style="616" customWidth="1"/>
    <col min="14084" max="14084" width="12.33203125" style="616" customWidth="1"/>
    <col min="14085" max="14085" width="6.33203125" style="616" customWidth="1"/>
    <col min="14086" max="14086" width="8.5546875" style="616" customWidth="1"/>
    <col min="14087" max="14087" width="10.33203125" style="616" customWidth="1"/>
    <col min="14088" max="14088" width="9" style="616" customWidth="1"/>
    <col min="14089" max="14089" width="12.5546875" style="616" customWidth="1"/>
    <col min="14090" max="14090" width="13.109375" style="616" customWidth="1"/>
    <col min="14091" max="14336" width="8.88671875" style="616"/>
    <col min="14337" max="14337" width="3.77734375" style="616" customWidth="1"/>
    <col min="14338" max="14338" width="4.5546875" style="616" customWidth="1"/>
    <col min="14339" max="14339" width="9" style="616" customWidth="1"/>
    <col min="14340" max="14340" width="12.33203125" style="616" customWidth="1"/>
    <col min="14341" max="14341" width="6.33203125" style="616" customWidth="1"/>
    <col min="14342" max="14342" width="8.5546875" style="616" customWidth="1"/>
    <col min="14343" max="14343" width="10.33203125" style="616" customWidth="1"/>
    <col min="14344" max="14344" width="9" style="616" customWidth="1"/>
    <col min="14345" max="14345" width="12.5546875" style="616" customWidth="1"/>
    <col min="14346" max="14346" width="13.109375" style="616" customWidth="1"/>
    <col min="14347" max="14592" width="8.88671875" style="616"/>
    <col min="14593" max="14593" width="3.77734375" style="616" customWidth="1"/>
    <col min="14594" max="14594" width="4.5546875" style="616" customWidth="1"/>
    <col min="14595" max="14595" width="9" style="616" customWidth="1"/>
    <col min="14596" max="14596" width="12.33203125" style="616" customWidth="1"/>
    <col min="14597" max="14597" width="6.33203125" style="616" customWidth="1"/>
    <col min="14598" max="14598" width="8.5546875" style="616" customWidth="1"/>
    <col min="14599" max="14599" width="10.33203125" style="616" customWidth="1"/>
    <col min="14600" max="14600" width="9" style="616" customWidth="1"/>
    <col min="14601" max="14601" width="12.5546875" style="616" customWidth="1"/>
    <col min="14602" max="14602" width="13.109375" style="616" customWidth="1"/>
    <col min="14603" max="14848" width="8.88671875" style="616"/>
    <col min="14849" max="14849" width="3.77734375" style="616" customWidth="1"/>
    <col min="14850" max="14850" width="4.5546875" style="616" customWidth="1"/>
    <col min="14851" max="14851" width="9" style="616" customWidth="1"/>
    <col min="14852" max="14852" width="12.33203125" style="616" customWidth="1"/>
    <col min="14853" max="14853" width="6.33203125" style="616" customWidth="1"/>
    <col min="14854" max="14854" width="8.5546875" style="616" customWidth="1"/>
    <col min="14855" max="14855" width="10.33203125" style="616" customWidth="1"/>
    <col min="14856" max="14856" width="9" style="616" customWidth="1"/>
    <col min="14857" max="14857" width="12.5546875" style="616" customWidth="1"/>
    <col min="14858" max="14858" width="13.109375" style="616" customWidth="1"/>
    <col min="14859" max="15104" width="8.88671875" style="616"/>
    <col min="15105" max="15105" width="3.77734375" style="616" customWidth="1"/>
    <col min="15106" max="15106" width="4.5546875" style="616" customWidth="1"/>
    <col min="15107" max="15107" width="9" style="616" customWidth="1"/>
    <col min="15108" max="15108" width="12.33203125" style="616" customWidth="1"/>
    <col min="15109" max="15109" width="6.33203125" style="616" customWidth="1"/>
    <col min="15110" max="15110" width="8.5546875" style="616" customWidth="1"/>
    <col min="15111" max="15111" width="10.33203125" style="616" customWidth="1"/>
    <col min="15112" max="15112" width="9" style="616" customWidth="1"/>
    <col min="15113" max="15113" width="12.5546875" style="616" customWidth="1"/>
    <col min="15114" max="15114" width="13.109375" style="616" customWidth="1"/>
    <col min="15115" max="15360" width="8.88671875" style="616"/>
    <col min="15361" max="15361" width="3.77734375" style="616" customWidth="1"/>
    <col min="15362" max="15362" width="4.5546875" style="616" customWidth="1"/>
    <col min="15363" max="15363" width="9" style="616" customWidth="1"/>
    <col min="15364" max="15364" width="12.33203125" style="616" customWidth="1"/>
    <col min="15365" max="15365" width="6.33203125" style="616" customWidth="1"/>
    <col min="15366" max="15366" width="8.5546875" style="616" customWidth="1"/>
    <col min="15367" max="15367" width="10.33203125" style="616" customWidth="1"/>
    <col min="15368" max="15368" width="9" style="616" customWidth="1"/>
    <col min="15369" max="15369" width="12.5546875" style="616" customWidth="1"/>
    <col min="15370" max="15370" width="13.109375" style="616" customWidth="1"/>
    <col min="15371" max="15616" width="8.88671875" style="616"/>
    <col min="15617" max="15617" width="3.77734375" style="616" customWidth="1"/>
    <col min="15618" max="15618" width="4.5546875" style="616" customWidth="1"/>
    <col min="15619" max="15619" width="9" style="616" customWidth="1"/>
    <col min="15620" max="15620" width="12.33203125" style="616" customWidth="1"/>
    <col min="15621" max="15621" width="6.33203125" style="616" customWidth="1"/>
    <col min="15622" max="15622" width="8.5546875" style="616" customWidth="1"/>
    <col min="15623" max="15623" width="10.33203125" style="616" customWidth="1"/>
    <col min="15624" max="15624" width="9" style="616" customWidth="1"/>
    <col min="15625" max="15625" width="12.5546875" style="616" customWidth="1"/>
    <col min="15626" max="15626" width="13.109375" style="616" customWidth="1"/>
    <col min="15627" max="15872" width="8.88671875" style="616"/>
    <col min="15873" max="15873" width="3.77734375" style="616" customWidth="1"/>
    <col min="15874" max="15874" width="4.5546875" style="616" customWidth="1"/>
    <col min="15875" max="15875" width="9" style="616" customWidth="1"/>
    <col min="15876" max="15876" width="12.33203125" style="616" customWidth="1"/>
    <col min="15877" max="15877" width="6.33203125" style="616" customWidth="1"/>
    <col min="15878" max="15878" width="8.5546875" style="616" customWidth="1"/>
    <col min="15879" max="15879" width="10.33203125" style="616" customWidth="1"/>
    <col min="15880" max="15880" width="9" style="616" customWidth="1"/>
    <col min="15881" max="15881" width="12.5546875" style="616" customWidth="1"/>
    <col min="15882" max="15882" width="13.109375" style="616" customWidth="1"/>
    <col min="15883" max="16128" width="8.88671875" style="616"/>
    <col min="16129" max="16129" width="3.77734375" style="616" customWidth="1"/>
    <col min="16130" max="16130" width="4.5546875" style="616" customWidth="1"/>
    <col min="16131" max="16131" width="9" style="616" customWidth="1"/>
    <col min="16132" max="16132" width="12.33203125" style="616" customWidth="1"/>
    <col min="16133" max="16133" width="6.33203125" style="616" customWidth="1"/>
    <col min="16134" max="16134" width="8.5546875" style="616" customWidth="1"/>
    <col min="16135" max="16135" width="10.33203125" style="616" customWidth="1"/>
    <col min="16136" max="16136" width="9" style="616" customWidth="1"/>
    <col min="16137" max="16137" width="12.5546875" style="616" customWidth="1"/>
    <col min="16138" max="16138" width="13.109375" style="616" customWidth="1"/>
    <col min="16139" max="16384" width="8.88671875" style="616"/>
  </cols>
  <sheetData>
    <row r="1" spans="1:9" ht="30" customHeight="1">
      <c r="A1" s="1657" t="s">
        <v>96</v>
      </c>
      <c r="B1" s="1657"/>
      <c r="C1" s="1657"/>
      <c r="D1" s="1657"/>
      <c r="E1" s="1657"/>
      <c r="F1" s="1657"/>
      <c r="G1" s="1657"/>
      <c r="H1" s="1657"/>
      <c r="I1" s="1657"/>
    </row>
    <row r="2" spans="1:9" ht="20.100000000000001" customHeight="1">
      <c r="A2" s="617"/>
      <c r="B2" s="617"/>
      <c r="C2" s="617"/>
      <c r="D2" s="617"/>
      <c r="E2" s="617"/>
      <c r="F2" s="617"/>
      <c r="G2" s="617"/>
      <c r="H2" s="713"/>
      <c r="I2" s="721" t="e">
        <f>'오수맨홀수량 및 평균높이'!#REF!</f>
        <v>#REF!</v>
      </c>
    </row>
    <row r="3" spans="1:9" ht="30" customHeight="1">
      <c r="A3" s="1658" t="s">
        <v>137</v>
      </c>
      <c r="B3" s="1659"/>
      <c r="C3" s="1659"/>
      <c r="D3" s="618" t="s">
        <v>97</v>
      </c>
      <c r="E3" s="618" t="s">
        <v>98</v>
      </c>
      <c r="F3" s="618" t="s">
        <v>233</v>
      </c>
      <c r="G3" s="618" t="s">
        <v>99</v>
      </c>
      <c r="H3" s="714" t="s">
        <v>100</v>
      </c>
      <c r="I3" s="722" t="s">
        <v>22</v>
      </c>
    </row>
    <row r="4" spans="1:9" ht="20.45" customHeight="1">
      <c r="A4" s="1660" t="s">
        <v>746</v>
      </c>
      <c r="B4" s="1662" t="s">
        <v>102</v>
      </c>
      <c r="C4" s="1662"/>
      <c r="D4" s="619" t="s">
        <v>544</v>
      </c>
      <c r="E4" s="619" t="s">
        <v>15</v>
      </c>
      <c r="F4" s="619"/>
      <c r="G4" s="620">
        <f>+'특2호각형맨홀(차도측)단위수량'!E4</f>
        <v>0.65200000000000002</v>
      </c>
      <c r="H4" s="712">
        <f>G4</f>
        <v>0.65200000000000002</v>
      </c>
      <c r="I4" s="723"/>
    </row>
    <row r="5" spans="1:9" ht="17.100000000000001" customHeight="1">
      <c r="A5" s="1661"/>
      <c r="B5" s="1663" t="s">
        <v>103</v>
      </c>
      <c r="C5" s="1663" t="s">
        <v>2</v>
      </c>
      <c r="D5" s="1664" t="s">
        <v>544</v>
      </c>
      <c r="E5" s="1663" t="s">
        <v>15</v>
      </c>
      <c r="F5" s="1665" t="e">
        <f>I2</f>
        <v>#REF!</v>
      </c>
      <c r="G5" s="621">
        <f>+'특2호각형맨홀(차도측)단위수량'!E6</f>
        <v>1.45</v>
      </c>
      <c r="H5" s="1666" t="e">
        <f>ROUND(G6,3)</f>
        <v>#REF!</v>
      </c>
      <c r="I5" s="1668"/>
    </row>
    <row r="6" spans="1:9" ht="17.100000000000001" customHeight="1">
      <c r="A6" s="1661"/>
      <c r="B6" s="1663"/>
      <c r="C6" s="1663"/>
      <c r="D6" s="1664"/>
      <c r="E6" s="1663"/>
      <c r="F6" s="1663"/>
      <c r="G6" s="622" t="e">
        <f>F5*G5</f>
        <v>#REF!</v>
      </c>
      <c r="H6" s="1667"/>
      <c r="I6" s="1668"/>
    </row>
    <row r="7" spans="1:9" ht="23.45" customHeight="1">
      <c r="A7" s="1661"/>
      <c r="B7" s="1663"/>
      <c r="C7" s="623" t="s">
        <v>3</v>
      </c>
      <c r="D7" s="624" t="s">
        <v>544</v>
      </c>
      <c r="E7" s="623" t="s">
        <v>15</v>
      </c>
      <c r="F7" s="623"/>
      <c r="G7" s="622">
        <f>+'특2호각형맨홀(차도측)단위수량'!E7</f>
        <v>1.2</v>
      </c>
      <c r="H7" s="715">
        <f>ROUND(G7,3)</f>
        <v>1.2</v>
      </c>
      <c r="I7" s="724"/>
    </row>
    <row r="8" spans="1:9" ht="23.45" customHeight="1">
      <c r="A8" s="1661"/>
      <c r="B8" s="1663" t="s">
        <v>104</v>
      </c>
      <c r="C8" s="1663"/>
      <c r="D8" s="623"/>
      <c r="E8" s="623"/>
      <c r="F8" s="623"/>
      <c r="G8" s="625"/>
      <c r="H8" s="715" t="e">
        <f>SUM(H4:H7)</f>
        <v>#REF!</v>
      </c>
      <c r="I8" s="725"/>
    </row>
    <row r="9" spans="1:9" ht="23.45" customHeight="1">
      <c r="A9" s="1661"/>
      <c r="B9" s="1663" t="s">
        <v>545</v>
      </c>
      <c r="C9" s="1663"/>
      <c r="D9" s="623" t="s">
        <v>469</v>
      </c>
      <c r="E9" s="623" t="s">
        <v>15</v>
      </c>
      <c r="F9" s="623"/>
      <c r="G9" s="622">
        <f>+'특2호각형맨홀(차도측)단위수량'!E8</f>
        <v>0.48399999999999999</v>
      </c>
      <c r="H9" s="715">
        <f>G9</f>
        <v>0.48399999999999999</v>
      </c>
      <c r="I9" s="725"/>
    </row>
    <row r="10" spans="1:9" ht="27" customHeight="1">
      <c r="A10" s="1661"/>
      <c r="B10" s="1664" t="s">
        <v>547</v>
      </c>
      <c r="C10" s="1663"/>
      <c r="D10" s="624" t="s">
        <v>747</v>
      </c>
      <c r="E10" s="623" t="s">
        <v>15</v>
      </c>
      <c r="F10" s="623"/>
      <c r="G10" s="625">
        <f>+'특2호각형맨홀(차도측)단위수량'!E5</f>
        <v>9.6000000000000002E-2</v>
      </c>
      <c r="H10" s="716">
        <f>G10</f>
        <v>9.6000000000000002E-2</v>
      </c>
      <c r="I10" s="724"/>
    </row>
    <row r="11" spans="1:9" ht="24.95" customHeight="1">
      <c r="A11" s="1669" t="s">
        <v>439</v>
      </c>
      <c r="B11" s="1663"/>
      <c r="C11" s="1663"/>
      <c r="D11" s="626" t="s">
        <v>549</v>
      </c>
      <c r="E11" s="623" t="s">
        <v>15</v>
      </c>
      <c r="F11" s="623"/>
      <c r="G11" s="625">
        <f>+'특2호각형맨홀(차도측)단위수량'!E9</f>
        <v>2E-3</v>
      </c>
      <c r="H11" s="716">
        <f>G11</f>
        <v>2E-3</v>
      </c>
      <c r="I11" s="724"/>
    </row>
    <row r="12" spans="1:9" ht="21" customHeight="1">
      <c r="A12" s="1670" t="s">
        <v>120</v>
      </c>
      <c r="B12" s="1672" t="s">
        <v>121</v>
      </c>
      <c r="C12" s="623" t="s">
        <v>102</v>
      </c>
      <c r="D12" s="623" t="s">
        <v>106</v>
      </c>
      <c r="E12" s="623" t="s">
        <v>19</v>
      </c>
      <c r="F12" s="623"/>
      <c r="G12" s="625">
        <f>'특2호각형맨홀(차도측)단위수량'!E10</f>
        <v>2.8570000000000002</v>
      </c>
      <c r="H12" s="716">
        <f>G12</f>
        <v>2.8570000000000002</v>
      </c>
      <c r="I12" s="724" t="s">
        <v>107</v>
      </c>
    </row>
    <row r="13" spans="1:9" ht="21" customHeight="1">
      <c r="A13" s="1671"/>
      <c r="B13" s="1673"/>
      <c r="C13" s="623" t="s">
        <v>125</v>
      </c>
      <c r="D13" s="623" t="s">
        <v>106</v>
      </c>
      <c r="E13" s="623" t="s">
        <v>19</v>
      </c>
      <c r="F13" s="623"/>
      <c r="G13" s="622">
        <f>+'특2호각형맨홀(차도측)단위수량'!E11</f>
        <v>2.4</v>
      </c>
      <c r="H13" s="715">
        <f>G13</f>
        <v>2.4</v>
      </c>
      <c r="I13" s="724" t="s">
        <v>748</v>
      </c>
    </row>
    <row r="14" spans="1:9" ht="17.100000000000001" customHeight="1">
      <c r="A14" s="1671"/>
      <c r="B14" s="1673"/>
      <c r="C14" s="1663" t="s">
        <v>108</v>
      </c>
      <c r="D14" s="1672" t="s">
        <v>749</v>
      </c>
      <c r="E14" s="1663" t="s">
        <v>19</v>
      </c>
      <c r="F14" s="1663" t="e">
        <f>F5</f>
        <v>#REF!</v>
      </c>
      <c r="G14" s="621">
        <f>+'특2호각형맨홀(차도측)단위수량'!E12</f>
        <v>11.6</v>
      </c>
      <c r="H14" s="1666" t="e">
        <f>G15</f>
        <v>#REF!</v>
      </c>
      <c r="I14" s="1668" t="s">
        <v>748</v>
      </c>
    </row>
    <row r="15" spans="1:9" ht="17.100000000000001" customHeight="1">
      <c r="A15" s="1671"/>
      <c r="B15" s="1673"/>
      <c r="C15" s="1663"/>
      <c r="D15" s="1662"/>
      <c r="E15" s="1663"/>
      <c r="F15" s="1663"/>
      <c r="G15" s="622" t="e">
        <f>F14*G14</f>
        <v>#REF!</v>
      </c>
      <c r="H15" s="1667"/>
      <c r="I15" s="1668"/>
    </row>
    <row r="16" spans="1:9" ht="21.95" customHeight="1">
      <c r="A16" s="1671"/>
      <c r="B16" s="1673"/>
      <c r="C16" s="623" t="s">
        <v>110</v>
      </c>
      <c r="D16" s="623" t="s">
        <v>111</v>
      </c>
      <c r="E16" s="623"/>
      <c r="F16" s="623"/>
      <c r="G16" s="625"/>
      <c r="H16" s="715" t="e">
        <f>SUM(H12:H15)</f>
        <v>#REF!</v>
      </c>
      <c r="I16" s="724"/>
    </row>
    <row r="17" spans="1:9" ht="21.95" customHeight="1">
      <c r="A17" s="1671"/>
      <c r="B17" s="1662"/>
      <c r="C17" s="623" t="s">
        <v>550</v>
      </c>
      <c r="D17" s="623" t="s">
        <v>551</v>
      </c>
      <c r="E17" s="623" t="s">
        <v>19</v>
      </c>
      <c r="F17" s="623"/>
      <c r="G17" s="622">
        <f>+'특2호각형맨홀(차도측)단위수량'!E13</f>
        <v>0.88000000000000012</v>
      </c>
      <c r="H17" s="715">
        <f>G17</f>
        <v>0.88000000000000012</v>
      </c>
      <c r="I17" s="724"/>
    </row>
    <row r="18" spans="1:9" ht="20.25" customHeight="1">
      <c r="A18" s="1671"/>
      <c r="B18" s="1663" t="s">
        <v>552</v>
      </c>
      <c r="C18" s="623" t="s">
        <v>122</v>
      </c>
      <c r="D18" s="623" t="s">
        <v>750</v>
      </c>
      <c r="E18" s="623" t="s">
        <v>19</v>
      </c>
      <c r="F18" s="623"/>
      <c r="G18" s="625">
        <f>+'특2호각형맨홀(차도측)단위수량'!E14</f>
        <v>0.47099999999999997</v>
      </c>
      <c r="H18" s="716">
        <f>G18</f>
        <v>0.47099999999999997</v>
      </c>
      <c r="I18" s="724"/>
    </row>
    <row r="19" spans="1:9" ht="20.25" customHeight="1">
      <c r="A19" s="1671"/>
      <c r="B19" s="1663"/>
      <c r="C19" s="623" t="s">
        <v>14</v>
      </c>
      <c r="D19" s="623" t="s">
        <v>750</v>
      </c>
      <c r="E19" s="623" t="s">
        <v>19</v>
      </c>
      <c r="F19" s="623"/>
      <c r="G19" s="625">
        <f>+'특2호각형맨홀(차도측)단위수량'!E15</f>
        <v>0.52800000000000002</v>
      </c>
      <c r="H19" s="716">
        <f>G19</f>
        <v>0.52800000000000002</v>
      </c>
      <c r="I19" s="724"/>
    </row>
    <row r="20" spans="1:9" ht="20.25" customHeight="1">
      <c r="A20" s="1660"/>
      <c r="B20" s="1663"/>
      <c r="C20" s="623" t="s">
        <v>268</v>
      </c>
      <c r="D20" s="623"/>
      <c r="E20" s="623"/>
      <c r="F20" s="623"/>
      <c r="G20" s="625"/>
      <c r="H20" s="715">
        <f>SUM(H18:H19)</f>
        <v>0.999</v>
      </c>
      <c r="I20" s="724"/>
    </row>
    <row r="21" spans="1:9" ht="14.25" customHeight="1">
      <c r="A21" s="1669" t="s">
        <v>4</v>
      </c>
      <c r="B21" s="1663"/>
      <c r="C21" s="1663"/>
      <c r="D21" s="1663" t="s">
        <v>126</v>
      </c>
      <c r="E21" s="1663" t="s">
        <v>112</v>
      </c>
      <c r="F21" s="1663" t="e">
        <f>F5-0.6</f>
        <v>#REF!</v>
      </c>
      <c r="G21" s="627" t="e">
        <f>F21</f>
        <v>#REF!</v>
      </c>
      <c r="H21" s="1674" t="e">
        <f>ROUNDUP(G21/G22,0)</f>
        <v>#REF!</v>
      </c>
      <c r="I21" s="1668" t="s">
        <v>113</v>
      </c>
    </row>
    <row r="22" spans="1:9" ht="14.25" customHeight="1">
      <c r="A22" s="1669"/>
      <c r="B22" s="1663"/>
      <c r="C22" s="1663"/>
      <c r="D22" s="1663"/>
      <c r="E22" s="1663"/>
      <c r="F22" s="1663"/>
      <c r="G22" s="622">
        <v>0.3</v>
      </c>
      <c r="H22" s="1674"/>
      <c r="I22" s="1668"/>
    </row>
    <row r="23" spans="1:9" ht="14.25" customHeight="1">
      <c r="A23" s="1669" t="s">
        <v>114</v>
      </c>
      <c r="B23" s="1663"/>
      <c r="C23" s="1663"/>
      <c r="D23" s="1663" t="s">
        <v>115</v>
      </c>
      <c r="E23" s="1663" t="s">
        <v>116</v>
      </c>
      <c r="F23" s="1665" t="e">
        <f>F5</f>
        <v>#REF!</v>
      </c>
      <c r="G23" s="627">
        <f>+'특2호각형맨홀(차도측)단위수량'!E17</f>
        <v>1.042</v>
      </c>
      <c r="H23" s="1666" t="e">
        <f>ROUND(G24,3)</f>
        <v>#REF!</v>
      </c>
      <c r="I23" s="1675"/>
    </row>
    <row r="24" spans="1:9" ht="14.25" customHeight="1">
      <c r="A24" s="1669"/>
      <c r="B24" s="1663"/>
      <c r="C24" s="1663"/>
      <c r="D24" s="1663"/>
      <c r="E24" s="1663"/>
      <c r="F24" s="1663"/>
      <c r="G24" s="622" t="e">
        <f>F23*G23</f>
        <v>#REF!</v>
      </c>
      <c r="H24" s="1667"/>
      <c r="I24" s="1676"/>
    </row>
    <row r="25" spans="1:9" ht="14.25" customHeight="1">
      <c r="A25" s="1669" t="s">
        <v>554</v>
      </c>
      <c r="B25" s="1663"/>
      <c r="C25" s="1663"/>
      <c r="D25" s="1663" t="s">
        <v>117</v>
      </c>
      <c r="E25" s="1663" t="s">
        <v>127</v>
      </c>
      <c r="F25" s="1663" t="e">
        <f>F5</f>
        <v>#REF!</v>
      </c>
      <c r="G25" s="628">
        <f>'특2호각형맨홀(차도측)단위수량'!E18</f>
        <v>1.2</v>
      </c>
      <c r="H25" s="1674" t="e">
        <f>ROUNDUP(G26,0)</f>
        <v>#REF!</v>
      </c>
      <c r="I25" s="1668"/>
    </row>
    <row r="26" spans="1:9" ht="14.25" customHeight="1">
      <c r="A26" s="1669"/>
      <c r="B26" s="1663"/>
      <c r="C26" s="1663"/>
      <c r="D26" s="1663"/>
      <c r="E26" s="1663"/>
      <c r="F26" s="1663"/>
      <c r="G26" s="629" t="e">
        <f>F25*G25</f>
        <v>#REF!</v>
      </c>
      <c r="H26" s="1674"/>
      <c r="I26" s="1668"/>
    </row>
    <row r="27" spans="1:9" ht="23.45" customHeight="1">
      <c r="A27" s="1669" t="s">
        <v>555</v>
      </c>
      <c r="B27" s="1663"/>
      <c r="C27" s="1663"/>
      <c r="D27" s="623" t="s">
        <v>235</v>
      </c>
      <c r="E27" s="623" t="s">
        <v>19</v>
      </c>
      <c r="F27" s="623"/>
      <c r="G27" s="629">
        <f>'특2호각형맨홀(차도측)단위수량'!E19</f>
        <v>6.61</v>
      </c>
      <c r="H27" s="717">
        <f>ROUNDUP(G27,0)</f>
        <v>7</v>
      </c>
      <c r="I27" s="724"/>
    </row>
    <row r="28" spans="1:9" ht="21.95" customHeight="1">
      <c r="A28" s="1661" t="s">
        <v>236</v>
      </c>
      <c r="B28" s="1664"/>
      <c r="C28" s="1663" t="s">
        <v>102</v>
      </c>
      <c r="D28" s="623" t="s">
        <v>238</v>
      </c>
      <c r="E28" s="623" t="s">
        <v>751</v>
      </c>
      <c r="F28" s="623"/>
      <c r="G28" s="622">
        <f>+'특2호각형맨홀(차도측)단위수량'!E20</f>
        <v>0.01</v>
      </c>
      <c r="H28" s="715">
        <f>G28</f>
        <v>0.01</v>
      </c>
      <c r="I28" s="724"/>
    </row>
    <row r="29" spans="1:9" ht="21.95" customHeight="1">
      <c r="A29" s="1661"/>
      <c r="B29" s="1664"/>
      <c r="C29" s="1663"/>
      <c r="D29" s="623" t="s">
        <v>239</v>
      </c>
      <c r="E29" s="623" t="s">
        <v>751</v>
      </c>
      <c r="F29" s="623"/>
      <c r="G29" s="625">
        <f>+'특2호각형맨홀(차도측)단위수량'!E21</f>
        <v>6.4000000000000001E-2</v>
      </c>
      <c r="H29" s="715">
        <f>G29</f>
        <v>6.4000000000000001E-2</v>
      </c>
      <c r="I29" s="724"/>
    </row>
    <row r="30" spans="1:9" ht="20.100000000000001" customHeight="1">
      <c r="A30" s="1661"/>
      <c r="B30" s="1664"/>
      <c r="C30" s="623" t="s">
        <v>3</v>
      </c>
      <c r="D30" s="623" t="s">
        <v>239</v>
      </c>
      <c r="E30" s="623" t="s">
        <v>751</v>
      </c>
      <c r="F30" s="623"/>
      <c r="G30" s="622">
        <f>+'특2호각형맨홀(차도측)단위수량'!E22</f>
        <v>8.7999999999999995E-2</v>
      </c>
      <c r="H30" s="715">
        <f>G30</f>
        <v>8.7999999999999995E-2</v>
      </c>
      <c r="I30" s="724"/>
    </row>
    <row r="31" spans="1:9" ht="17.100000000000001" customHeight="1">
      <c r="A31" s="1661"/>
      <c r="B31" s="1664"/>
      <c r="C31" s="1663" t="s">
        <v>2</v>
      </c>
      <c r="D31" s="1663" t="s">
        <v>752</v>
      </c>
      <c r="E31" s="1663" t="s">
        <v>753</v>
      </c>
      <c r="F31" s="1663" t="e">
        <f>F5</f>
        <v>#REF!</v>
      </c>
      <c r="G31" s="621">
        <f>+'특2호각형맨홀(차도측)단위수량'!E23</f>
        <v>0.105</v>
      </c>
      <c r="H31" s="1666" t="e">
        <f>ROUND(G32,3)</f>
        <v>#REF!</v>
      </c>
      <c r="I31" s="726" t="s">
        <v>754</v>
      </c>
    </row>
    <row r="32" spans="1:9" ht="17.100000000000001" customHeight="1">
      <c r="A32" s="1661"/>
      <c r="B32" s="1664"/>
      <c r="C32" s="1663"/>
      <c r="D32" s="1663"/>
      <c r="E32" s="1663"/>
      <c r="F32" s="1663"/>
      <c r="G32" s="622" t="e">
        <f>F31*G31</f>
        <v>#REF!</v>
      </c>
      <c r="H32" s="1667"/>
      <c r="I32" s="727" t="e">
        <f>SUM(H29:H32)</f>
        <v>#REF!</v>
      </c>
    </row>
    <row r="33" spans="1:9" ht="20.100000000000001" customHeight="1">
      <c r="A33" s="1661"/>
      <c r="B33" s="1664"/>
      <c r="C33" s="623" t="s">
        <v>104</v>
      </c>
      <c r="D33" s="1663"/>
      <c r="E33" s="1663"/>
      <c r="F33" s="623"/>
      <c r="G33" s="625"/>
      <c r="H33" s="715" t="e">
        <f>SUM(H28:H32)</f>
        <v>#REF!</v>
      </c>
      <c r="I33" s="724"/>
    </row>
    <row r="34" spans="1:9" ht="21" hidden="1" customHeight="1">
      <c r="A34" s="1677" t="s">
        <v>561</v>
      </c>
      <c r="B34" s="1678"/>
      <c r="C34" s="1679"/>
      <c r="D34" s="1663"/>
      <c r="E34" s="1663"/>
      <c r="F34" s="630"/>
      <c r="G34" s="625">
        <f>+'특2호각형맨홀(차도측)단위수량'!E24</f>
        <v>3</v>
      </c>
      <c r="H34" s="717">
        <v>3</v>
      </c>
      <c r="I34" s="728"/>
    </row>
    <row r="35" spans="1:9" ht="21" customHeight="1">
      <c r="A35" s="1669" t="s">
        <v>241</v>
      </c>
      <c r="B35" s="1663"/>
      <c r="C35" s="1663"/>
      <c r="D35" s="623" t="s">
        <v>413</v>
      </c>
      <c r="E35" s="623" t="s">
        <v>112</v>
      </c>
      <c r="F35" s="623"/>
      <c r="G35" s="625">
        <f>+'특2호각형맨홀(차도측)단위수량'!E25</f>
        <v>1</v>
      </c>
      <c r="H35" s="717">
        <f>G35</f>
        <v>1</v>
      </c>
      <c r="I35" s="724"/>
    </row>
    <row r="36" spans="1:9" ht="21" customHeight="1">
      <c r="A36" s="1680"/>
      <c r="B36" s="1681"/>
      <c r="C36" s="1681"/>
      <c r="D36" s="631"/>
      <c r="E36" s="632"/>
      <c r="F36" s="631"/>
      <c r="G36" s="633"/>
      <c r="H36" s="718"/>
      <c r="I36" s="729"/>
    </row>
    <row r="37" spans="1:9" ht="21.75" customHeight="1">
      <c r="G37" s="634"/>
      <c r="H37" s="719"/>
    </row>
    <row r="38" spans="1:9" ht="21.75" customHeight="1">
      <c r="G38" s="634"/>
      <c r="H38" s="719"/>
    </row>
    <row r="39" spans="1:9" ht="21.75" customHeight="1">
      <c r="G39" s="634"/>
      <c r="H39" s="719"/>
    </row>
    <row r="40" spans="1:9" ht="21.75" customHeight="1">
      <c r="G40" s="634"/>
      <c r="H40" s="719"/>
    </row>
    <row r="41" spans="1:9" ht="21.75" customHeight="1">
      <c r="G41" s="634"/>
      <c r="H41" s="719"/>
    </row>
    <row r="42" spans="1:9" ht="21.75" customHeight="1">
      <c r="G42" s="634"/>
      <c r="H42" s="719"/>
    </row>
    <row r="43" spans="1:9" ht="21.75" customHeight="1">
      <c r="G43" s="634"/>
      <c r="H43" s="719"/>
    </row>
    <row r="44" spans="1:9" ht="21.75" customHeight="1">
      <c r="G44" s="634"/>
      <c r="H44" s="719"/>
    </row>
    <row r="45" spans="1:9" ht="21.75" customHeight="1">
      <c r="G45" s="634"/>
      <c r="H45" s="719"/>
    </row>
    <row r="46" spans="1:9" ht="21.75" customHeight="1">
      <c r="G46" s="634"/>
      <c r="H46" s="719"/>
    </row>
    <row r="47" spans="1:9" ht="21.75" customHeight="1">
      <c r="G47" s="634"/>
      <c r="H47" s="719"/>
    </row>
    <row r="48" spans="1:9" ht="21.75" customHeight="1">
      <c r="G48" s="634"/>
      <c r="H48" s="719"/>
    </row>
    <row r="49" spans="7:8" ht="21.75" customHeight="1">
      <c r="G49" s="634"/>
      <c r="H49" s="719"/>
    </row>
    <row r="50" spans="7:8" ht="21.75" customHeight="1">
      <c r="G50" s="634"/>
      <c r="H50" s="719"/>
    </row>
    <row r="51" spans="7:8" ht="21.75" customHeight="1">
      <c r="G51" s="634"/>
      <c r="H51" s="719"/>
    </row>
    <row r="52" spans="7:8" ht="21.75" customHeight="1">
      <c r="G52" s="634"/>
      <c r="H52" s="719"/>
    </row>
    <row r="53" spans="7:8" ht="21.75" customHeight="1">
      <c r="G53" s="634"/>
      <c r="H53" s="719"/>
    </row>
    <row r="54" spans="7:8" ht="21.75" customHeight="1">
      <c r="G54" s="634"/>
      <c r="H54" s="719"/>
    </row>
    <row r="55" spans="7:8" ht="21.75" customHeight="1">
      <c r="G55" s="634"/>
      <c r="H55" s="719"/>
    </row>
    <row r="56" spans="7:8" ht="21.75" customHeight="1">
      <c r="G56" s="634"/>
      <c r="H56" s="719"/>
    </row>
    <row r="57" spans="7:8" ht="21.75" customHeight="1">
      <c r="G57" s="634"/>
      <c r="H57" s="719"/>
    </row>
    <row r="58" spans="7:8" ht="21.75" customHeight="1">
      <c r="G58" s="634"/>
      <c r="H58" s="719"/>
    </row>
    <row r="59" spans="7:8" ht="21.75" customHeight="1">
      <c r="G59" s="634"/>
      <c r="H59" s="719"/>
    </row>
    <row r="60" spans="7:8" ht="21.75" customHeight="1">
      <c r="G60" s="634"/>
      <c r="H60" s="719"/>
    </row>
    <row r="61" spans="7:8" ht="21.75" customHeight="1">
      <c r="G61" s="634"/>
      <c r="H61" s="719"/>
    </row>
    <row r="62" spans="7:8" ht="21.75" customHeight="1">
      <c r="G62" s="634"/>
      <c r="H62" s="719"/>
    </row>
    <row r="63" spans="7:8" ht="21.75" customHeight="1">
      <c r="G63" s="634"/>
      <c r="H63" s="719"/>
    </row>
    <row r="64" spans="7:8" ht="21.75" customHeight="1">
      <c r="G64" s="634"/>
      <c r="H64" s="719"/>
    </row>
    <row r="65" spans="7:8" ht="21.75" customHeight="1">
      <c r="G65" s="634"/>
      <c r="H65" s="719"/>
    </row>
    <row r="66" spans="7:8" ht="21.75" customHeight="1">
      <c r="G66" s="634"/>
      <c r="H66" s="719"/>
    </row>
    <row r="67" spans="7:8" ht="21.75" customHeight="1">
      <c r="G67" s="634"/>
      <c r="H67" s="719"/>
    </row>
    <row r="68" spans="7:8" ht="21.75" customHeight="1">
      <c r="G68" s="634"/>
      <c r="H68" s="719"/>
    </row>
    <row r="69" spans="7:8" ht="21.75" customHeight="1">
      <c r="G69" s="634"/>
      <c r="H69" s="719"/>
    </row>
    <row r="70" spans="7:8" ht="21.75" customHeight="1">
      <c r="G70" s="634"/>
      <c r="H70" s="719"/>
    </row>
    <row r="71" spans="7:8" ht="21.75" customHeight="1">
      <c r="G71" s="634"/>
      <c r="H71" s="719"/>
    </row>
    <row r="72" spans="7:8" ht="21.75" customHeight="1">
      <c r="G72" s="634"/>
      <c r="H72" s="719"/>
    </row>
    <row r="73" spans="7:8" ht="21.75" customHeight="1">
      <c r="G73" s="634"/>
      <c r="H73" s="719"/>
    </row>
    <row r="74" spans="7:8" ht="21.75" customHeight="1">
      <c r="G74" s="634"/>
      <c r="H74" s="719"/>
    </row>
    <row r="75" spans="7:8" ht="21.75" customHeight="1">
      <c r="G75" s="634"/>
      <c r="H75" s="719"/>
    </row>
    <row r="76" spans="7:8" ht="21.75" customHeight="1">
      <c r="G76" s="634"/>
      <c r="H76" s="719"/>
    </row>
    <row r="77" spans="7:8" ht="21.75" customHeight="1">
      <c r="G77" s="634"/>
      <c r="H77" s="719"/>
    </row>
    <row r="78" spans="7:8" ht="21.75" customHeight="1">
      <c r="G78" s="634"/>
      <c r="H78" s="719"/>
    </row>
    <row r="79" spans="7:8" ht="21.75" customHeight="1">
      <c r="G79" s="634"/>
      <c r="H79" s="719"/>
    </row>
    <row r="80" spans="7:8" ht="21.75" customHeight="1">
      <c r="G80" s="634"/>
      <c r="H80" s="719"/>
    </row>
    <row r="81" spans="7:8" ht="21.75" customHeight="1">
      <c r="G81" s="634"/>
      <c r="H81" s="719"/>
    </row>
    <row r="82" spans="7:8" ht="21.75" customHeight="1">
      <c r="G82" s="634"/>
      <c r="H82" s="719"/>
    </row>
    <row r="83" spans="7:8" ht="21.75" customHeight="1">
      <c r="G83" s="634"/>
      <c r="H83" s="719"/>
    </row>
    <row r="84" spans="7:8" ht="21.75" customHeight="1">
      <c r="G84" s="634"/>
      <c r="H84" s="719"/>
    </row>
    <row r="85" spans="7:8" ht="21.75" customHeight="1">
      <c r="G85" s="634"/>
      <c r="H85" s="719"/>
    </row>
    <row r="86" spans="7:8" ht="21.75" customHeight="1">
      <c r="G86" s="634"/>
      <c r="H86" s="719"/>
    </row>
    <row r="87" spans="7:8" ht="21.75" customHeight="1">
      <c r="G87" s="634"/>
      <c r="H87" s="719"/>
    </row>
    <row r="88" spans="7:8" ht="21.75" customHeight="1">
      <c r="G88" s="634"/>
      <c r="H88" s="719"/>
    </row>
    <row r="89" spans="7:8" ht="21.75" customHeight="1">
      <c r="G89" s="634"/>
      <c r="H89" s="719"/>
    </row>
    <row r="90" spans="7:8" ht="21.75" customHeight="1">
      <c r="G90" s="634"/>
      <c r="H90" s="719"/>
    </row>
    <row r="91" spans="7:8" ht="21.75" customHeight="1">
      <c r="G91" s="634"/>
      <c r="H91" s="719"/>
    </row>
    <row r="92" spans="7:8" ht="21.75" customHeight="1">
      <c r="G92" s="634"/>
      <c r="H92" s="719"/>
    </row>
    <row r="93" spans="7:8" ht="21.75" customHeight="1">
      <c r="G93" s="634"/>
      <c r="H93" s="719"/>
    </row>
    <row r="94" spans="7:8" ht="21.75" customHeight="1">
      <c r="G94" s="634"/>
      <c r="H94" s="719"/>
    </row>
    <row r="95" spans="7:8" ht="21.75" customHeight="1">
      <c r="G95" s="634"/>
      <c r="H95" s="719"/>
    </row>
    <row r="96" spans="7:8" ht="21.75" customHeight="1">
      <c r="G96" s="634"/>
      <c r="H96" s="719"/>
    </row>
    <row r="97" spans="7:8" ht="21.75" customHeight="1">
      <c r="G97" s="634"/>
      <c r="H97" s="719"/>
    </row>
    <row r="98" spans="7:8" ht="21.75" customHeight="1">
      <c r="G98" s="634"/>
      <c r="H98" s="719"/>
    </row>
    <row r="99" spans="7:8" ht="21.75" customHeight="1">
      <c r="G99" s="634"/>
      <c r="H99" s="719"/>
    </row>
    <row r="100" spans="7:8" ht="21.75" customHeight="1">
      <c r="G100" s="634"/>
      <c r="H100" s="719"/>
    </row>
    <row r="101" spans="7:8" ht="21.75" customHeight="1">
      <c r="G101" s="634"/>
      <c r="H101" s="719"/>
    </row>
    <row r="102" spans="7:8" ht="21.75" customHeight="1">
      <c r="G102" s="634"/>
      <c r="H102" s="719"/>
    </row>
    <row r="103" spans="7:8" ht="21.75" customHeight="1">
      <c r="G103" s="634"/>
      <c r="H103" s="719"/>
    </row>
    <row r="104" spans="7:8" ht="21.75" customHeight="1">
      <c r="G104" s="634"/>
      <c r="H104" s="719"/>
    </row>
    <row r="105" spans="7:8" ht="21.75" customHeight="1">
      <c r="G105" s="634"/>
      <c r="H105" s="719"/>
    </row>
    <row r="106" spans="7:8" ht="21.75" customHeight="1">
      <c r="G106" s="634"/>
      <c r="H106" s="719"/>
    </row>
    <row r="107" spans="7:8" ht="21.75" customHeight="1">
      <c r="G107" s="634"/>
      <c r="H107" s="719"/>
    </row>
    <row r="108" spans="7:8" ht="21.75" customHeight="1">
      <c r="G108" s="634"/>
      <c r="H108" s="719"/>
    </row>
    <row r="109" spans="7:8" ht="21.75" customHeight="1">
      <c r="G109" s="634"/>
      <c r="H109" s="719"/>
    </row>
    <row r="110" spans="7:8" ht="21.75" customHeight="1">
      <c r="G110" s="634"/>
      <c r="H110" s="719"/>
    </row>
    <row r="111" spans="7:8" ht="21.75" customHeight="1">
      <c r="G111" s="634"/>
      <c r="H111" s="719"/>
    </row>
    <row r="112" spans="7:8" ht="21.75" customHeight="1">
      <c r="G112" s="634"/>
      <c r="H112" s="719"/>
    </row>
    <row r="113" spans="7:8" ht="21.75" customHeight="1">
      <c r="G113" s="634"/>
      <c r="H113" s="719"/>
    </row>
    <row r="114" spans="7:8" ht="21.75" customHeight="1">
      <c r="G114" s="634"/>
      <c r="H114" s="719"/>
    </row>
    <row r="115" spans="7:8" ht="21.75" customHeight="1">
      <c r="G115" s="634"/>
      <c r="H115" s="719"/>
    </row>
    <row r="116" spans="7:8" ht="21.75" customHeight="1">
      <c r="G116" s="634"/>
      <c r="H116" s="719"/>
    </row>
    <row r="117" spans="7:8" ht="21.75" customHeight="1">
      <c r="G117" s="634"/>
      <c r="H117" s="719"/>
    </row>
    <row r="118" spans="7:8" ht="21.75" customHeight="1">
      <c r="G118" s="634"/>
      <c r="H118" s="719"/>
    </row>
    <row r="119" spans="7:8" ht="21.75" customHeight="1">
      <c r="G119" s="634"/>
      <c r="H119" s="719"/>
    </row>
    <row r="120" spans="7:8" ht="21.75" customHeight="1">
      <c r="G120" s="634"/>
      <c r="H120" s="719"/>
    </row>
    <row r="121" spans="7:8" ht="21.75" customHeight="1">
      <c r="G121" s="634"/>
      <c r="H121" s="719"/>
    </row>
    <row r="122" spans="7:8" ht="21.75" customHeight="1">
      <c r="G122" s="634"/>
      <c r="H122" s="719"/>
    </row>
    <row r="123" spans="7:8" ht="21.75" customHeight="1">
      <c r="G123" s="634"/>
      <c r="H123" s="719"/>
    </row>
    <row r="124" spans="7:8" ht="21.75" customHeight="1">
      <c r="G124" s="634"/>
      <c r="H124" s="719"/>
    </row>
    <row r="125" spans="7:8" ht="21.75" customHeight="1">
      <c r="G125" s="634"/>
      <c r="H125" s="719"/>
    </row>
    <row r="126" spans="7:8" ht="21.75" customHeight="1">
      <c r="G126" s="634"/>
      <c r="H126" s="719"/>
    </row>
    <row r="127" spans="7:8" ht="21.75" customHeight="1">
      <c r="G127" s="634"/>
      <c r="H127" s="719"/>
    </row>
    <row r="128" spans="7:8" ht="21.75" customHeight="1">
      <c r="G128" s="634"/>
      <c r="H128" s="719"/>
    </row>
    <row r="129" spans="7:8" ht="21.75" customHeight="1">
      <c r="G129" s="634"/>
      <c r="H129" s="719"/>
    </row>
    <row r="130" spans="7:8" ht="21.75" customHeight="1">
      <c r="G130" s="634"/>
      <c r="H130" s="719"/>
    </row>
    <row r="131" spans="7:8" ht="21.75" customHeight="1">
      <c r="G131" s="634"/>
      <c r="H131" s="719"/>
    </row>
    <row r="132" spans="7:8" ht="21.75" customHeight="1">
      <c r="G132" s="634"/>
      <c r="H132" s="719"/>
    </row>
    <row r="133" spans="7:8" ht="21.75" customHeight="1">
      <c r="G133" s="634"/>
      <c r="H133" s="719"/>
    </row>
    <row r="134" spans="7:8" ht="21.75" customHeight="1">
      <c r="G134" s="634"/>
      <c r="H134" s="719"/>
    </row>
    <row r="135" spans="7:8" ht="21.75" customHeight="1">
      <c r="G135" s="634"/>
      <c r="H135" s="719"/>
    </row>
    <row r="136" spans="7:8" ht="21.75" customHeight="1">
      <c r="G136" s="634"/>
      <c r="H136" s="719"/>
    </row>
    <row r="137" spans="7:8" ht="21.75" customHeight="1">
      <c r="G137" s="634"/>
      <c r="H137" s="719"/>
    </row>
    <row r="138" spans="7:8" ht="21.75" customHeight="1">
      <c r="G138" s="634"/>
      <c r="H138" s="719"/>
    </row>
    <row r="139" spans="7:8" ht="21.75" customHeight="1">
      <c r="G139" s="634"/>
      <c r="H139" s="719"/>
    </row>
    <row r="140" spans="7:8" ht="21.75" customHeight="1">
      <c r="G140" s="634"/>
      <c r="H140" s="719"/>
    </row>
    <row r="141" spans="7:8" ht="21.75" customHeight="1">
      <c r="G141" s="634"/>
      <c r="H141" s="719"/>
    </row>
    <row r="142" spans="7:8" ht="21.75" customHeight="1">
      <c r="G142" s="634"/>
      <c r="H142" s="719"/>
    </row>
    <row r="143" spans="7:8" ht="21.75" customHeight="1">
      <c r="G143" s="634"/>
      <c r="H143" s="719"/>
    </row>
    <row r="144" spans="7:8" ht="21.75" customHeight="1">
      <c r="G144" s="634"/>
      <c r="H144" s="719"/>
    </row>
    <row r="145" spans="7:8" ht="21.75" customHeight="1">
      <c r="G145" s="634"/>
      <c r="H145" s="719"/>
    </row>
    <row r="146" spans="7:8" ht="21.75" customHeight="1">
      <c r="G146" s="634"/>
      <c r="H146" s="719"/>
    </row>
    <row r="147" spans="7:8" ht="21.75" customHeight="1">
      <c r="G147" s="634"/>
      <c r="H147" s="719"/>
    </row>
    <row r="148" spans="7:8" ht="21.75" customHeight="1">
      <c r="G148" s="634"/>
      <c r="H148" s="719"/>
    </row>
    <row r="149" spans="7:8" ht="21.75" customHeight="1">
      <c r="G149" s="634"/>
      <c r="H149" s="719"/>
    </row>
    <row r="150" spans="7:8" ht="21.75" customHeight="1">
      <c r="G150" s="634"/>
      <c r="H150" s="719"/>
    </row>
    <row r="151" spans="7:8" ht="21.75" customHeight="1">
      <c r="G151" s="634"/>
      <c r="H151" s="719"/>
    </row>
    <row r="152" spans="7:8" ht="21.75" customHeight="1">
      <c r="G152" s="634"/>
      <c r="H152" s="719"/>
    </row>
    <row r="153" spans="7:8" ht="21.75" customHeight="1">
      <c r="G153" s="634"/>
      <c r="H153" s="719"/>
    </row>
    <row r="154" spans="7:8" ht="21.75" customHeight="1">
      <c r="G154" s="634"/>
      <c r="H154" s="719"/>
    </row>
    <row r="155" spans="7:8" ht="21.75" customHeight="1">
      <c r="G155" s="634"/>
      <c r="H155" s="719"/>
    </row>
    <row r="156" spans="7:8" ht="21.75" customHeight="1">
      <c r="G156" s="634"/>
      <c r="H156" s="719"/>
    </row>
    <row r="157" spans="7:8" ht="21.75" customHeight="1">
      <c r="G157" s="634"/>
      <c r="H157" s="719"/>
    </row>
    <row r="158" spans="7:8" ht="21.75" customHeight="1">
      <c r="G158" s="634"/>
      <c r="H158" s="719"/>
    </row>
    <row r="159" spans="7:8" ht="21.75" customHeight="1">
      <c r="G159" s="634"/>
      <c r="H159" s="719"/>
    </row>
    <row r="160" spans="7:8" ht="21.75" customHeight="1">
      <c r="G160" s="634"/>
      <c r="H160" s="719"/>
    </row>
    <row r="161" spans="7:8" ht="21.75" customHeight="1">
      <c r="G161" s="634"/>
      <c r="H161" s="719"/>
    </row>
    <row r="162" spans="7:8" ht="21.75" customHeight="1">
      <c r="G162" s="634"/>
      <c r="H162" s="719"/>
    </row>
    <row r="163" spans="7:8" ht="21.75" customHeight="1">
      <c r="G163" s="634"/>
      <c r="H163" s="719"/>
    </row>
    <row r="164" spans="7:8" ht="21.75" customHeight="1">
      <c r="G164" s="634"/>
      <c r="H164" s="719"/>
    </row>
    <row r="165" spans="7:8" ht="21.75" customHeight="1">
      <c r="G165" s="634"/>
      <c r="H165" s="719"/>
    </row>
    <row r="166" spans="7:8" ht="21.75" customHeight="1">
      <c r="G166" s="634"/>
      <c r="H166" s="719"/>
    </row>
  </sheetData>
  <mergeCells count="55">
    <mergeCell ref="F31:F32"/>
    <mergeCell ref="H31:H32"/>
    <mergeCell ref="A34:C34"/>
    <mergeCell ref="A35:C35"/>
    <mergeCell ref="A36:C36"/>
    <mergeCell ref="D33:D34"/>
    <mergeCell ref="E33:E34"/>
    <mergeCell ref="E31:E32"/>
    <mergeCell ref="A27:C27"/>
    <mergeCell ref="A28:B33"/>
    <mergeCell ref="C28:C29"/>
    <mergeCell ref="C31:C32"/>
    <mergeCell ref="D31:D32"/>
    <mergeCell ref="I25:I26"/>
    <mergeCell ref="A23:C24"/>
    <mergeCell ref="D23:D24"/>
    <mergeCell ref="E23:E24"/>
    <mergeCell ref="F23:F24"/>
    <mergeCell ref="H23:H24"/>
    <mergeCell ref="I23:I24"/>
    <mergeCell ref="A25:C26"/>
    <mergeCell ref="D25:D26"/>
    <mergeCell ref="E25:E26"/>
    <mergeCell ref="F25:F26"/>
    <mergeCell ref="H25:H26"/>
    <mergeCell ref="I21:I22"/>
    <mergeCell ref="A12:A20"/>
    <mergeCell ref="B12:B17"/>
    <mergeCell ref="C14:C15"/>
    <mergeCell ref="D14:D15"/>
    <mergeCell ref="E14:E15"/>
    <mergeCell ref="A21:C22"/>
    <mergeCell ref="D21:D22"/>
    <mergeCell ref="E21:E22"/>
    <mergeCell ref="F21:F22"/>
    <mergeCell ref="H21:H22"/>
    <mergeCell ref="A11:C11"/>
    <mergeCell ref="F14:F15"/>
    <mergeCell ref="H14:H15"/>
    <mergeCell ref="I14:I15"/>
    <mergeCell ref="B18:B20"/>
    <mergeCell ref="A1:I1"/>
    <mergeCell ref="A3:C3"/>
    <mergeCell ref="A4:A10"/>
    <mergeCell ref="B4:C4"/>
    <mergeCell ref="B5:B7"/>
    <mergeCell ref="C5:C6"/>
    <mergeCell ref="D5:D6"/>
    <mergeCell ref="E5:E6"/>
    <mergeCell ref="F5:F6"/>
    <mergeCell ref="H5:H6"/>
    <mergeCell ref="I5:I6"/>
    <mergeCell ref="B8:C8"/>
    <mergeCell ref="B9:C9"/>
    <mergeCell ref="B10:C10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scale="9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>
    <tabColor rgb="FFFFC000"/>
  </sheetPr>
  <dimension ref="A1:J26"/>
  <sheetViews>
    <sheetView workbookViewId="0">
      <selection sqref="A1:I1"/>
    </sheetView>
  </sheetViews>
  <sheetFormatPr defaultRowHeight="21.75" customHeight="1"/>
  <cols>
    <col min="1" max="1" width="4" style="635" customWidth="1"/>
    <col min="2" max="2" width="4.77734375" style="635" customWidth="1"/>
    <col min="3" max="3" width="9.88671875" style="635" customWidth="1"/>
    <col min="4" max="4" width="34.44140625" style="635" customWidth="1"/>
    <col min="5" max="5" width="6.6640625" style="635" customWidth="1"/>
    <col min="6" max="6" width="4.88671875" style="635" customWidth="1"/>
    <col min="7" max="7" width="3" style="635" customWidth="1"/>
    <col min="8" max="8" width="5.77734375" style="635" customWidth="1"/>
    <col min="9" max="9" width="4.109375" style="635" customWidth="1"/>
    <col min="10" max="256" width="8.88671875" style="635"/>
    <col min="257" max="257" width="4" style="635" customWidth="1"/>
    <col min="258" max="258" width="4.77734375" style="635" customWidth="1"/>
    <col min="259" max="259" width="9.88671875" style="635" customWidth="1"/>
    <col min="260" max="260" width="34.44140625" style="635" customWidth="1"/>
    <col min="261" max="261" width="6.6640625" style="635" customWidth="1"/>
    <col min="262" max="262" width="4.88671875" style="635" customWidth="1"/>
    <col min="263" max="263" width="3" style="635" customWidth="1"/>
    <col min="264" max="264" width="5.77734375" style="635" customWidth="1"/>
    <col min="265" max="265" width="4.109375" style="635" customWidth="1"/>
    <col min="266" max="512" width="8.88671875" style="635"/>
    <col min="513" max="513" width="4" style="635" customWidth="1"/>
    <col min="514" max="514" width="4.77734375" style="635" customWidth="1"/>
    <col min="515" max="515" width="9.88671875" style="635" customWidth="1"/>
    <col min="516" max="516" width="34.44140625" style="635" customWidth="1"/>
    <col min="517" max="517" width="6.6640625" style="635" customWidth="1"/>
    <col min="518" max="518" width="4.88671875" style="635" customWidth="1"/>
    <col min="519" max="519" width="3" style="635" customWidth="1"/>
    <col min="520" max="520" width="5.77734375" style="635" customWidth="1"/>
    <col min="521" max="521" width="4.109375" style="635" customWidth="1"/>
    <col min="522" max="768" width="8.88671875" style="635"/>
    <col min="769" max="769" width="4" style="635" customWidth="1"/>
    <col min="770" max="770" width="4.77734375" style="635" customWidth="1"/>
    <col min="771" max="771" width="9.88671875" style="635" customWidth="1"/>
    <col min="772" max="772" width="34.44140625" style="635" customWidth="1"/>
    <col min="773" max="773" width="6.6640625" style="635" customWidth="1"/>
    <col min="774" max="774" width="4.88671875" style="635" customWidth="1"/>
    <col min="775" max="775" width="3" style="635" customWidth="1"/>
    <col min="776" max="776" width="5.77734375" style="635" customWidth="1"/>
    <col min="777" max="777" width="4.109375" style="635" customWidth="1"/>
    <col min="778" max="1024" width="8.88671875" style="635"/>
    <col min="1025" max="1025" width="4" style="635" customWidth="1"/>
    <col min="1026" max="1026" width="4.77734375" style="635" customWidth="1"/>
    <col min="1027" max="1027" width="9.88671875" style="635" customWidth="1"/>
    <col min="1028" max="1028" width="34.44140625" style="635" customWidth="1"/>
    <col min="1029" max="1029" width="6.6640625" style="635" customWidth="1"/>
    <col min="1030" max="1030" width="4.88671875" style="635" customWidth="1"/>
    <col min="1031" max="1031" width="3" style="635" customWidth="1"/>
    <col min="1032" max="1032" width="5.77734375" style="635" customWidth="1"/>
    <col min="1033" max="1033" width="4.109375" style="635" customWidth="1"/>
    <col min="1034" max="1280" width="8.88671875" style="635"/>
    <col min="1281" max="1281" width="4" style="635" customWidth="1"/>
    <col min="1282" max="1282" width="4.77734375" style="635" customWidth="1"/>
    <col min="1283" max="1283" width="9.88671875" style="635" customWidth="1"/>
    <col min="1284" max="1284" width="34.44140625" style="635" customWidth="1"/>
    <col min="1285" max="1285" width="6.6640625" style="635" customWidth="1"/>
    <col min="1286" max="1286" width="4.88671875" style="635" customWidth="1"/>
    <col min="1287" max="1287" width="3" style="635" customWidth="1"/>
    <col min="1288" max="1288" width="5.77734375" style="635" customWidth="1"/>
    <col min="1289" max="1289" width="4.109375" style="635" customWidth="1"/>
    <col min="1290" max="1536" width="8.88671875" style="635"/>
    <col min="1537" max="1537" width="4" style="635" customWidth="1"/>
    <col min="1538" max="1538" width="4.77734375" style="635" customWidth="1"/>
    <col min="1539" max="1539" width="9.88671875" style="635" customWidth="1"/>
    <col min="1540" max="1540" width="34.44140625" style="635" customWidth="1"/>
    <col min="1541" max="1541" width="6.6640625" style="635" customWidth="1"/>
    <col min="1542" max="1542" width="4.88671875" style="635" customWidth="1"/>
    <col min="1543" max="1543" width="3" style="635" customWidth="1"/>
    <col min="1544" max="1544" width="5.77734375" style="635" customWidth="1"/>
    <col min="1545" max="1545" width="4.109375" style="635" customWidth="1"/>
    <col min="1546" max="1792" width="8.88671875" style="635"/>
    <col min="1793" max="1793" width="4" style="635" customWidth="1"/>
    <col min="1794" max="1794" width="4.77734375" style="635" customWidth="1"/>
    <col min="1795" max="1795" width="9.88671875" style="635" customWidth="1"/>
    <col min="1796" max="1796" width="34.44140625" style="635" customWidth="1"/>
    <col min="1797" max="1797" width="6.6640625" style="635" customWidth="1"/>
    <col min="1798" max="1798" width="4.88671875" style="635" customWidth="1"/>
    <col min="1799" max="1799" width="3" style="635" customWidth="1"/>
    <col min="1800" max="1800" width="5.77734375" style="635" customWidth="1"/>
    <col min="1801" max="1801" width="4.109375" style="635" customWidth="1"/>
    <col min="1802" max="2048" width="8.88671875" style="635"/>
    <col min="2049" max="2049" width="4" style="635" customWidth="1"/>
    <col min="2050" max="2050" width="4.77734375" style="635" customWidth="1"/>
    <col min="2051" max="2051" width="9.88671875" style="635" customWidth="1"/>
    <col min="2052" max="2052" width="34.44140625" style="635" customWidth="1"/>
    <col min="2053" max="2053" width="6.6640625" style="635" customWidth="1"/>
    <col min="2054" max="2054" width="4.88671875" style="635" customWidth="1"/>
    <col min="2055" max="2055" width="3" style="635" customWidth="1"/>
    <col min="2056" max="2056" width="5.77734375" style="635" customWidth="1"/>
    <col min="2057" max="2057" width="4.109375" style="635" customWidth="1"/>
    <col min="2058" max="2304" width="8.88671875" style="635"/>
    <col min="2305" max="2305" width="4" style="635" customWidth="1"/>
    <col min="2306" max="2306" width="4.77734375" style="635" customWidth="1"/>
    <col min="2307" max="2307" width="9.88671875" style="635" customWidth="1"/>
    <col min="2308" max="2308" width="34.44140625" style="635" customWidth="1"/>
    <col min="2309" max="2309" width="6.6640625" style="635" customWidth="1"/>
    <col min="2310" max="2310" width="4.88671875" style="635" customWidth="1"/>
    <col min="2311" max="2311" width="3" style="635" customWidth="1"/>
    <col min="2312" max="2312" width="5.77734375" style="635" customWidth="1"/>
    <col min="2313" max="2313" width="4.109375" style="635" customWidth="1"/>
    <col min="2314" max="2560" width="8.88671875" style="635"/>
    <col min="2561" max="2561" width="4" style="635" customWidth="1"/>
    <col min="2562" max="2562" width="4.77734375" style="635" customWidth="1"/>
    <col min="2563" max="2563" width="9.88671875" style="635" customWidth="1"/>
    <col min="2564" max="2564" width="34.44140625" style="635" customWidth="1"/>
    <col min="2565" max="2565" width="6.6640625" style="635" customWidth="1"/>
    <col min="2566" max="2566" width="4.88671875" style="635" customWidth="1"/>
    <col min="2567" max="2567" width="3" style="635" customWidth="1"/>
    <col min="2568" max="2568" width="5.77734375" style="635" customWidth="1"/>
    <col min="2569" max="2569" width="4.109375" style="635" customWidth="1"/>
    <col min="2570" max="2816" width="8.88671875" style="635"/>
    <col min="2817" max="2817" width="4" style="635" customWidth="1"/>
    <col min="2818" max="2818" width="4.77734375" style="635" customWidth="1"/>
    <col min="2819" max="2819" width="9.88671875" style="635" customWidth="1"/>
    <col min="2820" max="2820" width="34.44140625" style="635" customWidth="1"/>
    <col min="2821" max="2821" width="6.6640625" style="635" customWidth="1"/>
    <col min="2822" max="2822" width="4.88671875" style="635" customWidth="1"/>
    <col min="2823" max="2823" width="3" style="635" customWidth="1"/>
    <col min="2824" max="2824" width="5.77734375" style="635" customWidth="1"/>
    <col min="2825" max="2825" width="4.109375" style="635" customWidth="1"/>
    <col min="2826" max="3072" width="8.88671875" style="635"/>
    <col min="3073" max="3073" width="4" style="635" customWidth="1"/>
    <col min="3074" max="3074" width="4.77734375" style="635" customWidth="1"/>
    <col min="3075" max="3075" width="9.88671875" style="635" customWidth="1"/>
    <col min="3076" max="3076" width="34.44140625" style="635" customWidth="1"/>
    <col min="3077" max="3077" width="6.6640625" style="635" customWidth="1"/>
    <col min="3078" max="3078" width="4.88671875" style="635" customWidth="1"/>
    <col min="3079" max="3079" width="3" style="635" customWidth="1"/>
    <col min="3080" max="3080" width="5.77734375" style="635" customWidth="1"/>
    <col min="3081" max="3081" width="4.109375" style="635" customWidth="1"/>
    <col min="3082" max="3328" width="8.88671875" style="635"/>
    <col min="3329" max="3329" width="4" style="635" customWidth="1"/>
    <col min="3330" max="3330" width="4.77734375" style="635" customWidth="1"/>
    <col min="3331" max="3331" width="9.88671875" style="635" customWidth="1"/>
    <col min="3332" max="3332" width="34.44140625" style="635" customWidth="1"/>
    <col min="3333" max="3333" width="6.6640625" style="635" customWidth="1"/>
    <col min="3334" max="3334" width="4.88671875" style="635" customWidth="1"/>
    <col min="3335" max="3335" width="3" style="635" customWidth="1"/>
    <col min="3336" max="3336" width="5.77734375" style="635" customWidth="1"/>
    <col min="3337" max="3337" width="4.109375" style="635" customWidth="1"/>
    <col min="3338" max="3584" width="8.88671875" style="635"/>
    <col min="3585" max="3585" width="4" style="635" customWidth="1"/>
    <col min="3586" max="3586" width="4.77734375" style="635" customWidth="1"/>
    <col min="3587" max="3587" width="9.88671875" style="635" customWidth="1"/>
    <col min="3588" max="3588" width="34.44140625" style="635" customWidth="1"/>
    <col min="3589" max="3589" width="6.6640625" style="635" customWidth="1"/>
    <col min="3590" max="3590" width="4.88671875" style="635" customWidth="1"/>
    <col min="3591" max="3591" width="3" style="635" customWidth="1"/>
    <col min="3592" max="3592" width="5.77734375" style="635" customWidth="1"/>
    <col min="3593" max="3593" width="4.109375" style="635" customWidth="1"/>
    <col min="3594" max="3840" width="8.88671875" style="635"/>
    <col min="3841" max="3841" width="4" style="635" customWidth="1"/>
    <col min="3842" max="3842" width="4.77734375" style="635" customWidth="1"/>
    <col min="3843" max="3843" width="9.88671875" style="635" customWidth="1"/>
    <col min="3844" max="3844" width="34.44140625" style="635" customWidth="1"/>
    <col min="3845" max="3845" width="6.6640625" style="635" customWidth="1"/>
    <col min="3846" max="3846" width="4.88671875" style="635" customWidth="1"/>
    <col min="3847" max="3847" width="3" style="635" customWidth="1"/>
    <col min="3848" max="3848" width="5.77734375" style="635" customWidth="1"/>
    <col min="3849" max="3849" width="4.109375" style="635" customWidth="1"/>
    <col min="3850" max="4096" width="8.88671875" style="635"/>
    <col min="4097" max="4097" width="4" style="635" customWidth="1"/>
    <col min="4098" max="4098" width="4.77734375" style="635" customWidth="1"/>
    <col min="4099" max="4099" width="9.88671875" style="635" customWidth="1"/>
    <col min="4100" max="4100" width="34.44140625" style="635" customWidth="1"/>
    <col min="4101" max="4101" width="6.6640625" style="635" customWidth="1"/>
    <col min="4102" max="4102" width="4.88671875" style="635" customWidth="1"/>
    <col min="4103" max="4103" width="3" style="635" customWidth="1"/>
    <col min="4104" max="4104" width="5.77734375" style="635" customWidth="1"/>
    <col min="4105" max="4105" width="4.109375" style="635" customWidth="1"/>
    <col min="4106" max="4352" width="8.88671875" style="635"/>
    <col min="4353" max="4353" width="4" style="635" customWidth="1"/>
    <col min="4354" max="4354" width="4.77734375" style="635" customWidth="1"/>
    <col min="4355" max="4355" width="9.88671875" style="635" customWidth="1"/>
    <col min="4356" max="4356" width="34.44140625" style="635" customWidth="1"/>
    <col min="4357" max="4357" width="6.6640625" style="635" customWidth="1"/>
    <col min="4358" max="4358" width="4.88671875" style="635" customWidth="1"/>
    <col min="4359" max="4359" width="3" style="635" customWidth="1"/>
    <col min="4360" max="4360" width="5.77734375" style="635" customWidth="1"/>
    <col min="4361" max="4361" width="4.109375" style="635" customWidth="1"/>
    <col min="4362" max="4608" width="8.88671875" style="635"/>
    <col min="4609" max="4609" width="4" style="635" customWidth="1"/>
    <col min="4610" max="4610" width="4.77734375" style="635" customWidth="1"/>
    <col min="4611" max="4611" width="9.88671875" style="635" customWidth="1"/>
    <col min="4612" max="4612" width="34.44140625" style="635" customWidth="1"/>
    <col min="4613" max="4613" width="6.6640625" style="635" customWidth="1"/>
    <col min="4614" max="4614" width="4.88671875" style="635" customWidth="1"/>
    <col min="4615" max="4615" width="3" style="635" customWidth="1"/>
    <col min="4616" max="4616" width="5.77734375" style="635" customWidth="1"/>
    <col min="4617" max="4617" width="4.109375" style="635" customWidth="1"/>
    <col min="4618" max="4864" width="8.88671875" style="635"/>
    <col min="4865" max="4865" width="4" style="635" customWidth="1"/>
    <col min="4866" max="4866" width="4.77734375" style="635" customWidth="1"/>
    <col min="4867" max="4867" width="9.88671875" style="635" customWidth="1"/>
    <col min="4868" max="4868" width="34.44140625" style="635" customWidth="1"/>
    <col min="4869" max="4869" width="6.6640625" style="635" customWidth="1"/>
    <col min="4870" max="4870" width="4.88671875" style="635" customWidth="1"/>
    <col min="4871" max="4871" width="3" style="635" customWidth="1"/>
    <col min="4872" max="4872" width="5.77734375" style="635" customWidth="1"/>
    <col min="4873" max="4873" width="4.109375" style="635" customWidth="1"/>
    <col min="4874" max="5120" width="8.88671875" style="635"/>
    <col min="5121" max="5121" width="4" style="635" customWidth="1"/>
    <col min="5122" max="5122" width="4.77734375" style="635" customWidth="1"/>
    <col min="5123" max="5123" width="9.88671875" style="635" customWidth="1"/>
    <col min="5124" max="5124" width="34.44140625" style="635" customWidth="1"/>
    <col min="5125" max="5125" width="6.6640625" style="635" customWidth="1"/>
    <col min="5126" max="5126" width="4.88671875" style="635" customWidth="1"/>
    <col min="5127" max="5127" width="3" style="635" customWidth="1"/>
    <col min="5128" max="5128" width="5.77734375" style="635" customWidth="1"/>
    <col min="5129" max="5129" width="4.109375" style="635" customWidth="1"/>
    <col min="5130" max="5376" width="8.88671875" style="635"/>
    <col min="5377" max="5377" width="4" style="635" customWidth="1"/>
    <col min="5378" max="5378" width="4.77734375" style="635" customWidth="1"/>
    <col min="5379" max="5379" width="9.88671875" style="635" customWidth="1"/>
    <col min="5380" max="5380" width="34.44140625" style="635" customWidth="1"/>
    <col min="5381" max="5381" width="6.6640625" style="635" customWidth="1"/>
    <col min="5382" max="5382" width="4.88671875" style="635" customWidth="1"/>
    <col min="5383" max="5383" width="3" style="635" customWidth="1"/>
    <col min="5384" max="5384" width="5.77734375" style="635" customWidth="1"/>
    <col min="5385" max="5385" width="4.109375" style="635" customWidth="1"/>
    <col min="5386" max="5632" width="8.88671875" style="635"/>
    <col min="5633" max="5633" width="4" style="635" customWidth="1"/>
    <col min="5634" max="5634" width="4.77734375" style="635" customWidth="1"/>
    <col min="5635" max="5635" width="9.88671875" style="635" customWidth="1"/>
    <col min="5636" max="5636" width="34.44140625" style="635" customWidth="1"/>
    <col min="5637" max="5637" width="6.6640625" style="635" customWidth="1"/>
    <col min="5638" max="5638" width="4.88671875" style="635" customWidth="1"/>
    <col min="5639" max="5639" width="3" style="635" customWidth="1"/>
    <col min="5640" max="5640" width="5.77734375" style="635" customWidth="1"/>
    <col min="5641" max="5641" width="4.109375" style="635" customWidth="1"/>
    <col min="5642" max="5888" width="8.88671875" style="635"/>
    <col min="5889" max="5889" width="4" style="635" customWidth="1"/>
    <col min="5890" max="5890" width="4.77734375" style="635" customWidth="1"/>
    <col min="5891" max="5891" width="9.88671875" style="635" customWidth="1"/>
    <col min="5892" max="5892" width="34.44140625" style="635" customWidth="1"/>
    <col min="5893" max="5893" width="6.6640625" style="635" customWidth="1"/>
    <col min="5894" max="5894" width="4.88671875" style="635" customWidth="1"/>
    <col min="5895" max="5895" width="3" style="635" customWidth="1"/>
    <col min="5896" max="5896" width="5.77734375" style="635" customWidth="1"/>
    <col min="5897" max="5897" width="4.109375" style="635" customWidth="1"/>
    <col min="5898" max="6144" width="8.88671875" style="635"/>
    <col min="6145" max="6145" width="4" style="635" customWidth="1"/>
    <col min="6146" max="6146" width="4.77734375" style="635" customWidth="1"/>
    <col min="6147" max="6147" width="9.88671875" style="635" customWidth="1"/>
    <col min="6148" max="6148" width="34.44140625" style="635" customWidth="1"/>
    <col min="6149" max="6149" width="6.6640625" style="635" customWidth="1"/>
    <col min="6150" max="6150" width="4.88671875" style="635" customWidth="1"/>
    <col min="6151" max="6151" width="3" style="635" customWidth="1"/>
    <col min="6152" max="6152" width="5.77734375" style="635" customWidth="1"/>
    <col min="6153" max="6153" width="4.109375" style="635" customWidth="1"/>
    <col min="6154" max="6400" width="8.88671875" style="635"/>
    <col min="6401" max="6401" width="4" style="635" customWidth="1"/>
    <col min="6402" max="6402" width="4.77734375" style="635" customWidth="1"/>
    <col min="6403" max="6403" width="9.88671875" style="635" customWidth="1"/>
    <col min="6404" max="6404" width="34.44140625" style="635" customWidth="1"/>
    <col min="6405" max="6405" width="6.6640625" style="635" customWidth="1"/>
    <col min="6406" max="6406" width="4.88671875" style="635" customWidth="1"/>
    <col min="6407" max="6407" width="3" style="635" customWidth="1"/>
    <col min="6408" max="6408" width="5.77734375" style="635" customWidth="1"/>
    <col min="6409" max="6409" width="4.109375" style="635" customWidth="1"/>
    <col min="6410" max="6656" width="8.88671875" style="635"/>
    <col min="6657" max="6657" width="4" style="635" customWidth="1"/>
    <col min="6658" max="6658" width="4.77734375" style="635" customWidth="1"/>
    <col min="6659" max="6659" width="9.88671875" style="635" customWidth="1"/>
    <col min="6660" max="6660" width="34.44140625" style="635" customWidth="1"/>
    <col min="6661" max="6661" width="6.6640625" style="635" customWidth="1"/>
    <col min="6662" max="6662" width="4.88671875" style="635" customWidth="1"/>
    <col min="6663" max="6663" width="3" style="635" customWidth="1"/>
    <col min="6664" max="6664" width="5.77734375" style="635" customWidth="1"/>
    <col min="6665" max="6665" width="4.109375" style="635" customWidth="1"/>
    <col min="6666" max="6912" width="8.88671875" style="635"/>
    <col min="6913" max="6913" width="4" style="635" customWidth="1"/>
    <col min="6914" max="6914" width="4.77734375" style="635" customWidth="1"/>
    <col min="6915" max="6915" width="9.88671875" style="635" customWidth="1"/>
    <col min="6916" max="6916" width="34.44140625" style="635" customWidth="1"/>
    <col min="6917" max="6917" width="6.6640625" style="635" customWidth="1"/>
    <col min="6918" max="6918" width="4.88671875" style="635" customWidth="1"/>
    <col min="6919" max="6919" width="3" style="635" customWidth="1"/>
    <col min="6920" max="6920" width="5.77734375" style="635" customWidth="1"/>
    <col min="6921" max="6921" width="4.109375" style="635" customWidth="1"/>
    <col min="6922" max="7168" width="8.88671875" style="635"/>
    <col min="7169" max="7169" width="4" style="635" customWidth="1"/>
    <col min="7170" max="7170" width="4.77734375" style="635" customWidth="1"/>
    <col min="7171" max="7171" width="9.88671875" style="635" customWidth="1"/>
    <col min="7172" max="7172" width="34.44140625" style="635" customWidth="1"/>
    <col min="7173" max="7173" width="6.6640625" style="635" customWidth="1"/>
    <col min="7174" max="7174" width="4.88671875" style="635" customWidth="1"/>
    <col min="7175" max="7175" width="3" style="635" customWidth="1"/>
    <col min="7176" max="7176" width="5.77734375" style="635" customWidth="1"/>
    <col min="7177" max="7177" width="4.109375" style="635" customWidth="1"/>
    <col min="7178" max="7424" width="8.88671875" style="635"/>
    <col min="7425" max="7425" width="4" style="635" customWidth="1"/>
    <col min="7426" max="7426" width="4.77734375" style="635" customWidth="1"/>
    <col min="7427" max="7427" width="9.88671875" style="635" customWidth="1"/>
    <col min="7428" max="7428" width="34.44140625" style="635" customWidth="1"/>
    <col min="7429" max="7429" width="6.6640625" style="635" customWidth="1"/>
    <col min="7430" max="7430" width="4.88671875" style="635" customWidth="1"/>
    <col min="7431" max="7431" width="3" style="635" customWidth="1"/>
    <col min="7432" max="7432" width="5.77734375" style="635" customWidth="1"/>
    <col min="7433" max="7433" width="4.109375" style="635" customWidth="1"/>
    <col min="7434" max="7680" width="8.88671875" style="635"/>
    <col min="7681" max="7681" width="4" style="635" customWidth="1"/>
    <col min="7682" max="7682" width="4.77734375" style="635" customWidth="1"/>
    <col min="7683" max="7683" width="9.88671875" style="635" customWidth="1"/>
    <col min="7684" max="7684" width="34.44140625" style="635" customWidth="1"/>
    <col min="7685" max="7685" width="6.6640625" style="635" customWidth="1"/>
    <col min="7686" max="7686" width="4.88671875" style="635" customWidth="1"/>
    <col min="7687" max="7687" width="3" style="635" customWidth="1"/>
    <col min="7688" max="7688" width="5.77734375" style="635" customWidth="1"/>
    <col min="7689" max="7689" width="4.109375" style="635" customWidth="1"/>
    <col min="7690" max="7936" width="8.88671875" style="635"/>
    <col min="7937" max="7937" width="4" style="635" customWidth="1"/>
    <col min="7938" max="7938" width="4.77734375" style="635" customWidth="1"/>
    <col min="7939" max="7939" width="9.88671875" style="635" customWidth="1"/>
    <col min="7940" max="7940" width="34.44140625" style="635" customWidth="1"/>
    <col min="7941" max="7941" width="6.6640625" style="635" customWidth="1"/>
    <col min="7942" max="7942" width="4.88671875" style="635" customWidth="1"/>
    <col min="7943" max="7943" width="3" style="635" customWidth="1"/>
    <col min="7944" max="7944" width="5.77734375" style="635" customWidth="1"/>
    <col min="7945" max="7945" width="4.109375" style="635" customWidth="1"/>
    <col min="7946" max="8192" width="8.88671875" style="635"/>
    <col min="8193" max="8193" width="4" style="635" customWidth="1"/>
    <col min="8194" max="8194" width="4.77734375" style="635" customWidth="1"/>
    <col min="8195" max="8195" width="9.88671875" style="635" customWidth="1"/>
    <col min="8196" max="8196" width="34.44140625" style="635" customWidth="1"/>
    <col min="8197" max="8197" width="6.6640625" style="635" customWidth="1"/>
    <col min="8198" max="8198" width="4.88671875" style="635" customWidth="1"/>
    <col min="8199" max="8199" width="3" style="635" customWidth="1"/>
    <col min="8200" max="8200" width="5.77734375" style="635" customWidth="1"/>
    <col min="8201" max="8201" width="4.109375" style="635" customWidth="1"/>
    <col min="8202" max="8448" width="8.88671875" style="635"/>
    <col min="8449" max="8449" width="4" style="635" customWidth="1"/>
    <col min="8450" max="8450" width="4.77734375" style="635" customWidth="1"/>
    <col min="8451" max="8451" width="9.88671875" style="635" customWidth="1"/>
    <col min="8452" max="8452" width="34.44140625" style="635" customWidth="1"/>
    <col min="8453" max="8453" width="6.6640625" style="635" customWidth="1"/>
    <col min="8454" max="8454" width="4.88671875" style="635" customWidth="1"/>
    <col min="8455" max="8455" width="3" style="635" customWidth="1"/>
    <col min="8456" max="8456" width="5.77734375" style="635" customWidth="1"/>
    <col min="8457" max="8457" width="4.109375" style="635" customWidth="1"/>
    <col min="8458" max="8704" width="8.88671875" style="635"/>
    <col min="8705" max="8705" width="4" style="635" customWidth="1"/>
    <col min="8706" max="8706" width="4.77734375" style="635" customWidth="1"/>
    <col min="8707" max="8707" width="9.88671875" style="635" customWidth="1"/>
    <col min="8708" max="8708" width="34.44140625" style="635" customWidth="1"/>
    <col min="8709" max="8709" width="6.6640625" style="635" customWidth="1"/>
    <col min="8710" max="8710" width="4.88671875" style="635" customWidth="1"/>
    <col min="8711" max="8711" width="3" style="635" customWidth="1"/>
    <col min="8712" max="8712" width="5.77734375" style="635" customWidth="1"/>
    <col min="8713" max="8713" width="4.109375" style="635" customWidth="1"/>
    <col min="8714" max="8960" width="8.88671875" style="635"/>
    <col min="8961" max="8961" width="4" style="635" customWidth="1"/>
    <col min="8962" max="8962" width="4.77734375" style="635" customWidth="1"/>
    <col min="8963" max="8963" width="9.88671875" style="635" customWidth="1"/>
    <col min="8964" max="8964" width="34.44140625" style="635" customWidth="1"/>
    <col min="8965" max="8965" width="6.6640625" style="635" customWidth="1"/>
    <col min="8966" max="8966" width="4.88671875" style="635" customWidth="1"/>
    <col min="8967" max="8967" width="3" style="635" customWidth="1"/>
    <col min="8968" max="8968" width="5.77734375" style="635" customWidth="1"/>
    <col min="8969" max="8969" width="4.109375" style="635" customWidth="1"/>
    <col min="8970" max="9216" width="8.88671875" style="635"/>
    <col min="9217" max="9217" width="4" style="635" customWidth="1"/>
    <col min="9218" max="9218" width="4.77734375" style="635" customWidth="1"/>
    <col min="9219" max="9219" width="9.88671875" style="635" customWidth="1"/>
    <col min="9220" max="9220" width="34.44140625" style="635" customWidth="1"/>
    <col min="9221" max="9221" width="6.6640625" style="635" customWidth="1"/>
    <col min="9222" max="9222" width="4.88671875" style="635" customWidth="1"/>
    <col min="9223" max="9223" width="3" style="635" customWidth="1"/>
    <col min="9224" max="9224" width="5.77734375" style="635" customWidth="1"/>
    <col min="9225" max="9225" width="4.109375" style="635" customWidth="1"/>
    <col min="9226" max="9472" width="8.88671875" style="635"/>
    <col min="9473" max="9473" width="4" style="635" customWidth="1"/>
    <col min="9474" max="9474" width="4.77734375" style="635" customWidth="1"/>
    <col min="9475" max="9475" width="9.88671875" style="635" customWidth="1"/>
    <col min="9476" max="9476" width="34.44140625" style="635" customWidth="1"/>
    <col min="9477" max="9477" width="6.6640625" style="635" customWidth="1"/>
    <col min="9478" max="9478" width="4.88671875" style="635" customWidth="1"/>
    <col min="9479" max="9479" width="3" style="635" customWidth="1"/>
    <col min="9480" max="9480" width="5.77734375" style="635" customWidth="1"/>
    <col min="9481" max="9481" width="4.109375" style="635" customWidth="1"/>
    <col min="9482" max="9728" width="8.88671875" style="635"/>
    <col min="9729" max="9729" width="4" style="635" customWidth="1"/>
    <col min="9730" max="9730" width="4.77734375" style="635" customWidth="1"/>
    <col min="9731" max="9731" width="9.88671875" style="635" customWidth="1"/>
    <col min="9732" max="9732" width="34.44140625" style="635" customWidth="1"/>
    <col min="9733" max="9733" width="6.6640625" style="635" customWidth="1"/>
    <col min="9734" max="9734" width="4.88671875" style="635" customWidth="1"/>
    <col min="9735" max="9735" width="3" style="635" customWidth="1"/>
    <col min="9736" max="9736" width="5.77734375" style="635" customWidth="1"/>
    <col min="9737" max="9737" width="4.109375" style="635" customWidth="1"/>
    <col min="9738" max="9984" width="8.88671875" style="635"/>
    <col min="9985" max="9985" width="4" style="635" customWidth="1"/>
    <col min="9986" max="9986" width="4.77734375" style="635" customWidth="1"/>
    <col min="9987" max="9987" width="9.88671875" style="635" customWidth="1"/>
    <col min="9988" max="9988" width="34.44140625" style="635" customWidth="1"/>
    <col min="9989" max="9989" width="6.6640625" style="635" customWidth="1"/>
    <col min="9990" max="9990" width="4.88671875" style="635" customWidth="1"/>
    <col min="9991" max="9991" width="3" style="635" customWidth="1"/>
    <col min="9992" max="9992" width="5.77734375" style="635" customWidth="1"/>
    <col min="9993" max="9993" width="4.109375" style="635" customWidth="1"/>
    <col min="9994" max="10240" width="8.88671875" style="635"/>
    <col min="10241" max="10241" width="4" style="635" customWidth="1"/>
    <col min="10242" max="10242" width="4.77734375" style="635" customWidth="1"/>
    <col min="10243" max="10243" width="9.88671875" style="635" customWidth="1"/>
    <col min="10244" max="10244" width="34.44140625" style="635" customWidth="1"/>
    <col min="10245" max="10245" width="6.6640625" style="635" customWidth="1"/>
    <col min="10246" max="10246" width="4.88671875" style="635" customWidth="1"/>
    <col min="10247" max="10247" width="3" style="635" customWidth="1"/>
    <col min="10248" max="10248" width="5.77734375" style="635" customWidth="1"/>
    <col min="10249" max="10249" width="4.109375" style="635" customWidth="1"/>
    <col min="10250" max="10496" width="8.88671875" style="635"/>
    <col min="10497" max="10497" width="4" style="635" customWidth="1"/>
    <col min="10498" max="10498" width="4.77734375" style="635" customWidth="1"/>
    <col min="10499" max="10499" width="9.88671875" style="635" customWidth="1"/>
    <col min="10500" max="10500" width="34.44140625" style="635" customWidth="1"/>
    <col min="10501" max="10501" width="6.6640625" style="635" customWidth="1"/>
    <col min="10502" max="10502" width="4.88671875" style="635" customWidth="1"/>
    <col min="10503" max="10503" width="3" style="635" customWidth="1"/>
    <col min="10504" max="10504" width="5.77734375" style="635" customWidth="1"/>
    <col min="10505" max="10505" width="4.109375" style="635" customWidth="1"/>
    <col min="10506" max="10752" width="8.88671875" style="635"/>
    <col min="10753" max="10753" width="4" style="635" customWidth="1"/>
    <col min="10754" max="10754" width="4.77734375" style="635" customWidth="1"/>
    <col min="10755" max="10755" width="9.88671875" style="635" customWidth="1"/>
    <col min="10756" max="10756" width="34.44140625" style="635" customWidth="1"/>
    <col min="10757" max="10757" width="6.6640625" style="635" customWidth="1"/>
    <col min="10758" max="10758" width="4.88671875" style="635" customWidth="1"/>
    <col min="10759" max="10759" width="3" style="635" customWidth="1"/>
    <col min="10760" max="10760" width="5.77734375" style="635" customWidth="1"/>
    <col min="10761" max="10761" width="4.109375" style="635" customWidth="1"/>
    <col min="10762" max="11008" width="8.88671875" style="635"/>
    <col min="11009" max="11009" width="4" style="635" customWidth="1"/>
    <col min="11010" max="11010" width="4.77734375" style="635" customWidth="1"/>
    <col min="11011" max="11011" width="9.88671875" style="635" customWidth="1"/>
    <col min="11012" max="11012" width="34.44140625" style="635" customWidth="1"/>
    <col min="11013" max="11013" width="6.6640625" style="635" customWidth="1"/>
    <col min="11014" max="11014" width="4.88671875" style="635" customWidth="1"/>
    <col min="11015" max="11015" width="3" style="635" customWidth="1"/>
    <col min="11016" max="11016" width="5.77734375" style="635" customWidth="1"/>
    <col min="11017" max="11017" width="4.109375" style="635" customWidth="1"/>
    <col min="11018" max="11264" width="8.88671875" style="635"/>
    <col min="11265" max="11265" width="4" style="635" customWidth="1"/>
    <col min="11266" max="11266" width="4.77734375" style="635" customWidth="1"/>
    <col min="11267" max="11267" width="9.88671875" style="635" customWidth="1"/>
    <col min="11268" max="11268" width="34.44140625" style="635" customWidth="1"/>
    <col min="11269" max="11269" width="6.6640625" style="635" customWidth="1"/>
    <col min="11270" max="11270" width="4.88671875" style="635" customWidth="1"/>
    <col min="11271" max="11271" width="3" style="635" customWidth="1"/>
    <col min="11272" max="11272" width="5.77734375" style="635" customWidth="1"/>
    <col min="11273" max="11273" width="4.109375" style="635" customWidth="1"/>
    <col min="11274" max="11520" width="8.88671875" style="635"/>
    <col min="11521" max="11521" width="4" style="635" customWidth="1"/>
    <col min="11522" max="11522" width="4.77734375" style="635" customWidth="1"/>
    <col min="11523" max="11523" width="9.88671875" style="635" customWidth="1"/>
    <col min="11524" max="11524" width="34.44140625" style="635" customWidth="1"/>
    <col min="11525" max="11525" width="6.6640625" style="635" customWidth="1"/>
    <col min="11526" max="11526" width="4.88671875" style="635" customWidth="1"/>
    <col min="11527" max="11527" width="3" style="635" customWidth="1"/>
    <col min="11528" max="11528" width="5.77734375" style="635" customWidth="1"/>
    <col min="11529" max="11529" width="4.109375" style="635" customWidth="1"/>
    <col min="11530" max="11776" width="8.88671875" style="635"/>
    <col min="11777" max="11777" width="4" style="635" customWidth="1"/>
    <col min="11778" max="11778" width="4.77734375" style="635" customWidth="1"/>
    <col min="11779" max="11779" width="9.88671875" style="635" customWidth="1"/>
    <col min="11780" max="11780" width="34.44140625" style="635" customWidth="1"/>
    <col min="11781" max="11781" width="6.6640625" style="635" customWidth="1"/>
    <col min="11782" max="11782" width="4.88671875" style="635" customWidth="1"/>
    <col min="11783" max="11783" width="3" style="635" customWidth="1"/>
    <col min="11784" max="11784" width="5.77734375" style="635" customWidth="1"/>
    <col min="11785" max="11785" width="4.109375" style="635" customWidth="1"/>
    <col min="11786" max="12032" width="8.88671875" style="635"/>
    <col min="12033" max="12033" width="4" style="635" customWidth="1"/>
    <col min="12034" max="12034" width="4.77734375" style="635" customWidth="1"/>
    <col min="12035" max="12035" width="9.88671875" style="635" customWidth="1"/>
    <col min="12036" max="12036" width="34.44140625" style="635" customWidth="1"/>
    <col min="12037" max="12037" width="6.6640625" style="635" customWidth="1"/>
    <col min="12038" max="12038" width="4.88671875" style="635" customWidth="1"/>
    <col min="12039" max="12039" width="3" style="635" customWidth="1"/>
    <col min="12040" max="12040" width="5.77734375" style="635" customWidth="1"/>
    <col min="12041" max="12041" width="4.109375" style="635" customWidth="1"/>
    <col min="12042" max="12288" width="8.88671875" style="635"/>
    <col min="12289" max="12289" width="4" style="635" customWidth="1"/>
    <col min="12290" max="12290" width="4.77734375" style="635" customWidth="1"/>
    <col min="12291" max="12291" width="9.88671875" style="635" customWidth="1"/>
    <col min="12292" max="12292" width="34.44140625" style="635" customWidth="1"/>
    <col min="12293" max="12293" width="6.6640625" style="635" customWidth="1"/>
    <col min="12294" max="12294" width="4.88671875" style="635" customWidth="1"/>
    <col min="12295" max="12295" width="3" style="635" customWidth="1"/>
    <col min="12296" max="12296" width="5.77734375" style="635" customWidth="1"/>
    <col min="12297" max="12297" width="4.109375" style="635" customWidth="1"/>
    <col min="12298" max="12544" width="8.88671875" style="635"/>
    <col min="12545" max="12545" width="4" style="635" customWidth="1"/>
    <col min="12546" max="12546" width="4.77734375" style="635" customWidth="1"/>
    <col min="12547" max="12547" width="9.88671875" style="635" customWidth="1"/>
    <col min="12548" max="12548" width="34.44140625" style="635" customWidth="1"/>
    <col min="12549" max="12549" width="6.6640625" style="635" customWidth="1"/>
    <col min="12550" max="12550" width="4.88671875" style="635" customWidth="1"/>
    <col min="12551" max="12551" width="3" style="635" customWidth="1"/>
    <col min="12552" max="12552" width="5.77734375" style="635" customWidth="1"/>
    <col min="12553" max="12553" width="4.109375" style="635" customWidth="1"/>
    <col min="12554" max="12800" width="8.88671875" style="635"/>
    <col min="12801" max="12801" width="4" style="635" customWidth="1"/>
    <col min="12802" max="12802" width="4.77734375" style="635" customWidth="1"/>
    <col min="12803" max="12803" width="9.88671875" style="635" customWidth="1"/>
    <col min="12804" max="12804" width="34.44140625" style="635" customWidth="1"/>
    <col min="12805" max="12805" width="6.6640625" style="635" customWidth="1"/>
    <col min="12806" max="12806" width="4.88671875" style="635" customWidth="1"/>
    <col min="12807" max="12807" width="3" style="635" customWidth="1"/>
    <col min="12808" max="12808" width="5.77734375" style="635" customWidth="1"/>
    <col min="12809" max="12809" width="4.109375" style="635" customWidth="1"/>
    <col min="12810" max="13056" width="8.88671875" style="635"/>
    <col min="13057" max="13057" width="4" style="635" customWidth="1"/>
    <col min="13058" max="13058" width="4.77734375" style="635" customWidth="1"/>
    <col min="13059" max="13059" width="9.88671875" style="635" customWidth="1"/>
    <col min="13060" max="13060" width="34.44140625" style="635" customWidth="1"/>
    <col min="13061" max="13061" width="6.6640625" style="635" customWidth="1"/>
    <col min="13062" max="13062" width="4.88671875" style="635" customWidth="1"/>
    <col min="13063" max="13063" width="3" style="635" customWidth="1"/>
    <col min="13064" max="13064" width="5.77734375" style="635" customWidth="1"/>
    <col min="13065" max="13065" width="4.109375" style="635" customWidth="1"/>
    <col min="13066" max="13312" width="8.88671875" style="635"/>
    <col min="13313" max="13313" width="4" style="635" customWidth="1"/>
    <col min="13314" max="13314" width="4.77734375" style="635" customWidth="1"/>
    <col min="13315" max="13315" width="9.88671875" style="635" customWidth="1"/>
    <col min="13316" max="13316" width="34.44140625" style="635" customWidth="1"/>
    <col min="13317" max="13317" width="6.6640625" style="635" customWidth="1"/>
    <col min="13318" max="13318" width="4.88671875" style="635" customWidth="1"/>
    <col min="13319" max="13319" width="3" style="635" customWidth="1"/>
    <col min="13320" max="13320" width="5.77734375" style="635" customWidth="1"/>
    <col min="13321" max="13321" width="4.109375" style="635" customWidth="1"/>
    <col min="13322" max="13568" width="8.88671875" style="635"/>
    <col min="13569" max="13569" width="4" style="635" customWidth="1"/>
    <col min="13570" max="13570" width="4.77734375" style="635" customWidth="1"/>
    <col min="13571" max="13571" width="9.88671875" style="635" customWidth="1"/>
    <col min="13572" max="13572" width="34.44140625" style="635" customWidth="1"/>
    <col min="13573" max="13573" width="6.6640625" style="635" customWidth="1"/>
    <col min="13574" max="13574" width="4.88671875" style="635" customWidth="1"/>
    <col min="13575" max="13575" width="3" style="635" customWidth="1"/>
    <col min="13576" max="13576" width="5.77734375" style="635" customWidth="1"/>
    <col min="13577" max="13577" width="4.109375" style="635" customWidth="1"/>
    <col min="13578" max="13824" width="8.88671875" style="635"/>
    <col min="13825" max="13825" width="4" style="635" customWidth="1"/>
    <col min="13826" max="13826" width="4.77734375" style="635" customWidth="1"/>
    <col min="13827" max="13827" width="9.88671875" style="635" customWidth="1"/>
    <col min="13828" max="13828" width="34.44140625" style="635" customWidth="1"/>
    <col min="13829" max="13829" width="6.6640625" style="635" customWidth="1"/>
    <col min="13830" max="13830" width="4.88671875" style="635" customWidth="1"/>
    <col min="13831" max="13831" width="3" style="635" customWidth="1"/>
    <col min="13832" max="13832" width="5.77734375" style="635" customWidth="1"/>
    <col min="13833" max="13833" width="4.109375" style="635" customWidth="1"/>
    <col min="13834" max="14080" width="8.88671875" style="635"/>
    <col min="14081" max="14081" width="4" style="635" customWidth="1"/>
    <col min="14082" max="14082" width="4.77734375" style="635" customWidth="1"/>
    <col min="14083" max="14083" width="9.88671875" style="635" customWidth="1"/>
    <col min="14084" max="14084" width="34.44140625" style="635" customWidth="1"/>
    <col min="14085" max="14085" width="6.6640625" style="635" customWidth="1"/>
    <col min="14086" max="14086" width="4.88671875" style="635" customWidth="1"/>
    <col min="14087" max="14087" width="3" style="635" customWidth="1"/>
    <col min="14088" max="14088" width="5.77734375" style="635" customWidth="1"/>
    <col min="14089" max="14089" width="4.109375" style="635" customWidth="1"/>
    <col min="14090" max="14336" width="8.88671875" style="635"/>
    <col min="14337" max="14337" width="4" style="635" customWidth="1"/>
    <col min="14338" max="14338" width="4.77734375" style="635" customWidth="1"/>
    <col min="14339" max="14339" width="9.88671875" style="635" customWidth="1"/>
    <col min="14340" max="14340" width="34.44140625" style="635" customWidth="1"/>
    <col min="14341" max="14341" width="6.6640625" style="635" customWidth="1"/>
    <col min="14342" max="14342" width="4.88671875" style="635" customWidth="1"/>
    <col min="14343" max="14343" width="3" style="635" customWidth="1"/>
    <col min="14344" max="14344" width="5.77734375" style="635" customWidth="1"/>
    <col min="14345" max="14345" width="4.109375" style="635" customWidth="1"/>
    <col min="14346" max="14592" width="8.88671875" style="635"/>
    <col min="14593" max="14593" width="4" style="635" customWidth="1"/>
    <col min="14594" max="14594" width="4.77734375" style="635" customWidth="1"/>
    <col min="14595" max="14595" width="9.88671875" style="635" customWidth="1"/>
    <col min="14596" max="14596" width="34.44140625" style="635" customWidth="1"/>
    <col min="14597" max="14597" width="6.6640625" style="635" customWidth="1"/>
    <col min="14598" max="14598" width="4.88671875" style="635" customWidth="1"/>
    <col min="14599" max="14599" width="3" style="635" customWidth="1"/>
    <col min="14600" max="14600" width="5.77734375" style="635" customWidth="1"/>
    <col min="14601" max="14601" width="4.109375" style="635" customWidth="1"/>
    <col min="14602" max="14848" width="8.88671875" style="635"/>
    <col min="14849" max="14849" width="4" style="635" customWidth="1"/>
    <col min="14850" max="14850" width="4.77734375" style="635" customWidth="1"/>
    <col min="14851" max="14851" width="9.88671875" style="635" customWidth="1"/>
    <col min="14852" max="14852" width="34.44140625" style="635" customWidth="1"/>
    <col min="14853" max="14853" width="6.6640625" style="635" customWidth="1"/>
    <col min="14854" max="14854" width="4.88671875" style="635" customWidth="1"/>
    <col min="14855" max="14855" width="3" style="635" customWidth="1"/>
    <col min="14856" max="14856" width="5.77734375" style="635" customWidth="1"/>
    <col min="14857" max="14857" width="4.109375" style="635" customWidth="1"/>
    <col min="14858" max="15104" width="8.88671875" style="635"/>
    <col min="15105" max="15105" width="4" style="635" customWidth="1"/>
    <col min="15106" max="15106" width="4.77734375" style="635" customWidth="1"/>
    <col min="15107" max="15107" width="9.88671875" style="635" customWidth="1"/>
    <col min="15108" max="15108" width="34.44140625" style="635" customWidth="1"/>
    <col min="15109" max="15109" width="6.6640625" style="635" customWidth="1"/>
    <col min="15110" max="15110" width="4.88671875" style="635" customWidth="1"/>
    <col min="15111" max="15111" width="3" style="635" customWidth="1"/>
    <col min="15112" max="15112" width="5.77734375" style="635" customWidth="1"/>
    <col min="15113" max="15113" width="4.109375" style="635" customWidth="1"/>
    <col min="15114" max="15360" width="8.88671875" style="635"/>
    <col min="15361" max="15361" width="4" style="635" customWidth="1"/>
    <col min="15362" max="15362" width="4.77734375" style="635" customWidth="1"/>
    <col min="15363" max="15363" width="9.88671875" style="635" customWidth="1"/>
    <col min="15364" max="15364" width="34.44140625" style="635" customWidth="1"/>
    <col min="15365" max="15365" width="6.6640625" style="635" customWidth="1"/>
    <col min="15366" max="15366" width="4.88671875" style="635" customWidth="1"/>
    <col min="15367" max="15367" width="3" style="635" customWidth="1"/>
    <col min="15368" max="15368" width="5.77734375" style="635" customWidth="1"/>
    <col min="15369" max="15369" width="4.109375" style="635" customWidth="1"/>
    <col min="15370" max="15616" width="8.88671875" style="635"/>
    <col min="15617" max="15617" width="4" style="635" customWidth="1"/>
    <col min="15618" max="15618" width="4.77734375" style="635" customWidth="1"/>
    <col min="15619" max="15619" width="9.88671875" style="635" customWidth="1"/>
    <col min="15620" max="15620" width="34.44140625" style="635" customWidth="1"/>
    <col min="15621" max="15621" width="6.6640625" style="635" customWidth="1"/>
    <col min="15622" max="15622" width="4.88671875" style="635" customWidth="1"/>
    <col min="15623" max="15623" width="3" style="635" customWidth="1"/>
    <col min="15624" max="15624" width="5.77734375" style="635" customWidth="1"/>
    <col min="15625" max="15625" width="4.109375" style="635" customWidth="1"/>
    <col min="15626" max="15872" width="8.88671875" style="635"/>
    <col min="15873" max="15873" width="4" style="635" customWidth="1"/>
    <col min="15874" max="15874" width="4.77734375" style="635" customWidth="1"/>
    <col min="15875" max="15875" width="9.88671875" style="635" customWidth="1"/>
    <col min="15876" max="15876" width="34.44140625" style="635" customWidth="1"/>
    <col min="15877" max="15877" width="6.6640625" style="635" customWidth="1"/>
    <col min="15878" max="15878" width="4.88671875" style="635" customWidth="1"/>
    <col min="15879" max="15879" width="3" style="635" customWidth="1"/>
    <col min="15880" max="15880" width="5.77734375" style="635" customWidth="1"/>
    <col min="15881" max="15881" width="4.109375" style="635" customWidth="1"/>
    <col min="15882" max="16128" width="8.88671875" style="635"/>
    <col min="16129" max="16129" width="4" style="635" customWidth="1"/>
    <col min="16130" max="16130" width="4.77734375" style="635" customWidth="1"/>
    <col min="16131" max="16131" width="9.88671875" style="635" customWidth="1"/>
    <col min="16132" max="16132" width="34.44140625" style="635" customWidth="1"/>
    <col min="16133" max="16133" width="6.6640625" style="635" customWidth="1"/>
    <col min="16134" max="16134" width="4.88671875" style="635" customWidth="1"/>
    <col min="16135" max="16135" width="3" style="635" customWidth="1"/>
    <col min="16136" max="16136" width="5.77734375" style="635" customWidth="1"/>
    <col min="16137" max="16137" width="4.109375" style="635" customWidth="1"/>
    <col min="16138" max="16384" width="8.88671875" style="635"/>
  </cols>
  <sheetData>
    <row r="1" spans="1:9" ht="30" customHeight="1">
      <c r="A1" s="1657" t="s">
        <v>204</v>
      </c>
      <c r="B1" s="1657"/>
      <c r="C1" s="1657"/>
      <c r="D1" s="1657"/>
      <c r="E1" s="1657"/>
      <c r="F1" s="1657"/>
      <c r="G1" s="1657"/>
      <c r="H1" s="1657"/>
      <c r="I1" s="1657"/>
    </row>
    <row r="2" spans="1:9" ht="20.100000000000001" customHeight="1">
      <c r="A2" s="636"/>
      <c r="B2" s="636"/>
      <c r="C2" s="636"/>
      <c r="D2" s="636"/>
      <c r="E2" s="636"/>
      <c r="F2" s="636"/>
      <c r="G2" s="636"/>
      <c r="H2" s="637" t="s">
        <v>755</v>
      </c>
      <c r="I2" s="636"/>
    </row>
    <row r="3" spans="1:9" ht="25.5" customHeight="1">
      <c r="A3" s="1685" t="s">
        <v>137</v>
      </c>
      <c r="B3" s="1686"/>
      <c r="C3" s="1686"/>
      <c r="D3" s="638" t="s">
        <v>138</v>
      </c>
      <c r="E3" s="1686" t="s">
        <v>139</v>
      </c>
      <c r="F3" s="1686"/>
      <c r="G3" s="1686" t="s">
        <v>140</v>
      </c>
      <c r="H3" s="1686"/>
      <c r="I3" s="1687"/>
    </row>
    <row r="4" spans="1:9" ht="30.75" customHeight="1">
      <c r="A4" s="1688" t="s">
        <v>746</v>
      </c>
      <c r="B4" s="1689" t="s">
        <v>563</v>
      </c>
      <c r="C4" s="1689"/>
      <c r="D4" s="639" t="s">
        <v>756</v>
      </c>
      <c r="E4" s="640">
        <v>0.65200000000000002</v>
      </c>
      <c r="F4" s="641" t="s">
        <v>128</v>
      </c>
      <c r="G4" s="1690"/>
      <c r="H4" s="1690"/>
      <c r="I4" s="1691"/>
    </row>
    <row r="5" spans="1:9" ht="45" customHeight="1">
      <c r="A5" s="1682"/>
      <c r="B5" s="1692" t="s">
        <v>757</v>
      </c>
      <c r="C5" s="1692"/>
      <c r="D5" s="642" t="s">
        <v>758</v>
      </c>
      <c r="E5" s="643">
        <v>9.6000000000000002E-2</v>
      </c>
      <c r="F5" s="644" t="s">
        <v>128</v>
      </c>
      <c r="G5" s="1683"/>
      <c r="H5" s="1683"/>
      <c r="I5" s="1684"/>
    </row>
    <row r="6" spans="1:9" ht="30" customHeight="1">
      <c r="A6" s="1682"/>
      <c r="B6" s="1692" t="s">
        <v>564</v>
      </c>
      <c r="C6" s="1692"/>
      <c r="D6" s="645" t="s">
        <v>565</v>
      </c>
      <c r="E6" s="646">
        <v>1.45</v>
      </c>
      <c r="F6" s="644" t="s">
        <v>128</v>
      </c>
      <c r="G6" s="1683" t="s">
        <v>145</v>
      </c>
      <c r="H6" s="1683"/>
      <c r="I6" s="1684"/>
    </row>
    <row r="7" spans="1:9" ht="30" customHeight="1">
      <c r="A7" s="1682"/>
      <c r="B7" s="1692" t="s">
        <v>566</v>
      </c>
      <c r="C7" s="1692"/>
      <c r="D7" s="645" t="s">
        <v>567</v>
      </c>
      <c r="E7" s="646">
        <v>1.2</v>
      </c>
      <c r="F7" s="644" t="s">
        <v>128</v>
      </c>
      <c r="G7" s="1683"/>
      <c r="H7" s="1683"/>
      <c r="I7" s="1684"/>
    </row>
    <row r="8" spans="1:9" ht="30" customHeight="1">
      <c r="A8" s="1682"/>
      <c r="B8" s="1692" t="s">
        <v>568</v>
      </c>
      <c r="C8" s="1692"/>
      <c r="D8" s="645" t="s">
        <v>569</v>
      </c>
      <c r="E8" s="643">
        <v>0.48399999999999999</v>
      </c>
      <c r="F8" s="644" t="s">
        <v>128</v>
      </c>
      <c r="G8" s="1683"/>
      <c r="H8" s="1683"/>
      <c r="I8" s="1684"/>
    </row>
    <row r="9" spans="1:9" s="636" customFormat="1" ht="26.25" customHeight="1">
      <c r="A9" s="1682" t="s">
        <v>571</v>
      </c>
      <c r="B9" s="1683"/>
      <c r="C9" s="1683"/>
      <c r="D9" s="645" t="s">
        <v>759</v>
      </c>
      <c r="E9" s="643">
        <f>+ROUND((PI()*0.82*0.82/4-PI()*0.6*0.6/4)*0.01,3)</f>
        <v>2E-3</v>
      </c>
      <c r="F9" s="644" t="s">
        <v>128</v>
      </c>
      <c r="G9" s="1683"/>
      <c r="H9" s="1683"/>
      <c r="I9" s="1684"/>
    </row>
    <row r="10" spans="1:9" ht="26.25" customHeight="1">
      <c r="A10" s="1694" t="s">
        <v>120</v>
      </c>
      <c r="B10" s="1692" t="s">
        <v>760</v>
      </c>
      <c r="C10" s="1692"/>
      <c r="D10" s="645" t="s">
        <v>761</v>
      </c>
      <c r="E10" s="643">
        <f>ROUND((1.2^2)-(PI()*0.6^2)/4,3)+1.7*0.25*4</f>
        <v>2.8570000000000002</v>
      </c>
      <c r="F10" s="644" t="s">
        <v>127</v>
      </c>
      <c r="G10" s="1683" t="s">
        <v>107</v>
      </c>
      <c r="H10" s="1683"/>
      <c r="I10" s="1684"/>
    </row>
    <row r="11" spans="1:9" ht="26.1" customHeight="1">
      <c r="A11" s="1695"/>
      <c r="B11" s="1692" t="s">
        <v>153</v>
      </c>
      <c r="C11" s="1692"/>
      <c r="D11" s="645" t="s">
        <v>762</v>
      </c>
      <c r="E11" s="646">
        <f>2*0.3*4</f>
        <v>2.4</v>
      </c>
      <c r="F11" s="644" t="s">
        <v>127</v>
      </c>
      <c r="G11" s="1683"/>
      <c r="H11" s="1683"/>
      <c r="I11" s="1684"/>
    </row>
    <row r="12" spans="1:9" ht="26.1" customHeight="1">
      <c r="A12" s="1695"/>
      <c r="B12" s="1692" t="s">
        <v>154</v>
      </c>
      <c r="C12" s="1692"/>
      <c r="D12" s="645" t="s">
        <v>763</v>
      </c>
      <c r="E12" s="646">
        <f>1.2*1*4+1.7*1*4</f>
        <v>11.6</v>
      </c>
      <c r="F12" s="644" t="s">
        <v>127</v>
      </c>
      <c r="G12" s="1683" t="s">
        <v>145</v>
      </c>
      <c r="H12" s="1683"/>
      <c r="I12" s="1684"/>
    </row>
    <row r="13" spans="1:9" ht="26.1" customHeight="1">
      <c r="A13" s="1695"/>
      <c r="B13" s="1692" t="s">
        <v>764</v>
      </c>
      <c r="C13" s="1692"/>
      <c r="D13" s="645" t="s">
        <v>765</v>
      </c>
      <c r="E13" s="646">
        <f>2.2*0.1*4</f>
        <v>0.88000000000000012</v>
      </c>
      <c r="F13" s="644" t="s">
        <v>127</v>
      </c>
      <c r="G13" s="1683"/>
      <c r="H13" s="1683"/>
      <c r="I13" s="1684"/>
    </row>
    <row r="14" spans="1:9" ht="26.1" customHeight="1">
      <c r="A14" s="1695"/>
      <c r="B14" s="1692" t="s">
        <v>766</v>
      </c>
      <c r="C14" s="1692"/>
      <c r="D14" s="645" t="s">
        <v>767</v>
      </c>
      <c r="E14" s="643">
        <f>+ROUND(PI()*0.6*0.25,3)</f>
        <v>0.47099999999999997</v>
      </c>
      <c r="F14" s="644" t="s">
        <v>127</v>
      </c>
      <c r="G14" s="1683"/>
      <c r="H14" s="1683"/>
      <c r="I14" s="1684"/>
    </row>
    <row r="15" spans="1:9" ht="26.1" customHeight="1">
      <c r="A15" s="1688"/>
      <c r="B15" s="1692" t="s">
        <v>768</v>
      </c>
      <c r="C15" s="1692"/>
      <c r="D15" s="645" t="s">
        <v>769</v>
      </c>
      <c r="E15" s="643">
        <f>+ROUND((PI()*1.08+PI()*0.6)*0.1,3)</f>
        <v>0.52800000000000002</v>
      </c>
      <c r="F15" s="644" t="s">
        <v>127</v>
      </c>
      <c r="G15" s="1683" t="s">
        <v>111</v>
      </c>
      <c r="H15" s="1683"/>
      <c r="I15" s="1684"/>
    </row>
    <row r="16" spans="1:9" ht="30" customHeight="1">
      <c r="A16" s="1693" t="s">
        <v>160</v>
      </c>
      <c r="B16" s="1692"/>
      <c r="C16" s="1692"/>
      <c r="D16" s="645" t="s">
        <v>161</v>
      </c>
      <c r="E16" s="643" t="s">
        <v>111</v>
      </c>
      <c r="F16" s="644" t="s">
        <v>111</v>
      </c>
      <c r="G16" s="1683" t="s">
        <v>111</v>
      </c>
      <c r="H16" s="1683"/>
      <c r="I16" s="1684"/>
    </row>
    <row r="17" spans="1:10" ht="30" customHeight="1">
      <c r="A17" s="1693" t="s">
        <v>162</v>
      </c>
      <c r="B17" s="1692"/>
      <c r="C17" s="1692"/>
      <c r="D17" s="645" t="s">
        <v>770</v>
      </c>
      <c r="E17" s="643">
        <f>+ROUND(((1.2*1.2-PI()*0.6*0.6/4)*1)*0.9,3)</f>
        <v>1.042</v>
      </c>
      <c r="F17" s="644" t="s">
        <v>116</v>
      </c>
      <c r="G17" s="1683" t="s">
        <v>145</v>
      </c>
      <c r="H17" s="1683"/>
      <c r="I17" s="1684"/>
    </row>
    <row r="18" spans="1:10" ht="30" customHeight="1">
      <c r="A18" s="1682" t="s">
        <v>581</v>
      </c>
      <c r="B18" s="1683"/>
      <c r="C18" s="1683"/>
      <c r="D18" s="645" t="s">
        <v>771</v>
      </c>
      <c r="E18" s="647">
        <f>ROUNDUP(1.2*1,2)</f>
        <v>1.2</v>
      </c>
      <c r="F18" s="644" t="s">
        <v>127</v>
      </c>
      <c r="G18" s="1683" t="s">
        <v>145</v>
      </c>
      <c r="H18" s="1683"/>
      <c r="I18" s="1684"/>
    </row>
    <row r="19" spans="1:10" ht="26.1" customHeight="1">
      <c r="A19" s="1682" t="s">
        <v>555</v>
      </c>
      <c r="B19" s="1683"/>
      <c r="C19" s="1683"/>
      <c r="D19" s="642" t="s">
        <v>772</v>
      </c>
      <c r="E19" s="643">
        <f>+ROUND((1.7*1.7-PI()*0.6*0.6/4)+2*2,2)</f>
        <v>6.61</v>
      </c>
      <c r="F19" s="644" t="s">
        <v>127</v>
      </c>
      <c r="G19" s="1692"/>
      <c r="H19" s="1692"/>
      <c r="I19" s="1696"/>
    </row>
    <row r="20" spans="1:10" ht="21.95" customHeight="1">
      <c r="A20" s="1693" t="s">
        <v>236</v>
      </c>
      <c r="B20" s="1692"/>
      <c r="C20" s="1683" t="s">
        <v>102</v>
      </c>
      <c r="D20" s="648" t="s">
        <v>773</v>
      </c>
      <c r="E20" s="649">
        <v>0.01</v>
      </c>
      <c r="F20" s="650" t="s">
        <v>751</v>
      </c>
      <c r="G20" s="651" t="s">
        <v>111</v>
      </c>
      <c r="H20" s="652" t="s">
        <v>585</v>
      </c>
      <c r="I20" s="653" t="s">
        <v>111</v>
      </c>
    </row>
    <row r="21" spans="1:10" ht="21.95" customHeight="1">
      <c r="A21" s="1693"/>
      <c r="B21" s="1692"/>
      <c r="C21" s="1683"/>
      <c r="D21" s="654" t="s">
        <v>774</v>
      </c>
      <c r="E21" s="655">
        <v>6.4000000000000001E-2</v>
      </c>
      <c r="F21" s="656" t="s">
        <v>751</v>
      </c>
      <c r="G21" s="657"/>
      <c r="H21" s="658"/>
      <c r="I21" s="659"/>
    </row>
    <row r="22" spans="1:10" ht="21.95" customHeight="1">
      <c r="A22" s="1693"/>
      <c r="B22" s="1692"/>
      <c r="C22" s="660" t="s">
        <v>3</v>
      </c>
      <c r="D22" s="642" t="s">
        <v>774</v>
      </c>
      <c r="E22" s="661">
        <v>8.7999999999999995E-2</v>
      </c>
      <c r="F22" s="662" t="s">
        <v>751</v>
      </c>
      <c r="G22" s="661" t="s">
        <v>111</v>
      </c>
      <c r="H22" s="663" t="s">
        <v>585</v>
      </c>
      <c r="I22" s="664" t="s">
        <v>111</v>
      </c>
    </row>
    <row r="23" spans="1:10" ht="21.95" customHeight="1">
      <c r="A23" s="1693"/>
      <c r="B23" s="1692"/>
      <c r="C23" s="660" t="s">
        <v>2</v>
      </c>
      <c r="D23" s="642" t="s">
        <v>774</v>
      </c>
      <c r="E23" s="665">
        <v>0.105</v>
      </c>
      <c r="F23" s="662" t="s">
        <v>751</v>
      </c>
      <c r="G23" s="1702" t="s">
        <v>145</v>
      </c>
      <c r="H23" s="1703"/>
      <c r="I23" s="1704"/>
      <c r="J23" s="743">
        <f>E21+E22+E23</f>
        <v>0.25700000000000001</v>
      </c>
    </row>
    <row r="24" spans="1:10" ht="27" customHeight="1">
      <c r="A24" s="1705" t="s">
        <v>561</v>
      </c>
      <c r="B24" s="1706"/>
      <c r="C24" s="1707"/>
      <c r="D24" s="666" t="s">
        <v>165</v>
      </c>
      <c r="E24" s="657">
        <v>3</v>
      </c>
      <c r="F24" s="667" t="s">
        <v>112</v>
      </c>
      <c r="G24" s="668"/>
      <c r="H24" s="658"/>
      <c r="I24" s="669"/>
    </row>
    <row r="25" spans="1:10" ht="27" customHeight="1">
      <c r="A25" s="1705" t="s">
        <v>594</v>
      </c>
      <c r="B25" s="1706"/>
      <c r="C25" s="1707"/>
      <c r="D25" s="645" t="s">
        <v>165</v>
      </c>
      <c r="E25" s="643">
        <v>1</v>
      </c>
      <c r="F25" s="644" t="s">
        <v>112</v>
      </c>
      <c r="G25" s="1683"/>
      <c r="H25" s="1683"/>
      <c r="I25" s="1684"/>
    </row>
    <row r="26" spans="1:10" ht="31.5" customHeight="1">
      <c r="A26" s="1697"/>
      <c r="B26" s="1698"/>
      <c r="C26" s="1699"/>
      <c r="D26" s="670"/>
      <c r="E26" s="671"/>
      <c r="F26" s="672"/>
      <c r="G26" s="1700"/>
      <c r="H26" s="1700"/>
      <c r="I26" s="1701"/>
    </row>
  </sheetData>
  <mergeCells count="46">
    <mergeCell ref="A26:C26"/>
    <mergeCell ref="G26:I26"/>
    <mergeCell ref="A20:B23"/>
    <mergeCell ref="C20:C21"/>
    <mergeCell ref="G23:I23"/>
    <mergeCell ref="A24:C24"/>
    <mergeCell ref="A25:C25"/>
    <mergeCell ref="G25:I25"/>
    <mergeCell ref="A16:C16"/>
    <mergeCell ref="G16:I16"/>
    <mergeCell ref="A18:C18"/>
    <mergeCell ref="G18:I18"/>
    <mergeCell ref="A19:C19"/>
    <mergeCell ref="G19:I19"/>
    <mergeCell ref="G8:I8"/>
    <mergeCell ref="A17:C17"/>
    <mergeCell ref="G17:I17"/>
    <mergeCell ref="A10:A15"/>
    <mergeCell ref="B10:C10"/>
    <mergeCell ref="G10:I10"/>
    <mergeCell ref="B11:C11"/>
    <mergeCell ref="G11:I11"/>
    <mergeCell ref="B12:C12"/>
    <mergeCell ref="G12:I12"/>
    <mergeCell ref="B13:C13"/>
    <mergeCell ref="G13:I13"/>
    <mergeCell ref="B14:C14"/>
    <mergeCell ref="G14:I14"/>
    <mergeCell ref="B15:C15"/>
    <mergeCell ref="G15:I15"/>
    <mergeCell ref="A9:C9"/>
    <mergeCell ref="G9:I9"/>
    <mergeCell ref="A1:I1"/>
    <mergeCell ref="A3:C3"/>
    <mergeCell ref="E3:F3"/>
    <mergeCell ref="G3:I3"/>
    <mergeCell ref="A4:A8"/>
    <mergeCell ref="B4:C4"/>
    <mergeCell ref="G4:I4"/>
    <mergeCell ref="B5:C5"/>
    <mergeCell ref="G5:I5"/>
    <mergeCell ref="B6:C6"/>
    <mergeCell ref="G6:I6"/>
    <mergeCell ref="B7:C7"/>
    <mergeCell ref="G7:I7"/>
    <mergeCell ref="B8:C8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>
    <tabColor rgb="FFFFC000"/>
  </sheetPr>
  <dimension ref="A1:G29"/>
  <sheetViews>
    <sheetView workbookViewId="0">
      <selection sqref="A1:G1"/>
    </sheetView>
  </sheetViews>
  <sheetFormatPr defaultRowHeight="13.5"/>
  <cols>
    <col min="1" max="3" width="9.5546875" style="673" customWidth="1"/>
    <col min="4" max="4" width="10.77734375" style="673" customWidth="1"/>
    <col min="5" max="5" width="10.44140625" style="673" customWidth="1"/>
    <col min="6" max="6" width="12.33203125" style="673" customWidth="1"/>
    <col min="7" max="7" width="12.6640625" style="673" customWidth="1"/>
    <col min="8" max="256" width="8.88671875" style="673"/>
    <col min="257" max="259" width="9.5546875" style="673" customWidth="1"/>
    <col min="260" max="260" width="10.77734375" style="673" customWidth="1"/>
    <col min="261" max="261" width="10.44140625" style="673" customWidth="1"/>
    <col min="262" max="262" width="12.33203125" style="673" customWidth="1"/>
    <col min="263" max="263" width="12.6640625" style="673" customWidth="1"/>
    <col min="264" max="512" width="8.88671875" style="673"/>
    <col min="513" max="515" width="9.5546875" style="673" customWidth="1"/>
    <col min="516" max="516" width="10.77734375" style="673" customWidth="1"/>
    <col min="517" max="517" width="10.44140625" style="673" customWidth="1"/>
    <col min="518" max="518" width="12.33203125" style="673" customWidth="1"/>
    <col min="519" max="519" width="12.6640625" style="673" customWidth="1"/>
    <col min="520" max="768" width="8.88671875" style="673"/>
    <col min="769" max="771" width="9.5546875" style="673" customWidth="1"/>
    <col min="772" max="772" width="10.77734375" style="673" customWidth="1"/>
    <col min="773" max="773" width="10.44140625" style="673" customWidth="1"/>
    <col min="774" max="774" width="12.33203125" style="673" customWidth="1"/>
    <col min="775" max="775" width="12.6640625" style="673" customWidth="1"/>
    <col min="776" max="1024" width="8.88671875" style="673"/>
    <col min="1025" max="1027" width="9.5546875" style="673" customWidth="1"/>
    <col min="1028" max="1028" width="10.77734375" style="673" customWidth="1"/>
    <col min="1029" max="1029" width="10.44140625" style="673" customWidth="1"/>
    <col min="1030" max="1030" width="12.33203125" style="673" customWidth="1"/>
    <col min="1031" max="1031" width="12.6640625" style="673" customWidth="1"/>
    <col min="1032" max="1280" width="8.88671875" style="673"/>
    <col min="1281" max="1283" width="9.5546875" style="673" customWidth="1"/>
    <col min="1284" max="1284" width="10.77734375" style="673" customWidth="1"/>
    <col min="1285" max="1285" width="10.44140625" style="673" customWidth="1"/>
    <col min="1286" max="1286" width="12.33203125" style="673" customWidth="1"/>
    <col min="1287" max="1287" width="12.6640625" style="673" customWidth="1"/>
    <col min="1288" max="1536" width="8.88671875" style="673"/>
    <col min="1537" max="1539" width="9.5546875" style="673" customWidth="1"/>
    <col min="1540" max="1540" width="10.77734375" style="673" customWidth="1"/>
    <col min="1541" max="1541" width="10.44140625" style="673" customWidth="1"/>
    <col min="1542" max="1542" width="12.33203125" style="673" customWidth="1"/>
    <col min="1543" max="1543" width="12.6640625" style="673" customWidth="1"/>
    <col min="1544" max="1792" width="8.88671875" style="673"/>
    <col min="1793" max="1795" width="9.5546875" style="673" customWidth="1"/>
    <col min="1796" max="1796" width="10.77734375" style="673" customWidth="1"/>
    <col min="1797" max="1797" width="10.44140625" style="673" customWidth="1"/>
    <col min="1798" max="1798" width="12.33203125" style="673" customWidth="1"/>
    <col min="1799" max="1799" width="12.6640625" style="673" customWidth="1"/>
    <col min="1800" max="2048" width="8.88671875" style="673"/>
    <col min="2049" max="2051" width="9.5546875" style="673" customWidth="1"/>
    <col min="2052" max="2052" width="10.77734375" style="673" customWidth="1"/>
    <col min="2053" max="2053" width="10.44140625" style="673" customWidth="1"/>
    <col min="2054" max="2054" width="12.33203125" style="673" customWidth="1"/>
    <col min="2055" max="2055" width="12.6640625" style="673" customWidth="1"/>
    <col min="2056" max="2304" width="8.88671875" style="673"/>
    <col min="2305" max="2307" width="9.5546875" style="673" customWidth="1"/>
    <col min="2308" max="2308" width="10.77734375" style="673" customWidth="1"/>
    <col min="2309" max="2309" width="10.44140625" style="673" customWidth="1"/>
    <col min="2310" max="2310" width="12.33203125" style="673" customWidth="1"/>
    <col min="2311" max="2311" width="12.6640625" style="673" customWidth="1"/>
    <col min="2312" max="2560" width="8.88671875" style="673"/>
    <col min="2561" max="2563" width="9.5546875" style="673" customWidth="1"/>
    <col min="2564" max="2564" width="10.77734375" style="673" customWidth="1"/>
    <col min="2565" max="2565" width="10.44140625" style="673" customWidth="1"/>
    <col min="2566" max="2566" width="12.33203125" style="673" customWidth="1"/>
    <col min="2567" max="2567" width="12.6640625" style="673" customWidth="1"/>
    <col min="2568" max="2816" width="8.88671875" style="673"/>
    <col min="2817" max="2819" width="9.5546875" style="673" customWidth="1"/>
    <col min="2820" max="2820" width="10.77734375" style="673" customWidth="1"/>
    <col min="2821" max="2821" width="10.44140625" style="673" customWidth="1"/>
    <col min="2822" max="2822" width="12.33203125" style="673" customWidth="1"/>
    <col min="2823" max="2823" width="12.6640625" style="673" customWidth="1"/>
    <col min="2824" max="3072" width="8.88671875" style="673"/>
    <col min="3073" max="3075" width="9.5546875" style="673" customWidth="1"/>
    <col min="3076" max="3076" width="10.77734375" style="673" customWidth="1"/>
    <col min="3077" max="3077" width="10.44140625" style="673" customWidth="1"/>
    <col min="3078" max="3078" width="12.33203125" style="673" customWidth="1"/>
    <col min="3079" max="3079" width="12.6640625" style="673" customWidth="1"/>
    <col min="3080" max="3328" width="8.88671875" style="673"/>
    <col min="3329" max="3331" width="9.5546875" style="673" customWidth="1"/>
    <col min="3332" max="3332" width="10.77734375" style="673" customWidth="1"/>
    <col min="3333" max="3333" width="10.44140625" style="673" customWidth="1"/>
    <col min="3334" max="3334" width="12.33203125" style="673" customWidth="1"/>
    <col min="3335" max="3335" width="12.6640625" style="673" customWidth="1"/>
    <col min="3336" max="3584" width="8.88671875" style="673"/>
    <col min="3585" max="3587" width="9.5546875" style="673" customWidth="1"/>
    <col min="3588" max="3588" width="10.77734375" style="673" customWidth="1"/>
    <col min="3589" max="3589" width="10.44140625" style="673" customWidth="1"/>
    <col min="3590" max="3590" width="12.33203125" style="673" customWidth="1"/>
    <col min="3591" max="3591" width="12.6640625" style="673" customWidth="1"/>
    <col min="3592" max="3840" width="8.88671875" style="673"/>
    <col min="3841" max="3843" width="9.5546875" style="673" customWidth="1"/>
    <col min="3844" max="3844" width="10.77734375" style="673" customWidth="1"/>
    <col min="3845" max="3845" width="10.44140625" style="673" customWidth="1"/>
    <col min="3846" max="3846" width="12.33203125" style="673" customWidth="1"/>
    <col min="3847" max="3847" width="12.6640625" style="673" customWidth="1"/>
    <col min="3848" max="4096" width="8.88671875" style="673"/>
    <col min="4097" max="4099" width="9.5546875" style="673" customWidth="1"/>
    <col min="4100" max="4100" width="10.77734375" style="673" customWidth="1"/>
    <col min="4101" max="4101" width="10.44140625" style="673" customWidth="1"/>
    <col min="4102" max="4102" width="12.33203125" style="673" customWidth="1"/>
    <col min="4103" max="4103" width="12.6640625" style="673" customWidth="1"/>
    <col min="4104" max="4352" width="8.88671875" style="673"/>
    <col min="4353" max="4355" width="9.5546875" style="673" customWidth="1"/>
    <col min="4356" max="4356" width="10.77734375" style="673" customWidth="1"/>
    <col min="4357" max="4357" width="10.44140625" style="673" customWidth="1"/>
    <col min="4358" max="4358" width="12.33203125" style="673" customWidth="1"/>
    <col min="4359" max="4359" width="12.6640625" style="673" customWidth="1"/>
    <col min="4360" max="4608" width="8.88671875" style="673"/>
    <col min="4609" max="4611" width="9.5546875" style="673" customWidth="1"/>
    <col min="4612" max="4612" width="10.77734375" style="673" customWidth="1"/>
    <col min="4613" max="4613" width="10.44140625" style="673" customWidth="1"/>
    <col min="4614" max="4614" width="12.33203125" style="673" customWidth="1"/>
    <col min="4615" max="4615" width="12.6640625" style="673" customWidth="1"/>
    <col min="4616" max="4864" width="8.88671875" style="673"/>
    <col min="4865" max="4867" width="9.5546875" style="673" customWidth="1"/>
    <col min="4868" max="4868" width="10.77734375" style="673" customWidth="1"/>
    <col min="4869" max="4869" width="10.44140625" style="673" customWidth="1"/>
    <col min="4870" max="4870" width="12.33203125" style="673" customWidth="1"/>
    <col min="4871" max="4871" width="12.6640625" style="673" customWidth="1"/>
    <col min="4872" max="5120" width="8.88671875" style="673"/>
    <col min="5121" max="5123" width="9.5546875" style="673" customWidth="1"/>
    <col min="5124" max="5124" width="10.77734375" style="673" customWidth="1"/>
    <col min="5125" max="5125" width="10.44140625" style="673" customWidth="1"/>
    <col min="5126" max="5126" width="12.33203125" style="673" customWidth="1"/>
    <col min="5127" max="5127" width="12.6640625" style="673" customWidth="1"/>
    <col min="5128" max="5376" width="8.88671875" style="673"/>
    <col min="5377" max="5379" width="9.5546875" style="673" customWidth="1"/>
    <col min="5380" max="5380" width="10.77734375" style="673" customWidth="1"/>
    <col min="5381" max="5381" width="10.44140625" style="673" customWidth="1"/>
    <col min="5382" max="5382" width="12.33203125" style="673" customWidth="1"/>
    <col min="5383" max="5383" width="12.6640625" style="673" customWidth="1"/>
    <col min="5384" max="5632" width="8.88671875" style="673"/>
    <col min="5633" max="5635" width="9.5546875" style="673" customWidth="1"/>
    <col min="5636" max="5636" width="10.77734375" style="673" customWidth="1"/>
    <col min="5637" max="5637" width="10.44140625" style="673" customWidth="1"/>
    <col min="5638" max="5638" width="12.33203125" style="673" customWidth="1"/>
    <col min="5639" max="5639" width="12.6640625" style="673" customWidth="1"/>
    <col min="5640" max="5888" width="8.88671875" style="673"/>
    <col min="5889" max="5891" width="9.5546875" style="673" customWidth="1"/>
    <col min="5892" max="5892" width="10.77734375" style="673" customWidth="1"/>
    <col min="5893" max="5893" width="10.44140625" style="673" customWidth="1"/>
    <col min="5894" max="5894" width="12.33203125" style="673" customWidth="1"/>
    <col min="5895" max="5895" width="12.6640625" style="673" customWidth="1"/>
    <col min="5896" max="6144" width="8.88671875" style="673"/>
    <col min="6145" max="6147" width="9.5546875" style="673" customWidth="1"/>
    <col min="6148" max="6148" width="10.77734375" style="673" customWidth="1"/>
    <col min="6149" max="6149" width="10.44140625" style="673" customWidth="1"/>
    <col min="6150" max="6150" width="12.33203125" style="673" customWidth="1"/>
    <col min="6151" max="6151" width="12.6640625" style="673" customWidth="1"/>
    <col min="6152" max="6400" width="8.88671875" style="673"/>
    <col min="6401" max="6403" width="9.5546875" style="673" customWidth="1"/>
    <col min="6404" max="6404" width="10.77734375" style="673" customWidth="1"/>
    <col min="6405" max="6405" width="10.44140625" style="673" customWidth="1"/>
    <col min="6406" max="6406" width="12.33203125" style="673" customWidth="1"/>
    <col min="6407" max="6407" width="12.6640625" style="673" customWidth="1"/>
    <col min="6408" max="6656" width="8.88671875" style="673"/>
    <col min="6657" max="6659" width="9.5546875" style="673" customWidth="1"/>
    <col min="6660" max="6660" width="10.77734375" style="673" customWidth="1"/>
    <col min="6661" max="6661" width="10.44140625" style="673" customWidth="1"/>
    <col min="6662" max="6662" width="12.33203125" style="673" customWidth="1"/>
    <col min="6663" max="6663" width="12.6640625" style="673" customWidth="1"/>
    <col min="6664" max="6912" width="8.88671875" style="673"/>
    <col min="6913" max="6915" width="9.5546875" style="673" customWidth="1"/>
    <col min="6916" max="6916" width="10.77734375" style="673" customWidth="1"/>
    <col min="6917" max="6917" width="10.44140625" style="673" customWidth="1"/>
    <col min="6918" max="6918" width="12.33203125" style="673" customWidth="1"/>
    <col min="6919" max="6919" width="12.6640625" style="673" customWidth="1"/>
    <col min="6920" max="7168" width="8.88671875" style="673"/>
    <col min="7169" max="7171" width="9.5546875" style="673" customWidth="1"/>
    <col min="7172" max="7172" width="10.77734375" style="673" customWidth="1"/>
    <col min="7173" max="7173" width="10.44140625" style="673" customWidth="1"/>
    <col min="7174" max="7174" width="12.33203125" style="673" customWidth="1"/>
    <col min="7175" max="7175" width="12.6640625" style="673" customWidth="1"/>
    <col min="7176" max="7424" width="8.88671875" style="673"/>
    <col min="7425" max="7427" width="9.5546875" style="673" customWidth="1"/>
    <col min="7428" max="7428" width="10.77734375" style="673" customWidth="1"/>
    <col min="7429" max="7429" width="10.44140625" style="673" customWidth="1"/>
    <col min="7430" max="7430" width="12.33203125" style="673" customWidth="1"/>
    <col min="7431" max="7431" width="12.6640625" style="673" customWidth="1"/>
    <col min="7432" max="7680" width="8.88671875" style="673"/>
    <col min="7681" max="7683" width="9.5546875" style="673" customWidth="1"/>
    <col min="7684" max="7684" width="10.77734375" style="673" customWidth="1"/>
    <col min="7685" max="7685" width="10.44140625" style="673" customWidth="1"/>
    <col min="7686" max="7686" width="12.33203125" style="673" customWidth="1"/>
    <col min="7687" max="7687" width="12.6640625" style="673" customWidth="1"/>
    <col min="7688" max="7936" width="8.88671875" style="673"/>
    <col min="7937" max="7939" width="9.5546875" style="673" customWidth="1"/>
    <col min="7940" max="7940" width="10.77734375" style="673" customWidth="1"/>
    <col min="7941" max="7941" width="10.44140625" style="673" customWidth="1"/>
    <col min="7942" max="7942" width="12.33203125" style="673" customWidth="1"/>
    <col min="7943" max="7943" width="12.6640625" style="673" customWidth="1"/>
    <col min="7944" max="8192" width="8.88671875" style="673"/>
    <col min="8193" max="8195" width="9.5546875" style="673" customWidth="1"/>
    <col min="8196" max="8196" width="10.77734375" style="673" customWidth="1"/>
    <col min="8197" max="8197" width="10.44140625" style="673" customWidth="1"/>
    <col min="8198" max="8198" width="12.33203125" style="673" customWidth="1"/>
    <col min="8199" max="8199" width="12.6640625" style="673" customWidth="1"/>
    <col min="8200" max="8448" width="8.88671875" style="673"/>
    <col min="8449" max="8451" width="9.5546875" style="673" customWidth="1"/>
    <col min="8452" max="8452" width="10.77734375" style="673" customWidth="1"/>
    <col min="8453" max="8453" width="10.44140625" style="673" customWidth="1"/>
    <col min="8454" max="8454" width="12.33203125" style="673" customWidth="1"/>
    <col min="8455" max="8455" width="12.6640625" style="673" customWidth="1"/>
    <col min="8456" max="8704" width="8.88671875" style="673"/>
    <col min="8705" max="8707" width="9.5546875" style="673" customWidth="1"/>
    <col min="8708" max="8708" width="10.77734375" style="673" customWidth="1"/>
    <col min="8709" max="8709" width="10.44140625" style="673" customWidth="1"/>
    <col min="8710" max="8710" width="12.33203125" style="673" customWidth="1"/>
    <col min="8711" max="8711" width="12.6640625" style="673" customWidth="1"/>
    <col min="8712" max="8960" width="8.88671875" style="673"/>
    <col min="8961" max="8963" width="9.5546875" style="673" customWidth="1"/>
    <col min="8964" max="8964" width="10.77734375" style="673" customWidth="1"/>
    <col min="8965" max="8965" width="10.44140625" style="673" customWidth="1"/>
    <col min="8966" max="8966" width="12.33203125" style="673" customWidth="1"/>
    <col min="8967" max="8967" width="12.6640625" style="673" customWidth="1"/>
    <col min="8968" max="9216" width="8.88671875" style="673"/>
    <col min="9217" max="9219" width="9.5546875" style="673" customWidth="1"/>
    <col min="9220" max="9220" width="10.77734375" style="673" customWidth="1"/>
    <col min="9221" max="9221" width="10.44140625" style="673" customWidth="1"/>
    <col min="9222" max="9222" width="12.33203125" style="673" customWidth="1"/>
    <col min="9223" max="9223" width="12.6640625" style="673" customWidth="1"/>
    <col min="9224" max="9472" width="8.88671875" style="673"/>
    <col min="9473" max="9475" width="9.5546875" style="673" customWidth="1"/>
    <col min="9476" max="9476" width="10.77734375" style="673" customWidth="1"/>
    <col min="9477" max="9477" width="10.44140625" style="673" customWidth="1"/>
    <col min="9478" max="9478" width="12.33203125" style="673" customWidth="1"/>
    <col min="9479" max="9479" width="12.6640625" style="673" customWidth="1"/>
    <col min="9480" max="9728" width="8.88671875" style="673"/>
    <col min="9729" max="9731" width="9.5546875" style="673" customWidth="1"/>
    <col min="9732" max="9732" width="10.77734375" style="673" customWidth="1"/>
    <col min="9733" max="9733" width="10.44140625" style="673" customWidth="1"/>
    <col min="9734" max="9734" width="12.33203125" style="673" customWidth="1"/>
    <col min="9735" max="9735" width="12.6640625" style="673" customWidth="1"/>
    <col min="9736" max="9984" width="8.88671875" style="673"/>
    <col min="9985" max="9987" width="9.5546875" style="673" customWidth="1"/>
    <col min="9988" max="9988" width="10.77734375" style="673" customWidth="1"/>
    <col min="9989" max="9989" width="10.44140625" style="673" customWidth="1"/>
    <col min="9990" max="9990" width="12.33203125" style="673" customWidth="1"/>
    <col min="9991" max="9991" width="12.6640625" style="673" customWidth="1"/>
    <col min="9992" max="10240" width="8.88671875" style="673"/>
    <col min="10241" max="10243" width="9.5546875" style="673" customWidth="1"/>
    <col min="10244" max="10244" width="10.77734375" style="673" customWidth="1"/>
    <col min="10245" max="10245" width="10.44140625" style="673" customWidth="1"/>
    <col min="10246" max="10246" width="12.33203125" style="673" customWidth="1"/>
    <col min="10247" max="10247" width="12.6640625" style="673" customWidth="1"/>
    <col min="10248" max="10496" width="8.88671875" style="673"/>
    <col min="10497" max="10499" width="9.5546875" style="673" customWidth="1"/>
    <col min="10500" max="10500" width="10.77734375" style="673" customWidth="1"/>
    <col min="10501" max="10501" width="10.44140625" style="673" customWidth="1"/>
    <col min="10502" max="10502" width="12.33203125" style="673" customWidth="1"/>
    <col min="10503" max="10503" width="12.6640625" style="673" customWidth="1"/>
    <col min="10504" max="10752" width="8.88671875" style="673"/>
    <col min="10753" max="10755" width="9.5546875" style="673" customWidth="1"/>
    <col min="10756" max="10756" width="10.77734375" style="673" customWidth="1"/>
    <col min="10757" max="10757" width="10.44140625" style="673" customWidth="1"/>
    <col min="10758" max="10758" width="12.33203125" style="673" customWidth="1"/>
    <col min="10759" max="10759" width="12.6640625" style="673" customWidth="1"/>
    <col min="10760" max="11008" width="8.88671875" style="673"/>
    <col min="11009" max="11011" width="9.5546875" style="673" customWidth="1"/>
    <col min="11012" max="11012" width="10.77734375" style="673" customWidth="1"/>
    <col min="11013" max="11013" width="10.44140625" style="673" customWidth="1"/>
    <col min="11014" max="11014" width="12.33203125" style="673" customWidth="1"/>
    <col min="11015" max="11015" width="12.6640625" style="673" customWidth="1"/>
    <col min="11016" max="11264" width="8.88671875" style="673"/>
    <col min="11265" max="11267" width="9.5546875" style="673" customWidth="1"/>
    <col min="11268" max="11268" width="10.77734375" style="673" customWidth="1"/>
    <col min="11269" max="11269" width="10.44140625" style="673" customWidth="1"/>
    <col min="11270" max="11270" width="12.33203125" style="673" customWidth="1"/>
    <col min="11271" max="11271" width="12.6640625" style="673" customWidth="1"/>
    <col min="11272" max="11520" width="8.88671875" style="673"/>
    <col min="11521" max="11523" width="9.5546875" style="673" customWidth="1"/>
    <col min="11524" max="11524" width="10.77734375" style="673" customWidth="1"/>
    <col min="11525" max="11525" width="10.44140625" style="673" customWidth="1"/>
    <col min="11526" max="11526" width="12.33203125" style="673" customWidth="1"/>
    <col min="11527" max="11527" width="12.6640625" style="673" customWidth="1"/>
    <col min="11528" max="11776" width="8.88671875" style="673"/>
    <col min="11777" max="11779" width="9.5546875" style="673" customWidth="1"/>
    <col min="11780" max="11780" width="10.77734375" style="673" customWidth="1"/>
    <col min="11781" max="11781" width="10.44140625" style="673" customWidth="1"/>
    <col min="11782" max="11782" width="12.33203125" style="673" customWidth="1"/>
    <col min="11783" max="11783" width="12.6640625" style="673" customWidth="1"/>
    <col min="11784" max="12032" width="8.88671875" style="673"/>
    <col min="12033" max="12035" width="9.5546875" style="673" customWidth="1"/>
    <col min="12036" max="12036" width="10.77734375" style="673" customWidth="1"/>
    <col min="12037" max="12037" width="10.44140625" style="673" customWidth="1"/>
    <col min="12038" max="12038" width="12.33203125" style="673" customWidth="1"/>
    <col min="12039" max="12039" width="12.6640625" style="673" customWidth="1"/>
    <col min="12040" max="12288" width="8.88671875" style="673"/>
    <col min="12289" max="12291" width="9.5546875" style="673" customWidth="1"/>
    <col min="12292" max="12292" width="10.77734375" style="673" customWidth="1"/>
    <col min="12293" max="12293" width="10.44140625" style="673" customWidth="1"/>
    <col min="12294" max="12294" width="12.33203125" style="673" customWidth="1"/>
    <col min="12295" max="12295" width="12.6640625" style="673" customWidth="1"/>
    <col min="12296" max="12544" width="8.88671875" style="673"/>
    <col min="12545" max="12547" width="9.5546875" style="673" customWidth="1"/>
    <col min="12548" max="12548" width="10.77734375" style="673" customWidth="1"/>
    <col min="12549" max="12549" width="10.44140625" style="673" customWidth="1"/>
    <col min="12550" max="12550" width="12.33203125" style="673" customWidth="1"/>
    <col min="12551" max="12551" width="12.6640625" style="673" customWidth="1"/>
    <col min="12552" max="12800" width="8.88671875" style="673"/>
    <col min="12801" max="12803" width="9.5546875" style="673" customWidth="1"/>
    <col min="12804" max="12804" width="10.77734375" style="673" customWidth="1"/>
    <col min="12805" max="12805" width="10.44140625" style="673" customWidth="1"/>
    <col min="12806" max="12806" width="12.33203125" style="673" customWidth="1"/>
    <col min="12807" max="12807" width="12.6640625" style="673" customWidth="1"/>
    <col min="12808" max="13056" width="8.88671875" style="673"/>
    <col min="13057" max="13059" width="9.5546875" style="673" customWidth="1"/>
    <col min="13060" max="13060" width="10.77734375" style="673" customWidth="1"/>
    <col min="13061" max="13061" width="10.44140625" style="673" customWidth="1"/>
    <col min="13062" max="13062" width="12.33203125" style="673" customWidth="1"/>
    <col min="13063" max="13063" width="12.6640625" style="673" customWidth="1"/>
    <col min="13064" max="13312" width="8.88671875" style="673"/>
    <col min="13313" max="13315" width="9.5546875" style="673" customWidth="1"/>
    <col min="13316" max="13316" width="10.77734375" style="673" customWidth="1"/>
    <col min="13317" max="13317" width="10.44140625" style="673" customWidth="1"/>
    <col min="13318" max="13318" width="12.33203125" style="673" customWidth="1"/>
    <col min="13319" max="13319" width="12.6640625" style="673" customWidth="1"/>
    <col min="13320" max="13568" width="8.88671875" style="673"/>
    <col min="13569" max="13571" width="9.5546875" style="673" customWidth="1"/>
    <col min="13572" max="13572" width="10.77734375" style="673" customWidth="1"/>
    <col min="13573" max="13573" width="10.44140625" style="673" customWidth="1"/>
    <col min="13574" max="13574" width="12.33203125" style="673" customWidth="1"/>
    <col min="13575" max="13575" width="12.6640625" style="673" customWidth="1"/>
    <col min="13576" max="13824" width="8.88671875" style="673"/>
    <col min="13825" max="13827" width="9.5546875" style="673" customWidth="1"/>
    <col min="13828" max="13828" width="10.77734375" style="673" customWidth="1"/>
    <col min="13829" max="13829" width="10.44140625" style="673" customWidth="1"/>
    <col min="13830" max="13830" width="12.33203125" style="673" customWidth="1"/>
    <col min="13831" max="13831" width="12.6640625" style="673" customWidth="1"/>
    <col min="13832" max="14080" width="8.88671875" style="673"/>
    <col min="14081" max="14083" width="9.5546875" style="673" customWidth="1"/>
    <col min="14084" max="14084" width="10.77734375" style="673" customWidth="1"/>
    <col min="14085" max="14085" width="10.44140625" style="673" customWidth="1"/>
    <col min="14086" max="14086" width="12.33203125" style="673" customWidth="1"/>
    <col min="14087" max="14087" width="12.6640625" style="673" customWidth="1"/>
    <col min="14088" max="14336" width="8.88671875" style="673"/>
    <col min="14337" max="14339" width="9.5546875" style="673" customWidth="1"/>
    <col min="14340" max="14340" width="10.77734375" style="673" customWidth="1"/>
    <col min="14341" max="14341" width="10.44140625" style="673" customWidth="1"/>
    <col min="14342" max="14342" width="12.33203125" style="673" customWidth="1"/>
    <col min="14343" max="14343" width="12.6640625" style="673" customWidth="1"/>
    <col min="14344" max="14592" width="8.88671875" style="673"/>
    <col min="14593" max="14595" width="9.5546875" style="673" customWidth="1"/>
    <col min="14596" max="14596" width="10.77734375" style="673" customWidth="1"/>
    <col min="14597" max="14597" width="10.44140625" style="673" customWidth="1"/>
    <col min="14598" max="14598" width="12.33203125" style="673" customWidth="1"/>
    <col min="14599" max="14599" width="12.6640625" style="673" customWidth="1"/>
    <col min="14600" max="14848" width="8.88671875" style="673"/>
    <col min="14849" max="14851" width="9.5546875" style="673" customWidth="1"/>
    <col min="14852" max="14852" width="10.77734375" style="673" customWidth="1"/>
    <col min="14853" max="14853" width="10.44140625" style="673" customWidth="1"/>
    <col min="14854" max="14854" width="12.33203125" style="673" customWidth="1"/>
    <col min="14855" max="14855" width="12.6640625" style="673" customWidth="1"/>
    <col min="14856" max="15104" width="8.88671875" style="673"/>
    <col min="15105" max="15107" width="9.5546875" style="673" customWidth="1"/>
    <col min="15108" max="15108" width="10.77734375" style="673" customWidth="1"/>
    <col min="15109" max="15109" width="10.44140625" style="673" customWidth="1"/>
    <col min="15110" max="15110" width="12.33203125" style="673" customWidth="1"/>
    <col min="15111" max="15111" width="12.6640625" style="673" customWidth="1"/>
    <col min="15112" max="15360" width="8.88671875" style="673"/>
    <col min="15361" max="15363" width="9.5546875" style="673" customWidth="1"/>
    <col min="15364" max="15364" width="10.77734375" style="673" customWidth="1"/>
    <col min="15365" max="15365" width="10.44140625" style="673" customWidth="1"/>
    <col min="15366" max="15366" width="12.33203125" style="673" customWidth="1"/>
    <col min="15367" max="15367" width="12.6640625" style="673" customWidth="1"/>
    <col min="15368" max="15616" width="8.88671875" style="673"/>
    <col min="15617" max="15619" width="9.5546875" style="673" customWidth="1"/>
    <col min="15620" max="15620" width="10.77734375" style="673" customWidth="1"/>
    <col min="15621" max="15621" width="10.44140625" style="673" customWidth="1"/>
    <col min="15622" max="15622" width="12.33203125" style="673" customWidth="1"/>
    <col min="15623" max="15623" width="12.6640625" style="673" customWidth="1"/>
    <col min="15624" max="15872" width="8.88671875" style="673"/>
    <col min="15873" max="15875" width="9.5546875" style="673" customWidth="1"/>
    <col min="15876" max="15876" width="10.77734375" style="673" customWidth="1"/>
    <col min="15877" max="15877" width="10.44140625" style="673" customWidth="1"/>
    <col min="15878" max="15878" width="12.33203125" style="673" customWidth="1"/>
    <col min="15879" max="15879" width="12.6640625" style="673" customWidth="1"/>
    <col min="15880" max="16128" width="8.88671875" style="673"/>
    <col min="16129" max="16131" width="9.5546875" style="673" customWidth="1"/>
    <col min="16132" max="16132" width="10.77734375" style="673" customWidth="1"/>
    <col min="16133" max="16133" width="10.44140625" style="673" customWidth="1"/>
    <col min="16134" max="16134" width="12.33203125" style="673" customWidth="1"/>
    <col min="16135" max="16135" width="12.6640625" style="673" customWidth="1"/>
    <col min="16136" max="16384" width="8.88671875" style="673"/>
  </cols>
  <sheetData>
    <row r="1" spans="1:7" ht="22.5">
      <c r="A1" s="1708"/>
      <c r="B1" s="1709"/>
      <c r="C1" s="1709"/>
      <c r="D1" s="1709"/>
      <c r="E1" s="1709"/>
      <c r="F1" s="1709"/>
      <c r="G1" s="1710"/>
    </row>
    <row r="2" spans="1:7" ht="23.25" customHeight="1">
      <c r="A2" s="1711" t="s">
        <v>129</v>
      </c>
      <c r="B2" s="1657"/>
      <c r="C2" s="1657"/>
      <c r="D2" s="1657"/>
      <c r="E2" s="1657"/>
      <c r="F2" s="1657"/>
      <c r="G2" s="1712"/>
    </row>
    <row r="3" spans="1:7" ht="23.25" customHeight="1">
      <c r="A3" s="674"/>
      <c r="B3" s="730"/>
      <c r="C3" s="730"/>
      <c r="D3" s="730"/>
      <c r="E3" s="730"/>
      <c r="F3" s="730"/>
      <c r="G3" s="675"/>
    </row>
    <row r="4" spans="1:7" ht="23.25" customHeight="1">
      <c r="A4" s="674"/>
      <c r="B4" s="730"/>
      <c r="C4" s="730"/>
      <c r="D4" s="730"/>
      <c r="E4" s="730"/>
      <c r="F4" s="730"/>
      <c r="G4" s="675"/>
    </row>
    <row r="5" spans="1:7" ht="23.25" customHeight="1">
      <c r="A5" s="674"/>
      <c r="B5" s="730"/>
      <c r="C5" s="730"/>
      <c r="D5" s="730"/>
      <c r="E5" s="730"/>
      <c r="F5" s="730"/>
      <c r="G5" s="675"/>
    </row>
    <row r="6" spans="1:7" ht="23.25" customHeight="1">
      <c r="A6" s="674"/>
      <c r="B6" s="730"/>
      <c r="C6" s="730"/>
      <c r="D6" s="730"/>
      <c r="E6" s="730"/>
      <c r="F6" s="730"/>
      <c r="G6" s="675"/>
    </row>
    <row r="7" spans="1:7" ht="23.25" customHeight="1">
      <c r="A7" s="674"/>
      <c r="B7" s="730"/>
      <c r="C7" s="730"/>
      <c r="D7" s="730"/>
      <c r="E7" s="730"/>
      <c r="F7" s="730"/>
      <c r="G7" s="675"/>
    </row>
    <row r="8" spans="1:7" ht="23.25" customHeight="1">
      <c r="A8" s="674"/>
      <c r="B8" s="730"/>
      <c r="C8" s="730"/>
      <c r="D8" s="730"/>
      <c r="E8" s="730"/>
      <c r="F8" s="730"/>
      <c r="G8" s="675"/>
    </row>
    <row r="9" spans="1:7" ht="23.25" customHeight="1">
      <c r="A9" s="674"/>
      <c r="B9" s="730"/>
      <c r="C9" s="730"/>
      <c r="D9" s="730"/>
      <c r="E9" s="730"/>
      <c r="F9" s="730"/>
      <c r="G9" s="675"/>
    </row>
    <row r="10" spans="1:7" ht="23.25" customHeight="1">
      <c r="A10" s="674"/>
      <c r="B10" s="730"/>
      <c r="C10" s="730"/>
      <c r="D10" s="730"/>
      <c r="E10" s="730"/>
      <c r="F10" s="730"/>
      <c r="G10" s="675"/>
    </row>
    <row r="11" spans="1:7" ht="23.25" customHeight="1">
      <c r="A11" s="674"/>
      <c r="B11" s="730"/>
      <c r="C11" s="730"/>
      <c r="D11" s="730"/>
      <c r="E11" s="730"/>
      <c r="F11" s="730"/>
      <c r="G11" s="675"/>
    </row>
    <row r="12" spans="1:7" ht="23.25" customHeight="1">
      <c r="A12" s="674"/>
      <c r="B12" s="730"/>
      <c r="C12" s="730"/>
      <c r="D12" s="730"/>
      <c r="E12" s="730"/>
      <c r="F12" s="730"/>
      <c r="G12" s="675"/>
    </row>
    <row r="13" spans="1:7" ht="23.25" customHeight="1">
      <c r="A13" s="674"/>
      <c r="B13" s="730"/>
      <c r="C13" s="730"/>
      <c r="D13" s="730"/>
      <c r="E13" s="730"/>
      <c r="F13" s="730"/>
      <c r="G13" s="675"/>
    </row>
    <row r="14" spans="1:7" ht="23.25" customHeight="1">
      <c r="A14" s="674"/>
      <c r="B14" s="730"/>
      <c r="C14" s="730"/>
      <c r="D14" s="730"/>
      <c r="E14" s="730"/>
      <c r="F14" s="730"/>
      <c r="G14" s="675"/>
    </row>
    <row r="15" spans="1:7" ht="23.25" customHeight="1">
      <c r="A15" s="674"/>
      <c r="B15" s="730"/>
      <c r="C15" s="730"/>
      <c r="D15" s="730"/>
      <c r="E15" s="730"/>
      <c r="F15" s="730"/>
      <c r="G15" s="675"/>
    </row>
    <row r="16" spans="1:7" ht="23.25" customHeight="1">
      <c r="A16" s="674"/>
      <c r="B16" s="730"/>
      <c r="C16" s="730"/>
      <c r="D16" s="730"/>
      <c r="E16" s="730"/>
      <c r="F16" s="730"/>
      <c r="G16" s="675"/>
    </row>
    <row r="17" spans="1:7" ht="23.25" customHeight="1">
      <c r="A17" s="674"/>
      <c r="B17" s="730"/>
      <c r="C17" s="730"/>
      <c r="D17" s="730"/>
      <c r="E17" s="730"/>
      <c r="F17" s="730"/>
      <c r="G17" s="675"/>
    </row>
    <row r="18" spans="1:7" ht="23.25" customHeight="1">
      <c r="A18" s="674"/>
      <c r="B18" s="730"/>
      <c r="C18" s="730"/>
      <c r="D18" s="730"/>
      <c r="E18" s="730"/>
      <c r="F18" s="730"/>
      <c r="G18" s="675"/>
    </row>
    <row r="19" spans="1:7" ht="23.25" customHeight="1">
      <c r="A19" s="674"/>
      <c r="B19" s="730"/>
      <c r="C19" s="730"/>
      <c r="D19" s="730"/>
      <c r="E19" s="730"/>
      <c r="F19" s="730"/>
      <c r="G19" s="675"/>
    </row>
    <row r="20" spans="1:7" ht="23.25" customHeight="1">
      <c r="A20" s="674"/>
      <c r="B20" s="730"/>
      <c r="C20" s="730"/>
      <c r="D20" s="730"/>
      <c r="E20" s="730"/>
      <c r="F20" s="730"/>
      <c r="G20" s="675"/>
    </row>
    <row r="21" spans="1:7" ht="23.25" customHeight="1">
      <c r="A21" s="674"/>
      <c r="B21" s="730"/>
      <c r="C21" s="730"/>
      <c r="D21" s="730"/>
      <c r="E21" s="730"/>
      <c r="F21" s="730"/>
      <c r="G21" s="675"/>
    </row>
    <row r="22" spans="1:7" ht="23.25" customHeight="1">
      <c r="A22" s="674"/>
      <c r="B22" s="730"/>
      <c r="C22" s="730"/>
      <c r="D22" s="730"/>
      <c r="E22" s="730"/>
      <c r="F22" s="730"/>
      <c r="G22" s="675"/>
    </row>
    <row r="23" spans="1:7" ht="23.25" customHeight="1">
      <c r="A23" s="674"/>
      <c r="B23" s="730"/>
      <c r="C23" s="730"/>
      <c r="D23" s="730"/>
      <c r="E23" s="730"/>
      <c r="F23" s="730"/>
      <c r="G23" s="675"/>
    </row>
    <row r="24" spans="1:7" ht="23.25" customHeight="1">
      <c r="A24" s="674"/>
      <c r="B24" s="730"/>
      <c r="C24" s="730"/>
      <c r="D24" s="730"/>
      <c r="E24" s="730"/>
      <c r="F24" s="730"/>
      <c r="G24" s="675"/>
    </row>
    <row r="25" spans="1:7" ht="23.25" customHeight="1">
      <c r="A25" s="674"/>
      <c r="B25" s="730"/>
      <c r="C25" s="730"/>
      <c r="D25" s="730"/>
      <c r="E25" s="730"/>
      <c r="F25" s="730"/>
      <c r="G25" s="675"/>
    </row>
    <row r="26" spans="1:7" ht="23.25" customHeight="1">
      <c r="A26" s="674"/>
      <c r="B26" s="730"/>
      <c r="C26" s="730"/>
      <c r="D26" s="730"/>
      <c r="E26" s="730"/>
      <c r="F26" s="730"/>
      <c r="G26" s="675"/>
    </row>
    <row r="27" spans="1:7" ht="23.25" customHeight="1">
      <c r="A27" s="674"/>
      <c r="B27" s="730"/>
      <c r="C27" s="730"/>
      <c r="D27" s="730"/>
      <c r="E27" s="730"/>
      <c r="F27" s="730"/>
      <c r="G27" s="675"/>
    </row>
    <row r="28" spans="1:7" ht="23.25" customHeight="1">
      <c r="A28" s="676"/>
      <c r="B28" s="677"/>
      <c r="C28" s="677"/>
      <c r="D28" s="677"/>
      <c r="E28" s="677"/>
      <c r="F28" s="677"/>
      <c r="G28" s="678"/>
    </row>
    <row r="29" spans="1:7" ht="28.5" customHeight="1">
      <c r="A29" s="676"/>
      <c r="B29" s="677"/>
      <c r="C29" s="677"/>
      <c r="D29" s="1713" t="s">
        <v>775</v>
      </c>
      <c r="E29" s="1713"/>
      <c r="F29" s="1713"/>
      <c r="G29" s="1714"/>
    </row>
  </sheetData>
  <mergeCells count="3">
    <mergeCell ref="A1:G1"/>
    <mergeCell ref="A2:G2"/>
    <mergeCell ref="D29:G29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tabColor rgb="FFFFC000"/>
  </sheetPr>
  <dimension ref="A1:I166"/>
  <sheetViews>
    <sheetView workbookViewId="0">
      <selection sqref="A1:I1"/>
    </sheetView>
  </sheetViews>
  <sheetFormatPr defaultRowHeight="21.75" customHeight="1"/>
  <cols>
    <col min="1" max="1" width="3.77734375" style="635" customWidth="1"/>
    <col min="2" max="2" width="4.5546875" style="635" customWidth="1"/>
    <col min="3" max="3" width="9" style="635" customWidth="1"/>
    <col min="4" max="4" width="12.33203125" style="635" customWidth="1"/>
    <col min="5" max="5" width="6.33203125" style="635" customWidth="1"/>
    <col min="6" max="6" width="8.5546875" style="635" customWidth="1"/>
    <col min="7" max="7" width="10.33203125" style="635" customWidth="1"/>
    <col min="8" max="8" width="9" style="635" customWidth="1"/>
    <col min="9" max="9" width="12.5546875" style="635" customWidth="1"/>
    <col min="10" max="10" width="13.109375" style="635" customWidth="1"/>
    <col min="11" max="256" width="8.88671875" style="635"/>
    <col min="257" max="257" width="3.77734375" style="635" customWidth="1"/>
    <col min="258" max="258" width="4.5546875" style="635" customWidth="1"/>
    <col min="259" max="259" width="9" style="635" customWidth="1"/>
    <col min="260" max="260" width="12.33203125" style="635" customWidth="1"/>
    <col min="261" max="261" width="6.33203125" style="635" customWidth="1"/>
    <col min="262" max="262" width="8.5546875" style="635" customWidth="1"/>
    <col min="263" max="263" width="10.33203125" style="635" customWidth="1"/>
    <col min="264" max="264" width="9" style="635" customWidth="1"/>
    <col min="265" max="265" width="12.5546875" style="635" customWidth="1"/>
    <col min="266" max="266" width="13.109375" style="635" customWidth="1"/>
    <col min="267" max="512" width="8.88671875" style="635"/>
    <col min="513" max="513" width="3.77734375" style="635" customWidth="1"/>
    <col min="514" max="514" width="4.5546875" style="635" customWidth="1"/>
    <col min="515" max="515" width="9" style="635" customWidth="1"/>
    <col min="516" max="516" width="12.33203125" style="635" customWidth="1"/>
    <col min="517" max="517" width="6.33203125" style="635" customWidth="1"/>
    <col min="518" max="518" width="8.5546875" style="635" customWidth="1"/>
    <col min="519" max="519" width="10.33203125" style="635" customWidth="1"/>
    <col min="520" max="520" width="9" style="635" customWidth="1"/>
    <col min="521" max="521" width="12.5546875" style="635" customWidth="1"/>
    <col min="522" max="522" width="13.109375" style="635" customWidth="1"/>
    <col min="523" max="768" width="8.88671875" style="635"/>
    <col min="769" max="769" width="3.77734375" style="635" customWidth="1"/>
    <col min="770" max="770" width="4.5546875" style="635" customWidth="1"/>
    <col min="771" max="771" width="9" style="635" customWidth="1"/>
    <col min="772" max="772" width="12.33203125" style="635" customWidth="1"/>
    <col min="773" max="773" width="6.33203125" style="635" customWidth="1"/>
    <col min="774" max="774" width="8.5546875" style="635" customWidth="1"/>
    <col min="775" max="775" width="10.33203125" style="635" customWidth="1"/>
    <col min="776" max="776" width="9" style="635" customWidth="1"/>
    <col min="777" max="777" width="12.5546875" style="635" customWidth="1"/>
    <col min="778" max="778" width="13.109375" style="635" customWidth="1"/>
    <col min="779" max="1024" width="8.88671875" style="635"/>
    <col min="1025" max="1025" width="3.77734375" style="635" customWidth="1"/>
    <col min="1026" max="1026" width="4.5546875" style="635" customWidth="1"/>
    <col min="1027" max="1027" width="9" style="635" customWidth="1"/>
    <col min="1028" max="1028" width="12.33203125" style="635" customWidth="1"/>
    <col min="1029" max="1029" width="6.33203125" style="635" customWidth="1"/>
    <col min="1030" max="1030" width="8.5546875" style="635" customWidth="1"/>
    <col min="1031" max="1031" width="10.33203125" style="635" customWidth="1"/>
    <col min="1032" max="1032" width="9" style="635" customWidth="1"/>
    <col min="1033" max="1033" width="12.5546875" style="635" customWidth="1"/>
    <col min="1034" max="1034" width="13.109375" style="635" customWidth="1"/>
    <col min="1035" max="1280" width="8.88671875" style="635"/>
    <col min="1281" max="1281" width="3.77734375" style="635" customWidth="1"/>
    <col min="1282" max="1282" width="4.5546875" style="635" customWidth="1"/>
    <col min="1283" max="1283" width="9" style="635" customWidth="1"/>
    <col min="1284" max="1284" width="12.33203125" style="635" customWidth="1"/>
    <col min="1285" max="1285" width="6.33203125" style="635" customWidth="1"/>
    <col min="1286" max="1286" width="8.5546875" style="635" customWidth="1"/>
    <col min="1287" max="1287" width="10.33203125" style="635" customWidth="1"/>
    <col min="1288" max="1288" width="9" style="635" customWidth="1"/>
    <col min="1289" max="1289" width="12.5546875" style="635" customWidth="1"/>
    <col min="1290" max="1290" width="13.109375" style="635" customWidth="1"/>
    <col min="1291" max="1536" width="8.88671875" style="635"/>
    <col min="1537" max="1537" width="3.77734375" style="635" customWidth="1"/>
    <col min="1538" max="1538" width="4.5546875" style="635" customWidth="1"/>
    <col min="1539" max="1539" width="9" style="635" customWidth="1"/>
    <col min="1540" max="1540" width="12.33203125" style="635" customWidth="1"/>
    <col min="1541" max="1541" width="6.33203125" style="635" customWidth="1"/>
    <col min="1542" max="1542" width="8.5546875" style="635" customWidth="1"/>
    <col min="1543" max="1543" width="10.33203125" style="635" customWidth="1"/>
    <col min="1544" max="1544" width="9" style="635" customWidth="1"/>
    <col min="1545" max="1545" width="12.5546875" style="635" customWidth="1"/>
    <col min="1546" max="1546" width="13.109375" style="635" customWidth="1"/>
    <col min="1547" max="1792" width="8.88671875" style="635"/>
    <col min="1793" max="1793" width="3.77734375" style="635" customWidth="1"/>
    <col min="1794" max="1794" width="4.5546875" style="635" customWidth="1"/>
    <col min="1795" max="1795" width="9" style="635" customWidth="1"/>
    <col min="1796" max="1796" width="12.33203125" style="635" customWidth="1"/>
    <col min="1797" max="1797" width="6.33203125" style="635" customWidth="1"/>
    <col min="1798" max="1798" width="8.5546875" style="635" customWidth="1"/>
    <col min="1799" max="1799" width="10.33203125" style="635" customWidth="1"/>
    <col min="1800" max="1800" width="9" style="635" customWidth="1"/>
    <col min="1801" max="1801" width="12.5546875" style="635" customWidth="1"/>
    <col min="1802" max="1802" width="13.109375" style="635" customWidth="1"/>
    <col min="1803" max="2048" width="8.88671875" style="635"/>
    <col min="2049" max="2049" width="3.77734375" style="635" customWidth="1"/>
    <col min="2050" max="2050" width="4.5546875" style="635" customWidth="1"/>
    <col min="2051" max="2051" width="9" style="635" customWidth="1"/>
    <col min="2052" max="2052" width="12.33203125" style="635" customWidth="1"/>
    <col min="2053" max="2053" width="6.33203125" style="635" customWidth="1"/>
    <col min="2054" max="2054" width="8.5546875" style="635" customWidth="1"/>
    <col min="2055" max="2055" width="10.33203125" style="635" customWidth="1"/>
    <col min="2056" max="2056" width="9" style="635" customWidth="1"/>
    <col min="2057" max="2057" width="12.5546875" style="635" customWidth="1"/>
    <col min="2058" max="2058" width="13.109375" style="635" customWidth="1"/>
    <col min="2059" max="2304" width="8.88671875" style="635"/>
    <col min="2305" max="2305" width="3.77734375" style="635" customWidth="1"/>
    <col min="2306" max="2306" width="4.5546875" style="635" customWidth="1"/>
    <col min="2307" max="2307" width="9" style="635" customWidth="1"/>
    <col min="2308" max="2308" width="12.33203125" style="635" customWidth="1"/>
    <col min="2309" max="2309" width="6.33203125" style="635" customWidth="1"/>
    <col min="2310" max="2310" width="8.5546875" style="635" customWidth="1"/>
    <col min="2311" max="2311" width="10.33203125" style="635" customWidth="1"/>
    <col min="2312" max="2312" width="9" style="635" customWidth="1"/>
    <col min="2313" max="2313" width="12.5546875" style="635" customWidth="1"/>
    <col min="2314" max="2314" width="13.109375" style="635" customWidth="1"/>
    <col min="2315" max="2560" width="8.88671875" style="635"/>
    <col min="2561" max="2561" width="3.77734375" style="635" customWidth="1"/>
    <col min="2562" max="2562" width="4.5546875" style="635" customWidth="1"/>
    <col min="2563" max="2563" width="9" style="635" customWidth="1"/>
    <col min="2564" max="2564" width="12.33203125" style="635" customWidth="1"/>
    <col min="2565" max="2565" width="6.33203125" style="635" customWidth="1"/>
    <col min="2566" max="2566" width="8.5546875" style="635" customWidth="1"/>
    <col min="2567" max="2567" width="10.33203125" style="635" customWidth="1"/>
    <col min="2568" max="2568" width="9" style="635" customWidth="1"/>
    <col min="2569" max="2569" width="12.5546875" style="635" customWidth="1"/>
    <col min="2570" max="2570" width="13.109375" style="635" customWidth="1"/>
    <col min="2571" max="2816" width="8.88671875" style="635"/>
    <col min="2817" max="2817" width="3.77734375" style="635" customWidth="1"/>
    <col min="2818" max="2818" width="4.5546875" style="635" customWidth="1"/>
    <col min="2819" max="2819" width="9" style="635" customWidth="1"/>
    <col min="2820" max="2820" width="12.33203125" style="635" customWidth="1"/>
    <col min="2821" max="2821" width="6.33203125" style="635" customWidth="1"/>
    <col min="2822" max="2822" width="8.5546875" style="635" customWidth="1"/>
    <col min="2823" max="2823" width="10.33203125" style="635" customWidth="1"/>
    <col min="2824" max="2824" width="9" style="635" customWidth="1"/>
    <col min="2825" max="2825" width="12.5546875" style="635" customWidth="1"/>
    <col min="2826" max="2826" width="13.109375" style="635" customWidth="1"/>
    <col min="2827" max="3072" width="8.88671875" style="635"/>
    <col min="3073" max="3073" width="3.77734375" style="635" customWidth="1"/>
    <col min="3074" max="3074" width="4.5546875" style="635" customWidth="1"/>
    <col min="3075" max="3075" width="9" style="635" customWidth="1"/>
    <col min="3076" max="3076" width="12.33203125" style="635" customWidth="1"/>
    <col min="3077" max="3077" width="6.33203125" style="635" customWidth="1"/>
    <col min="3078" max="3078" width="8.5546875" style="635" customWidth="1"/>
    <col min="3079" max="3079" width="10.33203125" style="635" customWidth="1"/>
    <col min="3080" max="3080" width="9" style="635" customWidth="1"/>
    <col min="3081" max="3081" width="12.5546875" style="635" customWidth="1"/>
    <col min="3082" max="3082" width="13.109375" style="635" customWidth="1"/>
    <col min="3083" max="3328" width="8.88671875" style="635"/>
    <col min="3329" max="3329" width="3.77734375" style="635" customWidth="1"/>
    <col min="3330" max="3330" width="4.5546875" style="635" customWidth="1"/>
    <col min="3331" max="3331" width="9" style="635" customWidth="1"/>
    <col min="3332" max="3332" width="12.33203125" style="635" customWidth="1"/>
    <col min="3333" max="3333" width="6.33203125" style="635" customWidth="1"/>
    <col min="3334" max="3334" width="8.5546875" style="635" customWidth="1"/>
    <col min="3335" max="3335" width="10.33203125" style="635" customWidth="1"/>
    <col min="3336" max="3336" width="9" style="635" customWidth="1"/>
    <col min="3337" max="3337" width="12.5546875" style="635" customWidth="1"/>
    <col min="3338" max="3338" width="13.109375" style="635" customWidth="1"/>
    <col min="3339" max="3584" width="8.88671875" style="635"/>
    <col min="3585" max="3585" width="3.77734375" style="635" customWidth="1"/>
    <col min="3586" max="3586" width="4.5546875" style="635" customWidth="1"/>
    <col min="3587" max="3587" width="9" style="635" customWidth="1"/>
    <col min="3588" max="3588" width="12.33203125" style="635" customWidth="1"/>
    <col min="3589" max="3589" width="6.33203125" style="635" customWidth="1"/>
    <col min="3590" max="3590" width="8.5546875" style="635" customWidth="1"/>
    <col min="3591" max="3591" width="10.33203125" style="635" customWidth="1"/>
    <col min="3592" max="3592" width="9" style="635" customWidth="1"/>
    <col min="3593" max="3593" width="12.5546875" style="635" customWidth="1"/>
    <col min="3594" max="3594" width="13.109375" style="635" customWidth="1"/>
    <col min="3595" max="3840" width="8.88671875" style="635"/>
    <col min="3841" max="3841" width="3.77734375" style="635" customWidth="1"/>
    <col min="3842" max="3842" width="4.5546875" style="635" customWidth="1"/>
    <col min="3843" max="3843" width="9" style="635" customWidth="1"/>
    <col min="3844" max="3844" width="12.33203125" style="635" customWidth="1"/>
    <col min="3845" max="3845" width="6.33203125" style="635" customWidth="1"/>
    <col min="3846" max="3846" width="8.5546875" style="635" customWidth="1"/>
    <col min="3847" max="3847" width="10.33203125" style="635" customWidth="1"/>
    <col min="3848" max="3848" width="9" style="635" customWidth="1"/>
    <col min="3849" max="3849" width="12.5546875" style="635" customWidth="1"/>
    <col min="3850" max="3850" width="13.109375" style="635" customWidth="1"/>
    <col min="3851" max="4096" width="8.88671875" style="635"/>
    <col min="4097" max="4097" width="3.77734375" style="635" customWidth="1"/>
    <col min="4098" max="4098" width="4.5546875" style="635" customWidth="1"/>
    <col min="4099" max="4099" width="9" style="635" customWidth="1"/>
    <col min="4100" max="4100" width="12.33203125" style="635" customWidth="1"/>
    <col min="4101" max="4101" width="6.33203125" style="635" customWidth="1"/>
    <col min="4102" max="4102" width="8.5546875" style="635" customWidth="1"/>
    <col min="4103" max="4103" width="10.33203125" style="635" customWidth="1"/>
    <col min="4104" max="4104" width="9" style="635" customWidth="1"/>
    <col min="4105" max="4105" width="12.5546875" style="635" customWidth="1"/>
    <col min="4106" max="4106" width="13.109375" style="635" customWidth="1"/>
    <col min="4107" max="4352" width="8.88671875" style="635"/>
    <col min="4353" max="4353" width="3.77734375" style="635" customWidth="1"/>
    <col min="4354" max="4354" width="4.5546875" style="635" customWidth="1"/>
    <col min="4355" max="4355" width="9" style="635" customWidth="1"/>
    <col min="4356" max="4356" width="12.33203125" style="635" customWidth="1"/>
    <col min="4357" max="4357" width="6.33203125" style="635" customWidth="1"/>
    <col min="4358" max="4358" width="8.5546875" style="635" customWidth="1"/>
    <col min="4359" max="4359" width="10.33203125" style="635" customWidth="1"/>
    <col min="4360" max="4360" width="9" style="635" customWidth="1"/>
    <col min="4361" max="4361" width="12.5546875" style="635" customWidth="1"/>
    <col min="4362" max="4362" width="13.109375" style="635" customWidth="1"/>
    <col min="4363" max="4608" width="8.88671875" style="635"/>
    <col min="4609" max="4609" width="3.77734375" style="635" customWidth="1"/>
    <col min="4610" max="4610" width="4.5546875" style="635" customWidth="1"/>
    <col min="4611" max="4611" width="9" style="635" customWidth="1"/>
    <col min="4612" max="4612" width="12.33203125" style="635" customWidth="1"/>
    <col min="4613" max="4613" width="6.33203125" style="635" customWidth="1"/>
    <col min="4614" max="4614" width="8.5546875" style="635" customWidth="1"/>
    <col min="4615" max="4615" width="10.33203125" style="635" customWidth="1"/>
    <col min="4616" max="4616" width="9" style="635" customWidth="1"/>
    <col min="4617" max="4617" width="12.5546875" style="635" customWidth="1"/>
    <col min="4618" max="4618" width="13.109375" style="635" customWidth="1"/>
    <col min="4619" max="4864" width="8.88671875" style="635"/>
    <col min="4865" max="4865" width="3.77734375" style="635" customWidth="1"/>
    <col min="4866" max="4866" width="4.5546875" style="635" customWidth="1"/>
    <col min="4867" max="4867" width="9" style="635" customWidth="1"/>
    <col min="4868" max="4868" width="12.33203125" style="635" customWidth="1"/>
    <col min="4869" max="4869" width="6.33203125" style="635" customWidth="1"/>
    <col min="4870" max="4870" width="8.5546875" style="635" customWidth="1"/>
    <col min="4871" max="4871" width="10.33203125" style="635" customWidth="1"/>
    <col min="4872" max="4872" width="9" style="635" customWidth="1"/>
    <col min="4873" max="4873" width="12.5546875" style="635" customWidth="1"/>
    <col min="4874" max="4874" width="13.109375" style="635" customWidth="1"/>
    <col min="4875" max="5120" width="8.88671875" style="635"/>
    <col min="5121" max="5121" width="3.77734375" style="635" customWidth="1"/>
    <col min="5122" max="5122" width="4.5546875" style="635" customWidth="1"/>
    <col min="5123" max="5123" width="9" style="635" customWidth="1"/>
    <col min="5124" max="5124" width="12.33203125" style="635" customWidth="1"/>
    <col min="5125" max="5125" width="6.33203125" style="635" customWidth="1"/>
    <col min="5126" max="5126" width="8.5546875" style="635" customWidth="1"/>
    <col min="5127" max="5127" width="10.33203125" style="635" customWidth="1"/>
    <col min="5128" max="5128" width="9" style="635" customWidth="1"/>
    <col min="5129" max="5129" width="12.5546875" style="635" customWidth="1"/>
    <col min="5130" max="5130" width="13.109375" style="635" customWidth="1"/>
    <col min="5131" max="5376" width="8.88671875" style="635"/>
    <col min="5377" max="5377" width="3.77734375" style="635" customWidth="1"/>
    <col min="5378" max="5378" width="4.5546875" style="635" customWidth="1"/>
    <col min="5379" max="5379" width="9" style="635" customWidth="1"/>
    <col min="5380" max="5380" width="12.33203125" style="635" customWidth="1"/>
    <col min="5381" max="5381" width="6.33203125" style="635" customWidth="1"/>
    <col min="5382" max="5382" width="8.5546875" style="635" customWidth="1"/>
    <col min="5383" max="5383" width="10.33203125" style="635" customWidth="1"/>
    <col min="5384" max="5384" width="9" style="635" customWidth="1"/>
    <col min="5385" max="5385" width="12.5546875" style="635" customWidth="1"/>
    <col min="5386" max="5386" width="13.109375" style="635" customWidth="1"/>
    <col min="5387" max="5632" width="8.88671875" style="635"/>
    <col min="5633" max="5633" width="3.77734375" style="635" customWidth="1"/>
    <col min="5634" max="5634" width="4.5546875" style="635" customWidth="1"/>
    <col min="5635" max="5635" width="9" style="635" customWidth="1"/>
    <col min="5636" max="5636" width="12.33203125" style="635" customWidth="1"/>
    <col min="5637" max="5637" width="6.33203125" style="635" customWidth="1"/>
    <col min="5638" max="5638" width="8.5546875" style="635" customWidth="1"/>
    <col min="5639" max="5639" width="10.33203125" style="635" customWidth="1"/>
    <col min="5640" max="5640" width="9" style="635" customWidth="1"/>
    <col min="5641" max="5641" width="12.5546875" style="635" customWidth="1"/>
    <col min="5642" max="5642" width="13.109375" style="635" customWidth="1"/>
    <col min="5643" max="5888" width="8.88671875" style="635"/>
    <col min="5889" max="5889" width="3.77734375" style="635" customWidth="1"/>
    <col min="5890" max="5890" width="4.5546875" style="635" customWidth="1"/>
    <col min="5891" max="5891" width="9" style="635" customWidth="1"/>
    <col min="5892" max="5892" width="12.33203125" style="635" customWidth="1"/>
    <col min="5893" max="5893" width="6.33203125" style="635" customWidth="1"/>
    <col min="5894" max="5894" width="8.5546875" style="635" customWidth="1"/>
    <col min="5895" max="5895" width="10.33203125" style="635" customWidth="1"/>
    <col min="5896" max="5896" width="9" style="635" customWidth="1"/>
    <col min="5897" max="5897" width="12.5546875" style="635" customWidth="1"/>
    <col min="5898" max="5898" width="13.109375" style="635" customWidth="1"/>
    <col min="5899" max="6144" width="8.88671875" style="635"/>
    <col min="6145" max="6145" width="3.77734375" style="635" customWidth="1"/>
    <col min="6146" max="6146" width="4.5546875" style="635" customWidth="1"/>
    <col min="6147" max="6147" width="9" style="635" customWidth="1"/>
    <col min="6148" max="6148" width="12.33203125" style="635" customWidth="1"/>
    <col min="6149" max="6149" width="6.33203125" style="635" customWidth="1"/>
    <col min="6150" max="6150" width="8.5546875" style="635" customWidth="1"/>
    <col min="6151" max="6151" width="10.33203125" style="635" customWidth="1"/>
    <col min="6152" max="6152" width="9" style="635" customWidth="1"/>
    <col min="6153" max="6153" width="12.5546875" style="635" customWidth="1"/>
    <col min="6154" max="6154" width="13.109375" style="635" customWidth="1"/>
    <col min="6155" max="6400" width="8.88671875" style="635"/>
    <col min="6401" max="6401" width="3.77734375" style="635" customWidth="1"/>
    <col min="6402" max="6402" width="4.5546875" style="635" customWidth="1"/>
    <col min="6403" max="6403" width="9" style="635" customWidth="1"/>
    <col min="6404" max="6404" width="12.33203125" style="635" customWidth="1"/>
    <col min="6405" max="6405" width="6.33203125" style="635" customWidth="1"/>
    <col min="6406" max="6406" width="8.5546875" style="635" customWidth="1"/>
    <col min="6407" max="6407" width="10.33203125" style="635" customWidth="1"/>
    <col min="6408" max="6408" width="9" style="635" customWidth="1"/>
    <col min="6409" max="6409" width="12.5546875" style="635" customWidth="1"/>
    <col min="6410" max="6410" width="13.109375" style="635" customWidth="1"/>
    <col min="6411" max="6656" width="8.88671875" style="635"/>
    <col min="6657" max="6657" width="3.77734375" style="635" customWidth="1"/>
    <col min="6658" max="6658" width="4.5546875" style="635" customWidth="1"/>
    <col min="6659" max="6659" width="9" style="635" customWidth="1"/>
    <col min="6660" max="6660" width="12.33203125" style="635" customWidth="1"/>
    <col min="6661" max="6661" width="6.33203125" style="635" customWidth="1"/>
    <col min="6662" max="6662" width="8.5546875" style="635" customWidth="1"/>
    <col min="6663" max="6663" width="10.33203125" style="635" customWidth="1"/>
    <col min="6664" max="6664" width="9" style="635" customWidth="1"/>
    <col min="6665" max="6665" width="12.5546875" style="635" customWidth="1"/>
    <col min="6666" max="6666" width="13.109375" style="635" customWidth="1"/>
    <col min="6667" max="6912" width="8.88671875" style="635"/>
    <col min="6913" max="6913" width="3.77734375" style="635" customWidth="1"/>
    <col min="6914" max="6914" width="4.5546875" style="635" customWidth="1"/>
    <col min="6915" max="6915" width="9" style="635" customWidth="1"/>
    <col min="6916" max="6916" width="12.33203125" style="635" customWidth="1"/>
    <col min="6917" max="6917" width="6.33203125" style="635" customWidth="1"/>
    <col min="6918" max="6918" width="8.5546875" style="635" customWidth="1"/>
    <col min="6919" max="6919" width="10.33203125" style="635" customWidth="1"/>
    <col min="6920" max="6920" width="9" style="635" customWidth="1"/>
    <col min="6921" max="6921" width="12.5546875" style="635" customWidth="1"/>
    <col min="6922" max="6922" width="13.109375" style="635" customWidth="1"/>
    <col min="6923" max="7168" width="8.88671875" style="635"/>
    <col min="7169" max="7169" width="3.77734375" style="635" customWidth="1"/>
    <col min="7170" max="7170" width="4.5546875" style="635" customWidth="1"/>
    <col min="7171" max="7171" width="9" style="635" customWidth="1"/>
    <col min="7172" max="7172" width="12.33203125" style="635" customWidth="1"/>
    <col min="7173" max="7173" width="6.33203125" style="635" customWidth="1"/>
    <col min="7174" max="7174" width="8.5546875" style="635" customWidth="1"/>
    <col min="7175" max="7175" width="10.33203125" style="635" customWidth="1"/>
    <col min="7176" max="7176" width="9" style="635" customWidth="1"/>
    <col min="7177" max="7177" width="12.5546875" style="635" customWidth="1"/>
    <col min="7178" max="7178" width="13.109375" style="635" customWidth="1"/>
    <col min="7179" max="7424" width="8.88671875" style="635"/>
    <col min="7425" max="7425" width="3.77734375" style="635" customWidth="1"/>
    <col min="7426" max="7426" width="4.5546875" style="635" customWidth="1"/>
    <col min="7427" max="7427" width="9" style="635" customWidth="1"/>
    <col min="7428" max="7428" width="12.33203125" style="635" customWidth="1"/>
    <col min="7429" max="7429" width="6.33203125" style="635" customWidth="1"/>
    <col min="7430" max="7430" width="8.5546875" style="635" customWidth="1"/>
    <col min="7431" max="7431" width="10.33203125" style="635" customWidth="1"/>
    <col min="7432" max="7432" width="9" style="635" customWidth="1"/>
    <col min="7433" max="7433" width="12.5546875" style="635" customWidth="1"/>
    <col min="7434" max="7434" width="13.109375" style="635" customWidth="1"/>
    <col min="7435" max="7680" width="8.88671875" style="635"/>
    <col min="7681" max="7681" width="3.77734375" style="635" customWidth="1"/>
    <col min="7682" max="7682" width="4.5546875" style="635" customWidth="1"/>
    <col min="7683" max="7683" width="9" style="635" customWidth="1"/>
    <col min="7684" max="7684" width="12.33203125" style="635" customWidth="1"/>
    <col min="7685" max="7685" width="6.33203125" style="635" customWidth="1"/>
    <col min="7686" max="7686" width="8.5546875" style="635" customWidth="1"/>
    <col min="7687" max="7687" width="10.33203125" style="635" customWidth="1"/>
    <col min="7688" max="7688" width="9" style="635" customWidth="1"/>
    <col min="7689" max="7689" width="12.5546875" style="635" customWidth="1"/>
    <col min="7690" max="7690" width="13.109375" style="635" customWidth="1"/>
    <col min="7691" max="7936" width="8.88671875" style="635"/>
    <col min="7937" max="7937" width="3.77734375" style="635" customWidth="1"/>
    <col min="7938" max="7938" width="4.5546875" style="635" customWidth="1"/>
    <col min="7939" max="7939" width="9" style="635" customWidth="1"/>
    <col min="7940" max="7940" width="12.33203125" style="635" customWidth="1"/>
    <col min="7941" max="7941" width="6.33203125" style="635" customWidth="1"/>
    <col min="7942" max="7942" width="8.5546875" style="635" customWidth="1"/>
    <col min="7943" max="7943" width="10.33203125" style="635" customWidth="1"/>
    <col min="7944" max="7944" width="9" style="635" customWidth="1"/>
    <col min="7945" max="7945" width="12.5546875" style="635" customWidth="1"/>
    <col min="7946" max="7946" width="13.109375" style="635" customWidth="1"/>
    <col min="7947" max="8192" width="8.88671875" style="635"/>
    <col min="8193" max="8193" width="3.77734375" style="635" customWidth="1"/>
    <col min="8194" max="8194" width="4.5546875" style="635" customWidth="1"/>
    <col min="8195" max="8195" width="9" style="635" customWidth="1"/>
    <col min="8196" max="8196" width="12.33203125" style="635" customWidth="1"/>
    <col min="8197" max="8197" width="6.33203125" style="635" customWidth="1"/>
    <col min="8198" max="8198" width="8.5546875" style="635" customWidth="1"/>
    <col min="8199" max="8199" width="10.33203125" style="635" customWidth="1"/>
    <col min="8200" max="8200" width="9" style="635" customWidth="1"/>
    <col min="8201" max="8201" width="12.5546875" style="635" customWidth="1"/>
    <col min="8202" max="8202" width="13.109375" style="635" customWidth="1"/>
    <col min="8203" max="8448" width="8.88671875" style="635"/>
    <col min="8449" max="8449" width="3.77734375" style="635" customWidth="1"/>
    <col min="8450" max="8450" width="4.5546875" style="635" customWidth="1"/>
    <col min="8451" max="8451" width="9" style="635" customWidth="1"/>
    <col min="8452" max="8452" width="12.33203125" style="635" customWidth="1"/>
    <col min="8453" max="8453" width="6.33203125" style="635" customWidth="1"/>
    <col min="8454" max="8454" width="8.5546875" style="635" customWidth="1"/>
    <col min="8455" max="8455" width="10.33203125" style="635" customWidth="1"/>
    <col min="8456" max="8456" width="9" style="635" customWidth="1"/>
    <col min="8457" max="8457" width="12.5546875" style="635" customWidth="1"/>
    <col min="8458" max="8458" width="13.109375" style="635" customWidth="1"/>
    <col min="8459" max="8704" width="8.88671875" style="635"/>
    <col min="8705" max="8705" width="3.77734375" style="635" customWidth="1"/>
    <col min="8706" max="8706" width="4.5546875" style="635" customWidth="1"/>
    <col min="8707" max="8707" width="9" style="635" customWidth="1"/>
    <col min="8708" max="8708" width="12.33203125" style="635" customWidth="1"/>
    <col min="8709" max="8709" width="6.33203125" style="635" customWidth="1"/>
    <col min="8710" max="8710" width="8.5546875" style="635" customWidth="1"/>
    <col min="8711" max="8711" width="10.33203125" style="635" customWidth="1"/>
    <col min="8712" max="8712" width="9" style="635" customWidth="1"/>
    <col min="8713" max="8713" width="12.5546875" style="635" customWidth="1"/>
    <col min="8714" max="8714" width="13.109375" style="635" customWidth="1"/>
    <col min="8715" max="8960" width="8.88671875" style="635"/>
    <col min="8961" max="8961" width="3.77734375" style="635" customWidth="1"/>
    <col min="8962" max="8962" width="4.5546875" style="635" customWidth="1"/>
    <col min="8963" max="8963" width="9" style="635" customWidth="1"/>
    <col min="8964" max="8964" width="12.33203125" style="635" customWidth="1"/>
    <col min="8965" max="8965" width="6.33203125" style="635" customWidth="1"/>
    <col min="8966" max="8966" width="8.5546875" style="635" customWidth="1"/>
    <col min="8967" max="8967" width="10.33203125" style="635" customWidth="1"/>
    <col min="8968" max="8968" width="9" style="635" customWidth="1"/>
    <col min="8969" max="8969" width="12.5546875" style="635" customWidth="1"/>
    <col min="8970" max="8970" width="13.109375" style="635" customWidth="1"/>
    <col min="8971" max="9216" width="8.88671875" style="635"/>
    <col min="9217" max="9217" width="3.77734375" style="635" customWidth="1"/>
    <col min="9218" max="9218" width="4.5546875" style="635" customWidth="1"/>
    <col min="9219" max="9219" width="9" style="635" customWidth="1"/>
    <col min="9220" max="9220" width="12.33203125" style="635" customWidth="1"/>
    <col min="9221" max="9221" width="6.33203125" style="635" customWidth="1"/>
    <col min="9222" max="9222" width="8.5546875" style="635" customWidth="1"/>
    <col min="9223" max="9223" width="10.33203125" style="635" customWidth="1"/>
    <col min="9224" max="9224" width="9" style="635" customWidth="1"/>
    <col min="9225" max="9225" width="12.5546875" style="635" customWidth="1"/>
    <col min="9226" max="9226" width="13.109375" style="635" customWidth="1"/>
    <col min="9227" max="9472" width="8.88671875" style="635"/>
    <col min="9473" max="9473" width="3.77734375" style="635" customWidth="1"/>
    <col min="9474" max="9474" width="4.5546875" style="635" customWidth="1"/>
    <col min="9475" max="9475" width="9" style="635" customWidth="1"/>
    <col min="9476" max="9476" width="12.33203125" style="635" customWidth="1"/>
    <col min="9477" max="9477" width="6.33203125" style="635" customWidth="1"/>
    <col min="9478" max="9478" width="8.5546875" style="635" customWidth="1"/>
    <col min="9479" max="9479" width="10.33203125" style="635" customWidth="1"/>
    <col min="9480" max="9480" width="9" style="635" customWidth="1"/>
    <col min="9481" max="9481" width="12.5546875" style="635" customWidth="1"/>
    <col min="9482" max="9482" width="13.109375" style="635" customWidth="1"/>
    <col min="9483" max="9728" width="8.88671875" style="635"/>
    <col min="9729" max="9729" width="3.77734375" style="635" customWidth="1"/>
    <col min="9730" max="9730" width="4.5546875" style="635" customWidth="1"/>
    <col min="9731" max="9731" width="9" style="635" customWidth="1"/>
    <col min="9732" max="9732" width="12.33203125" style="635" customWidth="1"/>
    <col min="9733" max="9733" width="6.33203125" style="635" customWidth="1"/>
    <col min="9734" max="9734" width="8.5546875" style="635" customWidth="1"/>
    <col min="9735" max="9735" width="10.33203125" style="635" customWidth="1"/>
    <col min="9736" max="9736" width="9" style="635" customWidth="1"/>
    <col min="9737" max="9737" width="12.5546875" style="635" customWidth="1"/>
    <col min="9738" max="9738" width="13.109375" style="635" customWidth="1"/>
    <col min="9739" max="9984" width="8.88671875" style="635"/>
    <col min="9985" max="9985" width="3.77734375" style="635" customWidth="1"/>
    <col min="9986" max="9986" width="4.5546875" style="635" customWidth="1"/>
    <col min="9987" max="9987" width="9" style="635" customWidth="1"/>
    <col min="9988" max="9988" width="12.33203125" style="635" customWidth="1"/>
    <col min="9989" max="9989" width="6.33203125" style="635" customWidth="1"/>
    <col min="9990" max="9990" width="8.5546875" style="635" customWidth="1"/>
    <col min="9991" max="9991" width="10.33203125" style="635" customWidth="1"/>
    <col min="9992" max="9992" width="9" style="635" customWidth="1"/>
    <col min="9993" max="9993" width="12.5546875" style="635" customWidth="1"/>
    <col min="9994" max="9994" width="13.109375" style="635" customWidth="1"/>
    <col min="9995" max="10240" width="8.88671875" style="635"/>
    <col min="10241" max="10241" width="3.77734375" style="635" customWidth="1"/>
    <col min="10242" max="10242" width="4.5546875" style="635" customWidth="1"/>
    <col min="10243" max="10243" width="9" style="635" customWidth="1"/>
    <col min="10244" max="10244" width="12.33203125" style="635" customWidth="1"/>
    <col min="10245" max="10245" width="6.33203125" style="635" customWidth="1"/>
    <col min="10246" max="10246" width="8.5546875" style="635" customWidth="1"/>
    <col min="10247" max="10247" width="10.33203125" style="635" customWidth="1"/>
    <col min="10248" max="10248" width="9" style="635" customWidth="1"/>
    <col min="10249" max="10249" width="12.5546875" style="635" customWidth="1"/>
    <col min="10250" max="10250" width="13.109375" style="635" customWidth="1"/>
    <col min="10251" max="10496" width="8.88671875" style="635"/>
    <col min="10497" max="10497" width="3.77734375" style="635" customWidth="1"/>
    <col min="10498" max="10498" width="4.5546875" style="635" customWidth="1"/>
    <col min="10499" max="10499" width="9" style="635" customWidth="1"/>
    <col min="10500" max="10500" width="12.33203125" style="635" customWidth="1"/>
    <col min="10501" max="10501" width="6.33203125" style="635" customWidth="1"/>
    <col min="10502" max="10502" width="8.5546875" style="635" customWidth="1"/>
    <col min="10503" max="10503" width="10.33203125" style="635" customWidth="1"/>
    <col min="10504" max="10504" width="9" style="635" customWidth="1"/>
    <col min="10505" max="10505" width="12.5546875" style="635" customWidth="1"/>
    <col min="10506" max="10506" width="13.109375" style="635" customWidth="1"/>
    <col min="10507" max="10752" width="8.88671875" style="635"/>
    <col min="10753" max="10753" width="3.77734375" style="635" customWidth="1"/>
    <col min="10754" max="10754" width="4.5546875" style="635" customWidth="1"/>
    <col min="10755" max="10755" width="9" style="635" customWidth="1"/>
    <col min="10756" max="10756" width="12.33203125" style="635" customWidth="1"/>
    <col min="10757" max="10757" width="6.33203125" style="635" customWidth="1"/>
    <col min="10758" max="10758" width="8.5546875" style="635" customWidth="1"/>
    <col min="10759" max="10759" width="10.33203125" style="635" customWidth="1"/>
    <col min="10760" max="10760" width="9" style="635" customWidth="1"/>
    <col min="10761" max="10761" width="12.5546875" style="635" customWidth="1"/>
    <col min="10762" max="10762" width="13.109375" style="635" customWidth="1"/>
    <col min="10763" max="11008" width="8.88671875" style="635"/>
    <col min="11009" max="11009" width="3.77734375" style="635" customWidth="1"/>
    <col min="11010" max="11010" width="4.5546875" style="635" customWidth="1"/>
    <col min="11011" max="11011" width="9" style="635" customWidth="1"/>
    <col min="11012" max="11012" width="12.33203125" style="635" customWidth="1"/>
    <col min="11013" max="11013" width="6.33203125" style="635" customWidth="1"/>
    <col min="11014" max="11014" width="8.5546875" style="635" customWidth="1"/>
    <col min="11015" max="11015" width="10.33203125" style="635" customWidth="1"/>
    <col min="11016" max="11016" width="9" style="635" customWidth="1"/>
    <col min="11017" max="11017" width="12.5546875" style="635" customWidth="1"/>
    <col min="11018" max="11018" width="13.109375" style="635" customWidth="1"/>
    <col min="11019" max="11264" width="8.88671875" style="635"/>
    <col min="11265" max="11265" width="3.77734375" style="635" customWidth="1"/>
    <col min="11266" max="11266" width="4.5546875" style="635" customWidth="1"/>
    <col min="11267" max="11267" width="9" style="635" customWidth="1"/>
    <col min="11268" max="11268" width="12.33203125" style="635" customWidth="1"/>
    <col min="11269" max="11269" width="6.33203125" style="635" customWidth="1"/>
    <col min="11270" max="11270" width="8.5546875" style="635" customWidth="1"/>
    <col min="11271" max="11271" width="10.33203125" style="635" customWidth="1"/>
    <col min="11272" max="11272" width="9" style="635" customWidth="1"/>
    <col min="11273" max="11273" width="12.5546875" style="635" customWidth="1"/>
    <col min="11274" max="11274" width="13.109375" style="635" customWidth="1"/>
    <col min="11275" max="11520" width="8.88671875" style="635"/>
    <col min="11521" max="11521" width="3.77734375" style="635" customWidth="1"/>
    <col min="11522" max="11522" width="4.5546875" style="635" customWidth="1"/>
    <col min="11523" max="11523" width="9" style="635" customWidth="1"/>
    <col min="11524" max="11524" width="12.33203125" style="635" customWidth="1"/>
    <col min="11525" max="11525" width="6.33203125" style="635" customWidth="1"/>
    <col min="11526" max="11526" width="8.5546875" style="635" customWidth="1"/>
    <col min="11527" max="11527" width="10.33203125" style="635" customWidth="1"/>
    <col min="11528" max="11528" width="9" style="635" customWidth="1"/>
    <col min="11529" max="11529" width="12.5546875" style="635" customWidth="1"/>
    <col min="11530" max="11530" width="13.109375" style="635" customWidth="1"/>
    <col min="11531" max="11776" width="8.88671875" style="635"/>
    <col min="11777" max="11777" width="3.77734375" style="635" customWidth="1"/>
    <col min="11778" max="11778" width="4.5546875" style="635" customWidth="1"/>
    <col min="11779" max="11779" width="9" style="635" customWidth="1"/>
    <col min="11780" max="11780" width="12.33203125" style="635" customWidth="1"/>
    <col min="11781" max="11781" width="6.33203125" style="635" customWidth="1"/>
    <col min="11782" max="11782" width="8.5546875" style="635" customWidth="1"/>
    <col min="11783" max="11783" width="10.33203125" style="635" customWidth="1"/>
    <col min="11784" max="11784" width="9" style="635" customWidth="1"/>
    <col min="11785" max="11785" width="12.5546875" style="635" customWidth="1"/>
    <col min="11786" max="11786" width="13.109375" style="635" customWidth="1"/>
    <col min="11787" max="12032" width="8.88671875" style="635"/>
    <col min="12033" max="12033" width="3.77734375" style="635" customWidth="1"/>
    <col min="12034" max="12034" width="4.5546875" style="635" customWidth="1"/>
    <col min="12035" max="12035" width="9" style="635" customWidth="1"/>
    <col min="12036" max="12036" width="12.33203125" style="635" customWidth="1"/>
    <col min="12037" max="12037" width="6.33203125" style="635" customWidth="1"/>
    <col min="12038" max="12038" width="8.5546875" style="635" customWidth="1"/>
    <col min="12039" max="12039" width="10.33203125" style="635" customWidth="1"/>
    <col min="12040" max="12040" width="9" style="635" customWidth="1"/>
    <col min="12041" max="12041" width="12.5546875" style="635" customWidth="1"/>
    <col min="12042" max="12042" width="13.109375" style="635" customWidth="1"/>
    <col min="12043" max="12288" width="8.88671875" style="635"/>
    <col min="12289" max="12289" width="3.77734375" style="635" customWidth="1"/>
    <col min="12290" max="12290" width="4.5546875" style="635" customWidth="1"/>
    <col min="12291" max="12291" width="9" style="635" customWidth="1"/>
    <col min="12292" max="12292" width="12.33203125" style="635" customWidth="1"/>
    <col min="12293" max="12293" width="6.33203125" style="635" customWidth="1"/>
    <col min="12294" max="12294" width="8.5546875" style="635" customWidth="1"/>
    <col min="12295" max="12295" width="10.33203125" style="635" customWidth="1"/>
    <col min="12296" max="12296" width="9" style="635" customWidth="1"/>
    <col min="12297" max="12297" width="12.5546875" style="635" customWidth="1"/>
    <col min="12298" max="12298" width="13.109375" style="635" customWidth="1"/>
    <col min="12299" max="12544" width="8.88671875" style="635"/>
    <col min="12545" max="12545" width="3.77734375" style="635" customWidth="1"/>
    <col min="12546" max="12546" width="4.5546875" style="635" customWidth="1"/>
    <col min="12547" max="12547" width="9" style="635" customWidth="1"/>
    <col min="12548" max="12548" width="12.33203125" style="635" customWidth="1"/>
    <col min="12549" max="12549" width="6.33203125" style="635" customWidth="1"/>
    <col min="12550" max="12550" width="8.5546875" style="635" customWidth="1"/>
    <col min="12551" max="12551" width="10.33203125" style="635" customWidth="1"/>
    <col min="12552" max="12552" width="9" style="635" customWidth="1"/>
    <col min="12553" max="12553" width="12.5546875" style="635" customWidth="1"/>
    <col min="12554" max="12554" width="13.109375" style="635" customWidth="1"/>
    <col min="12555" max="12800" width="8.88671875" style="635"/>
    <col min="12801" max="12801" width="3.77734375" style="635" customWidth="1"/>
    <col min="12802" max="12802" width="4.5546875" style="635" customWidth="1"/>
    <col min="12803" max="12803" width="9" style="635" customWidth="1"/>
    <col min="12804" max="12804" width="12.33203125" style="635" customWidth="1"/>
    <col min="12805" max="12805" width="6.33203125" style="635" customWidth="1"/>
    <col min="12806" max="12806" width="8.5546875" style="635" customWidth="1"/>
    <col min="12807" max="12807" width="10.33203125" style="635" customWidth="1"/>
    <col min="12808" max="12808" width="9" style="635" customWidth="1"/>
    <col min="12809" max="12809" width="12.5546875" style="635" customWidth="1"/>
    <col min="12810" max="12810" width="13.109375" style="635" customWidth="1"/>
    <col min="12811" max="13056" width="8.88671875" style="635"/>
    <col min="13057" max="13057" width="3.77734375" style="635" customWidth="1"/>
    <col min="13058" max="13058" width="4.5546875" style="635" customWidth="1"/>
    <col min="13059" max="13059" width="9" style="635" customWidth="1"/>
    <col min="13060" max="13060" width="12.33203125" style="635" customWidth="1"/>
    <col min="13061" max="13061" width="6.33203125" style="635" customWidth="1"/>
    <col min="13062" max="13062" width="8.5546875" style="635" customWidth="1"/>
    <col min="13063" max="13063" width="10.33203125" style="635" customWidth="1"/>
    <col min="13064" max="13064" width="9" style="635" customWidth="1"/>
    <col min="13065" max="13065" width="12.5546875" style="635" customWidth="1"/>
    <col min="13066" max="13066" width="13.109375" style="635" customWidth="1"/>
    <col min="13067" max="13312" width="8.88671875" style="635"/>
    <col min="13313" max="13313" width="3.77734375" style="635" customWidth="1"/>
    <col min="13314" max="13314" width="4.5546875" style="635" customWidth="1"/>
    <col min="13315" max="13315" width="9" style="635" customWidth="1"/>
    <col min="13316" max="13316" width="12.33203125" style="635" customWidth="1"/>
    <col min="13317" max="13317" width="6.33203125" style="635" customWidth="1"/>
    <col min="13318" max="13318" width="8.5546875" style="635" customWidth="1"/>
    <col min="13319" max="13319" width="10.33203125" style="635" customWidth="1"/>
    <col min="13320" max="13320" width="9" style="635" customWidth="1"/>
    <col min="13321" max="13321" width="12.5546875" style="635" customWidth="1"/>
    <col min="13322" max="13322" width="13.109375" style="635" customWidth="1"/>
    <col min="13323" max="13568" width="8.88671875" style="635"/>
    <col min="13569" max="13569" width="3.77734375" style="635" customWidth="1"/>
    <col min="13570" max="13570" width="4.5546875" style="635" customWidth="1"/>
    <col min="13571" max="13571" width="9" style="635" customWidth="1"/>
    <col min="13572" max="13572" width="12.33203125" style="635" customWidth="1"/>
    <col min="13573" max="13573" width="6.33203125" style="635" customWidth="1"/>
    <col min="13574" max="13574" width="8.5546875" style="635" customWidth="1"/>
    <col min="13575" max="13575" width="10.33203125" style="635" customWidth="1"/>
    <col min="13576" max="13576" width="9" style="635" customWidth="1"/>
    <col min="13577" max="13577" width="12.5546875" style="635" customWidth="1"/>
    <col min="13578" max="13578" width="13.109375" style="635" customWidth="1"/>
    <col min="13579" max="13824" width="8.88671875" style="635"/>
    <col min="13825" max="13825" width="3.77734375" style="635" customWidth="1"/>
    <col min="13826" max="13826" width="4.5546875" style="635" customWidth="1"/>
    <col min="13827" max="13827" width="9" style="635" customWidth="1"/>
    <col min="13828" max="13828" width="12.33203125" style="635" customWidth="1"/>
    <col min="13829" max="13829" width="6.33203125" style="635" customWidth="1"/>
    <col min="13830" max="13830" width="8.5546875" style="635" customWidth="1"/>
    <col min="13831" max="13831" width="10.33203125" style="635" customWidth="1"/>
    <col min="13832" max="13832" width="9" style="635" customWidth="1"/>
    <col min="13833" max="13833" width="12.5546875" style="635" customWidth="1"/>
    <col min="13834" max="13834" width="13.109375" style="635" customWidth="1"/>
    <col min="13835" max="14080" width="8.88671875" style="635"/>
    <col min="14081" max="14081" width="3.77734375" style="635" customWidth="1"/>
    <col min="14082" max="14082" width="4.5546875" style="635" customWidth="1"/>
    <col min="14083" max="14083" width="9" style="635" customWidth="1"/>
    <col min="14084" max="14084" width="12.33203125" style="635" customWidth="1"/>
    <col min="14085" max="14085" width="6.33203125" style="635" customWidth="1"/>
    <col min="14086" max="14086" width="8.5546875" style="635" customWidth="1"/>
    <col min="14087" max="14087" width="10.33203125" style="635" customWidth="1"/>
    <col min="14088" max="14088" width="9" style="635" customWidth="1"/>
    <col min="14089" max="14089" width="12.5546875" style="635" customWidth="1"/>
    <col min="14090" max="14090" width="13.109375" style="635" customWidth="1"/>
    <col min="14091" max="14336" width="8.88671875" style="635"/>
    <col min="14337" max="14337" width="3.77734375" style="635" customWidth="1"/>
    <col min="14338" max="14338" width="4.5546875" style="635" customWidth="1"/>
    <col min="14339" max="14339" width="9" style="635" customWidth="1"/>
    <col min="14340" max="14340" width="12.33203125" style="635" customWidth="1"/>
    <col min="14341" max="14341" width="6.33203125" style="635" customWidth="1"/>
    <col min="14342" max="14342" width="8.5546875" style="635" customWidth="1"/>
    <col min="14343" max="14343" width="10.33203125" style="635" customWidth="1"/>
    <col min="14344" max="14344" width="9" style="635" customWidth="1"/>
    <col min="14345" max="14345" width="12.5546875" style="635" customWidth="1"/>
    <col min="14346" max="14346" width="13.109375" style="635" customWidth="1"/>
    <col min="14347" max="14592" width="8.88671875" style="635"/>
    <col min="14593" max="14593" width="3.77734375" style="635" customWidth="1"/>
    <col min="14594" max="14594" width="4.5546875" style="635" customWidth="1"/>
    <col min="14595" max="14595" width="9" style="635" customWidth="1"/>
    <col min="14596" max="14596" width="12.33203125" style="635" customWidth="1"/>
    <col min="14597" max="14597" width="6.33203125" style="635" customWidth="1"/>
    <col min="14598" max="14598" width="8.5546875" style="635" customWidth="1"/>
    <col min="14599" max="14599" width="10.33203125" style="635" customWidth="1"/>
    <col min="14600" max="14600" width="9" style="635" customWidth="1"/>
    <col min="14601" max="14601" width="12.5546875" style="635" customWidth="1"/>
    <col min="14602" max="14602" width="13.109375" style="635" customWidth="1"/>
    <col min="14603" max="14848" width="8.88671875" style="635"/>
    <col min="14849" max="14849" width="3.77734375" style="635" customWidth="1"/>
    <col min="14850" max="14850" width="4.5546875" style="635" customWidth="1"/>
    <col min="14851" max="14851" width="9" style="635" customWidth="1"/>
    <col min="14852" max="14852" width="12.33203125" style="635" customWidth="1"/>
    <col min="14853" max="14853" width="6.33203125" style="635" customWidth="1"/>
    <col min="14854" max="14854" width="8.5546875" style="635" customWidth="1"/>
    <col min="14855" max="14855" width="10.33203125" style="635" customWidth="1"/>
    <col min="14856" max="14856" width="9" style="635" customWidth="1"/>
    <col min="14857" max="14857" width="12.5546875" style="635" customWidth="1"/>
    <col min="14858" max="14858" width="13.109375" style="635" customWidth="1"/>
    <col min="14859" max="15104" width="8.88671875" style="635"/>
    <col min="15105" max="15105" width="3.77734375" style="635" customWidth="1"/>
    <col min="15106" max="15106" width="4.5546875" style="635" customWidth="1"/>
    <col min="15107" max="15107" width="9" style="635" customWidth="1"/>
    <col min="15108" max="15108" width="12.33203125" style="635" customWidth="1"/>
    <col min="15109" max="15109" width="6.33203125" style="635" customWidth="1"/>
    <col min="15110" max="15110" width="8.5546875" style="635" customWidth="1"/>
    <col min="15111" max="15111" width="10.33203125" style="635" customWidth="1"/>
    <col min="15112" max="15112" width="9" style="635" customWidth="1"/>
    <col min="15113" max="15113" width="12.5546875" style="635" customWidth="1"/>
    <col min="15114" max="15114" width="13.109375" style="635" customWidth="1"/>
    <col min="15115" max="15360" width="8.88671875" style="635"/>
    <col min="15361" max="15361" width="3.77734375" style="635" customWidth="1"/>
    <col min="15362" max="15362" width="4.5546875" style="635" customWidth="1"/>
    <col min="15363" max="15363" width="9" style="635" customWidth="1"/>
    <col min="15364" max="15364" width="12.33203125" style="635" customWidth="1"/>
    <col min="15365" max="15365" width="6.33203125" style="635" customWidth="1"/>
    <col min="15366" max="15366" width="8.5546875" style="635" customWidth="1"/>
    <col min="15367" max="15367" width="10.33203125" style="635" customWidth="1"/>
    <col min="15368" max="15368" width="9" style="635" customWidth="1"/>
    <col min="15369" max="15369" width="12.5546875" style="635" customWidth="1"/>
    <col min="15370" max="15370" width="13.109375" style="635" customWidth="1"/>
    <col min="15371" max="15616" width="8.88671875" style="635"/>
    <col min="15617" max="15617" width="3.77734375" style="635" customWidth="1"/>
    <col min="15618" max="15618" width="4.5546875" style="635" customWidth="1"/>
    <col min="15619" max="15619" width="9" style="635" customWidth="1"/>
    <col min="15620" max="15620" width="12.33203125" style="635" customWidth="1"/>
    <col min="15621" max="15621" width="6.33203125" style="635" customWidth="1"/>
    <col min="15622" max="15622" width="8.5546875" style="635" customWidth="1"/>
    <col min="15623" max="15623" width="10.33203125" style="635" customWidth="1"/>
    <col min="15624" max="15624" width="9" style="635" customWidth="1"/>
    <col min="15625" max="15625" width="12.5546875" style="635" customWidth="1"/>
    <col min="15626" max="15626" width="13.109375" style="635" customWidth="1"/>
    <col min="15627" max="15872" width="8.88671875" style="635"/>
    <col min="15873" max="15873" width="3.77734375" style="635" customWidth="1"/>
    <col min="15874" max="15874" width="4.5546875" style="635" customWidth="1"/>
    <col min="15875" max="15875" width="9" style="635" customWidth="1"/>
    <col min="15876" max="15876" width="12.33203125" style="635" customWidth="1"/>
    <col min="15877" max="15877" width="6.33203125" style="635" customWidth="1"/>
    <col min="15878" max="15878" width="8.5546875" style="635" customWidth="1"/>
    <col min="15879" max="15879" width="10.33203125" style="635" customWidth="1"/>
    <col min="15880" max="15880" width="9" style="635" customWidth="1"/>
    <col min="15881" max="15881" width="12.5546875" style="635" customWidth="1"/>
    <col min="15882" max="15882" width="13.109375" style="635" customWidth="1"/>
    <col min="15883" max="16128" width="8.88671875" style="635"/>
    <col min="16129" max="16129" width="3.77734375" style="635" customWidth="1"/>
    <col min="16130" max="16130" width="4.5546875" style="635" customWidth="1"/>
    <col min="16131" max="16131" width="9" style="635" customWidth="1"/>
    <col min="16132" max="16132" width="12.33203125" style="635" customWidth="1"/>
    <col min="16133" max="16133" width="6.33203125" style="635" customWidth="1"/>
    <col min="16134" max="16134" width="8.5546875" style="635" customWidth="1"/>
    <col min="16135" max="16135" width="10.33203125" style="635" customWidth="1"/>
    <col min="16136" max="16136" width="9" style="635" customWidth="1"/>
    <col min="16137" max="16137" width="12.5546875" style="635" customWidth="1"/>
    <col min="16138" max="16138" width="13.109375" style="635" customWidth="1"/>
    <col min="16139" max="16384" width="8.88671875" style="635"/>
  </cols>
  <sheetData>
    <row r="1" spans="1:9" ht="30" customHeight="1">
      <c r="A1" s="1715" t="s">
        <v>776</v>
      </c>
      <c r="B1" s="1715"/>
      <c r="C1" s="1715"/>
      <c r="D1" s="1715"/>
      <c r="E1" s="1715"/>
      <c r="F1" s="1715"/>
      <c r="G1" s="1715"/>
      <c r="H1" s="1715"/>
      <c r="I1" s="1715"/>
    </row>
    <row r="2" spans="1:9" ht="20.100000000000001" customHeight="1">
      <c r="A2" s="636"/>
      <c r="B2" s="636"/>
      <c r="C2" s="636"/>
      <c r="D2" s="636"/>
      <c r="E2" s="636"/>
      <c r="F2" s="636"/>
      <c r="G2" s="636"/>
      <c r="H2" s="636"/>
      <c r="I2" s="679" t="e">
        <f>'오수맨홀수량 및 평균높이'!#REF!</f>
        <v>#REF!</v>
      </c>
    </row>
    <row r="3" spans="1:9" ht="27" customHeight="1">
      <c r="A3" s="1685" t="s">
        <v>137</v>
      </c>
      <c r="B3" s="1686"/>
      <c r="C3" s="1686"/>
      <c r="D3" s="638" t="s">
        <v>97</v>
      </c>
      <c r="E3" s="638" t="s">
        <v>98</v>
      </c>
      <c r="F3" s="638" t="s">
        <v>233</v>
      </c>
      <c r="G3" s="638" t="s">
        <v>99</v>
      </c>
      <c r="H3" s="638" t="s">
        <v>100</v>
      </c>
      <c r="I3" s="680" t="s">
        <v>22</v>
      </c>
    </row>
    <row r="4" spans="1:9" ht="24.95" customHeight="1">
      <c r="A4" s="1716" t="s">
        <v>746</v>
      </c>
      <c r="B4" s="1717" t="s">
        <v>102</v>
      </c>
      <c r="C4" s="1717"/>
      <c r="D4" s="681" t="s">
        <v>544</v>
      </c>
      <c r="E4" s="681" t="s">
        <v>15</v>
      </c>
      <c r="F4" s="681"/>
      <c r="G4" s="682">
        <f>+'특3호각형맨홀(차도측)단위수량'!E4</f>
        <v>0.73699999999999999</v>
      </c>
      <c r="H4" s="682">
        <f>G4</f>
        <v>0.73699999999999999</v>
      </c>
      <c r="I4" s="683"/>
    </row>
    <row r="5" spans="1:9" ht="15" customHeight="1">
      <c r="A5" s="1693"/>
      <c r="B5" s="1683" t="s">
        <v>103</v>
      </c>
      <c r="C5" s="1683" t="s">
        <v>2</v>
      </c>
      <c r="D5" s="1692" t="s">
        <v>544</v>
      </c>
      <c r="E5" s="1683" t="s">
        <v>15</v>
      </c>
      <c r="F5" s="1718" t="e">
        <f>I2</f>
        <v>#REF!</v>
      </c>
      <c r="G5" s="684">
        <f>+'특3호각형맨홀(차도측)단위수량'!E6</f>
        <v>1.55</v>
      </c>
      <c r="H5" s="1719" t="e">
        <f>ROUND(G6,3)</f>
        <v>#REF!</v>
      </c>
      <c r="I5" s="1684"/>
    </row>
    <row r="6" spans="1:9" ht="15" customHeight="1">
      <c r="A6" s="1693"/>
      <c r="B6" s="1683"/>
      <c r="C6" s="1683"/>
      <c r="D6" s="1692"/>
      <c r="E6" s="1683"/>
      <c r="F6" s="1718"/>
      <c r="G6" s="685" t="e">
        <f>F5*G5</f>
        <v>#REF!</v>
      </c>
      <c r="H6" s="1720"/>
      <c r="I6" s="1684"/>
    </row>
    <row r="7" spans="1:9" ht="24.95" customHeight="1">
      <c r="A7" s="1693"/>
      <c r="B7" s="1683"/>
      <c r="C7" s="660" t="s">
        <v>3</v>
      </c>
      <c r="D7" s="686" t="s">
        <v>544</v>
      </c>
      <c r="E7" s="660" t="s">
        <v>15</v>
      </c>
      <c r="F7" s="660"/>
      <c r="G7" s="685">
        <f>+'특3호각형맨홀(차도측)단위수량'!E7</f>
        <v>1.32</v>
      </c>
      <c r="H7" s="685">
        <f>ROUND(G7,3)</f>
        <v>1.32</v>
      </c>
      <c r="I7" s="687"/>
    </row>
    <row r="8" spans="1:9" ht="23.45" customHeight="1">
      <c r="A8" s="1693"/>
      <c r="B8" s="1683" t="s">
        <v>104</v>
      </c>
      <c r="C8" s="1683"/>
      <c r="D8" s="660"/>
      <c r="E8" s="660"/>
      <c r="F8" s="660"/>
      <c r="G8" s="688"/>
      <c r="H8" s="685" t="e">
        <f>SUM(H4:H7)</f>
        <v>#REF!</v>
      </c>
      <c r="I8" s="689"/>
    </row>
    <row r="9" spans="1:9" ht="23.45" customHeight="1">
      <c r="A9" s="1693"/>
      <c r="B9" s="1683" t="s">
        <v>545</v>
      </c>
      <c r="C9" s="1683"/>
      <c r="D9" s="660" t="s">
        <v>469</v>
      </c>
      <c r="E9" s="660" t="s">
        <v>15</v>
      </c>
      <c r="F9" s="660"/>
      <c r="G9" s="685">
        <f>+'특3호각형맨홀(차도측)단위수량'!E8</f>
        <v>0.52800000000000002</v>
      </c>
      <c r="H9" s="685">
        <f>G9</f>
        <v>0.52800000000000002</v>
      </c>
      <c r="I9" s="689"/>
    </row>
    <row r="10" spans="1:9" ht="27" customHeight="1">
      <c r="A10" s="1693"/>
      <c r="B10" s="1692" t="s">
        <v>547</v>
      </c>
      <c r="C10" s="1683"/>
      <c r="D10" s="686" t="s">
        <v>747</v>
      </c>
      <c r="E10" s="660" t="s">
        <v>15</v>
      </c>
      <c r="F10" s="660"/>
      <c r="G10" s="688">
        <f>+'특3호각형맨홀(차도측)단위수량'!E5</f>
        <v>9.6000000000000002E-2</v>
      </c>
      <c r="H10" s="688">
        <f>G10</f>
        <v>9.6000000000000002E-2</v>
      </c>
      <c r="I10" s="687"/>
    </row>
    <row r="11" spans="1:9" ht="24.95" customHeight="1">
      <c r="A11" s="1682" t="s">
        <v>439</v>
      </c>
      <c r="B11" s="1683"/>
      <c r="C11" s="1683"/>
      <c r="D11" s="690" t="s">
        <v>549</v>
      </c>
      <c r="E11" s="660" t="s">
        <v>15</v>
      </c>
      <c r="F11" s="660"/>
      <c r="G11" s="688">
        <f>+'특3호각형맨홀(차도측)단위수량'!E9</f>
        <v>2E-3</v>
      </c>
      <c r="H11" s="688">
        <f>G11</f>
        <v>2E-3</v>
      </c>
      <c r="I11" s="687"/>
    </row>
    <row r="12" spans="1:9" ht="19.5" customHeight="1">
      <c r="A12" s="1694" t="s">
        <v>120</v>
      </c>
      <c r="B12" s="1721" t="s">
        <v>121</v>
      </c>
      <c r="C12" s="660" t="s">
        <v>102</v>
      </c>
      <c r="D12" s="660" t="s">
        <v>106</v>
      </c>
      <c r="E12" s="660" t="s">
        <v>19</v>
      </c>
      <c r="F12" s="660"/>
      <c r="G12" s="688">
        <f>'특3호각형맨홀(차도측)단위수량'!E10</f>
        <v>3.1970000000000001</v>
      </c>
      <c r="H12" s="688">
        <f>G12</f>
        <v>3.1970000000000001</v>
      </c>
      <c r="I12" s="687" t="s">
        <v>107</v>
      </c>
    </row>
    <row r="13" spans="1:9" ht="19.5" customHeight="1">
      <c r="A13" s="1695"/>
      <c r="B13" s="1722"/>
      <c r="C13" s="660" t="s">
        <v>125</v>
      </c>
      <c r="D13" s="660" t="s">
        <v>106</v>
      </c>
      <c r="E13" s="660" t="s">
        <v>19</v>
      </c>
      <c r="F13" s="660"/>
      <c r="G13" s="685">
        <f>+'특3호각형맨홀(차도측)단위수량'!E11</f>
        <v>2.52</v>
      </c>
      <c r="H13" s="685">
        <f>G13</f>
        <v>2.52</v>
      </c>
      <c r="I13" s="687" t="s">
        <v>748</v>
      </c>
    </row>
    <row r="14" spans="1:9" ht="17.100000000000001" customHeight="1">
      <c r="A14" s="1695"/>
      <c r="B14" s="1722"/>
      <c r="C14" s="1683" t="s">
        <v>108</v>
      </c>
      <c r="D14" s="1721" t="s">
        <v>106</v>
      </c>
      <c r="E14" s="1683" t="s">
        <v>19</v>
      </c>
      <c r="F14" s="1718" t="e">
        <f>F5</f>
        <v>#REF!</v>
      </c>
      <c r="G14" s="684">
        <f>+'특3호각형맨홀(차도측)단위수량'!E12</f>
        <v>12.4</v>
      </c>
      <c r="H14" s="1719" t="e">
        <f>G15</f>
        <v>#REF!</v>
      </c>
      <c r="I14" s="1684" t="s">
        <v>748</v>
      </c>
    </row>
    <row r="15" spans="1:9" ht="17.100000000000001" customHeight="1">
      <c r="A15" s="1695"/>
      <c r="B15" s="1722"/>
      <c r="C15" s="1683"/>
      <c r="D15" s="1690"/>
      <c r="E15" s="1683"/>
      <c r="F15" s="1718"/>
      <c r="G15" s="685" t="e">
        <f>F14*G14</f>
        <v>#REF!</v>
      </c>
      <c r="H15" s="1720"/>
      <c r="I15" s="1684"/>
    </row>
    <row r="16" spans="1:9" ht="23.1" customHeight="1">
      <c r="A16" s="1695"/>
      <c r="B16" s="1722"/>
      <c r="C16" s="660" t="s">
        <v>110</v>
      </c>
      <c r="D16" s="660" t="s">
        <v>111</v>
      </c>
      <c r="E16" s="660"/>
      <c r="F16" s="660"/>
      <c r="G16" s="688"/>
      <c r="H16" s="685" t="e">
        <f>SUM(H12:H15)</f>
        <v>#REF!</v>
      </c>
      <c r="I16" s="687"/>
    </row>
    <row r="17" spans="1:9" ht="23.1" customHeight="1">
      <c r="A17" s="1695"/>
      <c r="B17" s="1690"/>
      <c r="C17" s="660" t="s">
        <v>550</v>
      </c>
      <c r="D17" s="660" t="s">
        <v>551</v>
      </c>
      <c r="E17" s="660" t="s">
        <v>19</v>
      </c>
      <c r="F17" s="660"/>
      <c r="G17" s="685">
        <f>+'특3호각형맨홀(차도측)단위수량'!E13</f>
        <v>0.92</v>
      </c>
      <c r="H17" s="685">
        <f>G17</f>
        <v>0.92</v>
      </c>
      <c r="I17" s="687"/>
    </row>
    <row r="18" spans="1:9" ht="23.1" customHeight="1">
      <c r="A18" s="1695"/>
      <c r="B18" s="1683" t="s">
        <v>552</v>
      </c>
      <c r="C18" s="660" t="s">
        <v>122</v>
      </c>
      <c r="D18" s="660" t="s">
        <v>750</v>
      </c>
      <c r="E18" s="660" t="s">
        <v>19</v>
      </c>
      <c r="F18" s="660"/>
      <c r="G18" s="688">
        <f>+'특3호각형맨홀(차도측)단위수량'!E14</f>
        <v>0.47099999999999997</v>
      </c>
      <c r="H18" s="688">
        <f>G18</f>
        <v>0.47099999999999997</v>
      </c>
      <c r="I18" s="687"/>
    </row>
    <row r="19" spans="1:9" ht="23.1" customHeight="1">
      <c r="A19" s="1695"/>
      <c r="B19" s="1683"/>
      <c r="C19" s="660" t="s">
        <v>14</v>
      </c>
      <c r="D19" s="660" t="s">
        <v>750</v>
      </c>
      <c r="E19" s="660" t="s">
        <v>19</v>
      </c>
      <c r="F19" s="660"/>
      <c r="G19" s="688">
        <f>+'특3호각형맨홀(차도측)단위수량'!E15</f>
        <v>0.52800000000000002</v>
      </c>
      <c r="H19" s="688">
        <f>G19</f>
        <v>0.52800000000000002</v>
      </c>
      <c r="I19" s="687"/>
    </row>
    <row r="20" spans="1:9" ht="23.1" customHeight="1">
      <c r="A20" s="1688"/>
      <c r="B20" s="1683"/>
      <c r="C20" s="660" t="s">
        <v>268</v>
      </c>
      <c r="D20" s="660"/>
      <c r="E20" s="660"/>
      <c r="F20" s="660"/>
      <c r="G20" s="688"/>
      <c r="H20" s="685">
        <f>SUM(H18:H19)</f>
        <v>0.999</v>
      </c>
      <c r="I20" s="687"/>
    </row>
    <row r="21" spans="1:9" ht="15.95" customHeight="1">
      <c r="A21" s="1682" t="s">
        <v>4</v>
      </c>
      <c r="B21" s="1683"/>
      <c r="C21" s="1683"/>
      <c r="D21" s="1683" t="s">
        <v>126</v>
      </c>
      <c r="E21" s="1683" t="s">
        <v>112</v>
      </c>
      <c r="F21" s="1718" t="e">
        <f>F5-0.6</f>
        <v>#REF!</v>
      </c>
      <c r="G21" s="691" t="e">
        <f>F21</f>
        <v>#REF!</v>
      </c>
      <c r="H21" s="1723" t="e">
        <f>ROUNDUP(G21/G22,0)</f>
        <v>#REF!</v>
      </c>
      <c r="I21" s="1684" t="s">
        <v>113</v>
      </c>
    </row>
    <row r="22" spans="1:9" ht="15.95" customHeight="1">
      <c r="A22" s="1682"/>
      <c r="B22" s="1683"/>
      <c r="C22" s="1683"/>
      <c r="D22" s="1683"/>
      <c r="E22" s="1683"/>
      <c r="F22" s="1718"/>
      <c r="G22" s="685">
        <v>0.3</v>
      </c>
      <c r="H22" s="1723"/>
      <c r="I22" s="1684"/>
    </row>
    <row r="23" spans="1:9" ht="15.95" customHeight="1">
      <c r="A23" s="1682" t="s">
        <v>114</v>
      </c>
      <c r="B23" s="1683"/>
      <c r="C23" s="1683"/>
      <c r="D23" s="1683" t="s">
        <v>115</v>
      </c>
      <c r="E23" s="1683" t="s">
        <v>116</v>
      </c>
      <c r="F23" s="1718" t="e">
        <f>F5</f>
        <v>#REF!</v>
      </c>
      <c r="G23" s="645">
        <f>+'특3호각형맨홀(차도측)단위수량'!E17</f>
        <v>1.258</v>
      </c>
      <c r="H23" s="1719" t="e">
        <f>ROUND(G24,3)</f>
        <v>#REF!</v>
      </c>
      <c r="I23" s="1724"/>
    </row>
    <row r="24" spans="1:9" ht="15.95" customHeight="1">
      <c r="A24" s="1682"/>
      <c r="B24" s="1683"/>
      <c r="C24" s="1683"/>
      <c r="D24" s="1683"/>
      <c r="E24" s="1683"/>
      <c r="F24" s="1718"/>
      <c r="G24" s="685" t="e">
        <f>F23*G23</f>
        <v>#REF!</v>
      </c>
      <c r="H24" s="1719"/>
      <c r="I24" s="1691"/>
    </row>
    <row r="25" spans="1:9" ht="15.95" customHeight="1">
      <c r="A25" s="1682" t="s">
        <v>554</v>
      </c>
      <c r="B25" s="1683"/>
      <c r="C25" s="1683"/>
      <c r="D25" s="1683" t="s">
        <v>117</v>
      </c>
      <c r="E25" s="1683" t="s">
        <v>127</v>
      </c>
      <c r="F25" s="1718" t="e">
        <f>F5</f>
        <v>#REF!</v>
      </c>
      <c r="G25" s="691">
        <f>'특3호각형맨홀(차도측)단위수량'!E18</f>
        <v>2.5999999999999996</v>
      </c>
      <c r="H25" s="1723" t="e">
        <f>ROUND(G26,0)</f>
        <v>#REF!</v>
      </c>
      <c r="I25" s="1684"/>
    </row>
    <row r="26" spans="1:9" ht="15.95" customHeight="1">
      <c r="A26" s="1682"/>
      <c r="B26" s="1683"/>
      <c r="C26" s="1683"/>
      <c r="D26" s="1683"/>
      <c r="E26" s="1683"/>
      <c r="F26" s="1718"/>
      <c r="G26" s="692" t="e">
        <f>F25*G25</f>
        <v>#REF!</v>
      </c>
      <c r="H26" s="1723"/>
      <c r="I26" s="1684"/>
    </row>
    <row r="27" spans="1:9" ht="21" customHeight="1">
      <c r="A27" s="1682" t="s">
        <v>555</v>
      </c>
      <c r="B27" s="1683"/>
      <c r="C27" s="1683"/>
      <c r="D27" s="660" t="s">
        <v>235</v>
      </c>
      <c r="E27" s="660" t="s">
        <v>19</v>
      </c>
      <c r="F27" s="660"/>
      <c r="G27" s="692">
        <f>'특3호각형맨홀(차도측)단위수량'!E19</f>
        <v>7.35</v>
      </c>
      <c r="H27" s="693">
        <f>ROUNDUP(G27,0)</f>
        <v>8</v>
      </c>
      <c r="I27" s="687"/>
    </row>
    <row r="28" spans="1:9" ht="19.5" customHeight="1">
      <c r="A28" s="1693" t="s">
        <v>236</v>
      </c>
      <c r="B28" s="1692"/>
      <c r="C28" s="1683" t="s">
        <v>102</v>
      </c>
      <c r="D28" s="660" t="s">
        <v>238</v>
      </c>
      <c r="E28" s="660" t="s">
        <v>751</v>
      </c>
      <c r="F28" s="660"/>
      <c r="G28" s="685">
        <f>+'특3호각형맨홀(차도측)단위수량'!E20</f>
        <v>0.01</v>
      </c>
      <c r="H28" s="685">
        <f>G28</f>
        <v>0.01</v>
      </c>
      <c r="I28" s="687"/>
    </row>
    <row r="29" spans="1:9" ht="19.5" customHeight="1">
      <c r="A29" s="1693"/>
      <c r="B29" s="1692"/>
      <c r="C29" s="1683"/>
      <c r="D29" s="660" t="s">
        <v>239</v>
      </c>
      <c r="E29" s="660" t="s">
        <v>751</v>
      </c>
      <c r="F29" s="660"/>
      <c r="G29" s="688">
        <f>+'특3호각형맨홀(차도측)단위수량'!E21</f>
        <v>6.7000000000000004E-2</v>
      </c>
      <c r="H29" s="685">
        <f>G29</f>
        <v>6.7000000000000004E-2</v>
      </c>
      <c r="I29" s="687"/>
    </row>
    <row r="30" spans="1:9" ht="19.5" customHeight="1">
      <c r="A30" s="1693"/>
      <c r="B30" s="1692"/>
      <c r="C30" s="660" t="s">
        <v>3</v>
      </c>
      <c r="D30" s="660" t="s">
        <v>239</v>
      </c>
      <c r="E30" s="660" t="s">
        <v>751</v>
      </c>
      <c r="F30" s="660"/>
      <c r="G30" s="685">
        <f>+'특3호각형맨홀(차도측)단위수량'!E22</f>
        <v>9.7000000000000003E-2</v>
      </c>
      <c r="H30" s="685">
        <f>G30</f>
        <v>9.7000000000000003E-2</v>
      </c>
      <c r="I30" s="687"/>
    </row>
    <row r="31" spans="1:9" ht="17.100000000000001" customHeight="1">
      <c r="A31" s="1693"/>
      <c r="B31" s="1692"/>
      <c r="C31" s="1683" t="s">
        <v>2</v>
      </c>
      <c r="D31" s="1683" t="s">
        <v>752</v>
      </c>
      <c r="E31" s="1683" t="s">
        <v>753</v>
      </c>
      <c r="F31" s="1718" t="e">
        <f>F5</f>
        <v>#REF!</v>
      </c>
      <c r="G31" s="684">
        <f>+'특3호각형맨홀(차도측)단위수량'!E23</f>
        <v>0.112</v>
      </c>
      <c r="H31" s="1719" t="e">
        <f>ROUND(G32,3)</f>
        <v>#REF!</v>
      </c>
      <c r="I31" s="694" t="s">
        <v>754</v>
      </c>
    </row>
    <row r="32" spans="1:9" ht="17.100000000000001" customHeight="1">
      <c r="A32" s="1693"/>
      <c r="B32" s="1692"/>
      <c r="C32" s="1683"/>
      <c r="D32" s="1683"/>
      <c r="E32" s="1683"/>
      <c r="F32" s="1718"/>
      <c r="G32" s="685" t="e">
        <f>F31*G31</f>
        <v>#REF!</v>
      </c>
      <c r="H32" s="1720"/>
      <c r="I32" s="695" t="e">
        <f>SUM(H29:H32)</f>
        <v>#REF!</v>
      </c>
    </row>
    <row r="33" spans="1:9" ht="19.5" customHeight="1">
      <c r="A33" s="1693"/>
      <c r="B33" s="1692"/>
      <c r="C33" s="660" t="s">
        <v>104</v>
      </c>
      <c r="D33" s="660"/>
      <c r="E33" s="660"/>
      <c r="F33" s="660"/>
      <c r="G33" s="688"/>
      <c r="H33" s="685" t="e">
        <f>SUM(H28:H32)</f>
        <v>#REF!</v>
      </c>
      <c r="I33" s="687"/>
    </row>
    <row r="34" spans="1:9" ht="24.95" hidden="1" customHeight="1">
      <c r="A34" s="1705" t="s">
        <v>561</v>
      </c>
      <c r="B34" s="1706"/>
      <c r="C34" s="1707"/>
      <c r="D34" s="696" t="s">
        <v>562</v>
      </c>
      <c r="E34" s="660" t="s">
        <v>112</v>
      </c>
      <c r="F34" s="697"/>
      <c r="G34" s="698">
        <v>3</v>
      </c>
      <c r="H34" s="699">
        <v>3</v>
      </c>
      <c r="I34" s="700"/>
    </row>
    <row r="35" spans="1:9" ht="24.95" customHeight="1">
      <c r="A35" s="1682" t="s">
        <v>241</v>
      </c>
      <c r="B35" s="1683"/>
      <c r="C35" s="1683"/>
      <c r="D35" s="660" t="s">
        <v>413</v>
      </c>
      <c r="E35" s="660" t="s">
        <v>112</v>
      </c>
      <c r="F35" s="660"/>
      <c r="G35" s="688">
        <v>1</v>
      </c>
      <c r="H35" s="693">
        <f>G35</f>
        <v>1</v>
      </c>
      <c r="I35" s="687"/>
    </row>
    <row r="36" spans="1:9" ht="21" customHeight="1">
      <c r="A36" s="1725"/>
      <c r="B36" s="1700"/>
      <c r="C36" s="1700"/>
      <c r="D36" s="701"/>
      <c r="E36" s="701"/>
      <c r="F36" s="701"/>
      <c r="G36" s="702"/>
      <c r="H36" s="703"/>
      <c r="I36" s="704"/>
    </row>
    <row r="37" spans="1:9" ht="21.75" customHeight="1">
      <c r="G37" s="705"/>
      <c r="H37" s="705"/>
    </row>
    <row r="38" spans="1:9" ht="21.75" customHeight="1">
      <c r="G38" s="705"/>
      <c r="H38" s="705"/>
    </row>
    <row r="39" spans="1:9" ht="21.75" customHeight="1">
      <c r="G39" s="705"/>
      <c r="H39" s="705"/>
    </row>
    <row r="40" spans="1:9" ht="21.75" customHeight="1">
      <c r="G40" s="705"/>
      <c r="H40" s="705"/>
    </row>
    <row r="41" spans="1:9" ht="21.75" customHeight="1">
      <c r="G41" s="705"/>
      <c r="H41" s="705"/>
    </row>
    <row r="42" spans="1:9" ht="21.75" customHeight="1">
      <c r="G42" s="705"/>
      <c r="H42" s="705"/>
    </row>
    <row r="43" spans="1:9" ht="21.75" customHeight="1">
      <c r="G43" s="705"/>
      <c r="H43" s="705"/>
    </row>
    <row r="44" spans="1:9" ht="21.75" customHeight="1">
      <c r="G44" s="705"/>
      <c r="H44" s="705"/>
    </row>
    <row r="45" spans="1:9" ht="21.75" customHeight="1">
      <c r="G45" s="705"/>
      <c r="H45" s="705"/>
    </row>
    <row r="46" spans="1:9" ht="21.75" customHeight="1">
      <c r="G46" s="705"/>
      <c r="H46" s="705"/>
    </row>
    <row r="47" spans="1:9" ht="21.75" customHeight="1">
      <c r="G47" s="705"/>
      <c r="H47" s="705"/>
    </row>
    <row r="48" spans="1:9" ht="21.75" customHeight="1">
      <c r="G48" s="705"/>
      <c r="H48" s="705"/>
    </row>
    <row r="49" spans="7:8" ht="21.75" customHeight="1">
      <c r="G49" s="705"/>
      <c r="H49" s="705"/>
    </row>
    <row r="50" spans="7:8" ht="21.75" customHeight="1">
      <c r="G50" s="705"/>
      <c r="H50" s="705"/>
    </row>
    <row r="51" spans="7:8" ht="21.75" customHeight="1">
      <c r="G51" s="705"/>
      <c r="H51" s="705"/>
    </row>
    <row r="52" spans="7:8" ht="21.75" customHeight="1">
      <c r="G52" s="705"/>
      <c r="H52" s="705"/>
    </row>
    <row r="53" spans="7:8" ht="21.75" customHeight="1">
      <c r="G53" s="705"/>
      <c r="H53" s="705"/>
    </row>
    <row r="54" spans="7:8" ht="21.75" customHeight="1">
      <c r="G54" s="705"/>
      <c r="H54" s="705"/>
    </row>
    <row r="55" spans="7:8" ht="21.75" customHeight="1">
      <c r="G55" s="705"/>
      <c r="H55" s="705"/>
    </row>
    <row r="56" spans="7:8" ht="21.75" customHeight="1">
      <c r="G56" s="705"/>
      <c r="H56" s="705"/>
    </row>
    <row r="57" spans="7:8" ht="21.75" customHeight="1">
      <c r="G57" s="705"/>
      <c r="H57" s="705"/>
    </row>
    <row r="58" spans="7:8" ht="21.75" customHeight="1">
      <c r="G58" s="705"/>
      <c r="H58" s="705"/>
    </row>
    <row r="59" spans="7:8" ht="21.75" customHeight="1">
      <c r="G59" s="705"/>
      <c r="H59" s="705"/>
    </row>
    <row r="60" spans="7:8" ht="21.75" customHeight="1">
      <c r="G60" s="705"/>
      <c r="H60" s="705"/>
    </row>
    <row r="61" spans="7:8" ht="21.75" customHeight="1">
      <c r="G61" s="705"/>
      <c r="H61" s="705"/>
    </row>
    <row r="62" spans="7:8" ht="21.75" customHeight="1">
      <c r="G62" s="705"/>
      <c r="H62" s="705"/>
    </row>
    <row r="63" spans="7:8" ht="21.75" customHeight="1">
      <c r="G63" s="705"/>
      <c r="H63" s="705"/>
    </row>
    <row r="64" spans="7:8" ht="21.75" customHeight="1">
      <c r="G64" s="705"/>
      <c r="H64" s="705"/>
    </row>
    <row r="65" spans="7:8" ht="21.75" customHeight="1">
      <c r="G65" s="705"/>
      <c r="H65" s="705"/>
    </row>
    <row r="66" spans="7:8" ht="21.75" customHeight="1">
      <c r="G66" s="705"/>
      <c r="H66" s="705"/>
    </row>
    <row r="67" spans="7:8" ht="21.75" customHeight="1">
      <c r="G67" s="705"/>
      <c r="H67" s="705"/>
    </row>
    <row r="68" spans="7:8" ht="21.75" customHeight="1">
      <c r="G68" s="705"/>
      <c r="H68" s="705"/>
    </row>
    <row r="69" spans="7:8" ht="21.75" customHeight="1">
      <c r="G69" s="705"/>
      <c r="H69" s="705"/>
    </row>
    <row r="70" spans="7:8" ht="21.75" customHeight="1">
      <c r="G70" s="705"/>
      <c r="H70" s="705"/>
    </row>
    <row r="71" spans="7:8" ht="21.75" customHeight="1">
      <c r="G71" s="705"/>
      <c r="H71" s="705"/>
    </row>
    <row r="72" spans="7:8" ht="21.75" customHeight="1">
      <c r="G72" s="705"/>
      <c r="H72" s="705"/>
    </row>
    <row r="73" spans="7:8" ht="21.75" customHeight="1">
      <c r="G73" s="705"/>
      <c r="H73" s="705"/>
    </row>
    <row r="74" spans="7:8" ht="21.75" customHeight="1">
      <c r="G74" s="705"/>
      <c r="H74" s="705"/>
    </row>
    <row r="75" spans="7:8" ht="21.75" customHeight="1">
      <c r="G75" s="705"/>
      <c r="H75" s="705"/>
    </row>
    <row r="76" spans="7:8" ht="21.75" customHeight="1">
      <c r="G76" s="705"/>
      <c r="H76" s="705"/>
    </row>
    <row r="77" spans="7:8" ht="21.75" customHeight="1">
      <c r="G77" s="705"/>
      <c r="H77" s="705"/>
    </row>
    <row r="78" spans="7:8" ht="21.75" customHeight="1">
      <c r="G78" s="705"/>
      <c r="H78" s="705"/>
    </row>
    <row r="79" spans="7:8" ht="21.75" customHeight="1">
      <c r="G79" s="705"/>
      <c r="H79" s="705"/>
    </row>
    <row r="80" spans="7:8" ht="21.75" customHeight="1">
      <c r="G80" s="705"/>
      <c r="H80" s="705"/>
    </row>
    <row r="81" spans="7:8" ht="21.75" customHeight="1">
      <c r="G81" s="705"/>
      <c r="H81" s="705"/>
    </row>
    <row r="82" spans="7:8" ht="21.75" customHeight="1">
      <c r="G82" s="705"/>
      <c r="H82" s="705"/>
    </row>
    <row r="83" spans="7:8" ht="21.75" customHeight="1">
      <c r="G83" s="705"/>
      <c r="H83" s="705"/>
    </row>
    <row r="84" spans="7:8" ht="21.75" customHeight="1">
      <c r="G84" s="705"/>
      <c r="H84" s="705"/>
    </row>
    <row r="85" spans="7:8" ht="21.75" customHeight="1">
      <c r="G85" s="705"/>
      <c r="H85" s="705"/>
    </row>
    <row r="86" spans="7:8" ht="21.75" customHeight="1">
      <c r="G86" s="705"/>
      <c r="H86" s="705"/>
    </row>
    <row r="87" spans="7:8" ht="21.75" customHeight="1">
      <c r="G87" s="705"/>
      <c r="H87" s="705"/>
    </row>
    <row r="88" spans="7:8" ht="21.75" customHeight="1">
      <c r="G88" s="705"/>
      <c r="H88" s="705"/>
    </row>
    <row r="89" spans="7:8" ht="21.75" customHeight="1">
      <c r="G89" s="705"/>
      <c r="H89" s="705"/>
    </row>
    <row r="90" spans="7:8" ht="21.75" customHeight="1">
      <c r="G90" s="705"/>
      <c r="H90" s="705"/>
    </row>
    <row r="91" spans="7:8" ht="21.75" customHeight="1">
      <c r="G91" s="705"/>
      <c r="H91" s="705"/>
    </row>
    <row r="92" spans="7:8" ht="21.75" customHeight="1">
      <c r="G92" s="705"/>
      <c r="H92" s="705"/>
    </row>
    <row r="93" spans="7:8" ht="21.75" customHeight="1">
      <c r="G93" s="705"/>
      <c r="H93" s="705"/>
    </row>
    <row r="94" spans="7:8" ht="21.75" customHeight="1">
      <c r="G94" s="705"/>
      <c r="H94" s="705"/>
    </row>
    <row r="95" spans="7:8" ht="21.75" customHeight="1">
      <c r="G95" s="705"/>
      <c r="H95" s="705"/>
    </row>
    <row r="96" spans="7:8" ht="21.75" customHeight="1">
      <c r="G96" s="705"/>
      <c r="H96" s="705"/>
    </row>
    <row r="97" spans="7:8" ht="21.75" customHeight="1">
      <c r="G97" s="705"/>
      <c r="H97" s="705"/>
    </row>
    <row r="98" spans="7:8" ht="21.75" customHeight="1">
      <c r="G98" s="705"/>
      <c r="H98" s="705"/>
    </row>
    <row r="99" spans="7:8" ht="21.75" customHeight="1">
      <c r="G99" s="705"/>
      <c r="H99" s="705"/>
    </row>
    <row r="100" spans="7:8" ht="21.75" customHeight="1">
      <c r="G100" s="705"/>
      <c r="H100" s="705"/>
    </row>
    <row r="101" spans="7:8" ht="21.75" customHeight="1">
      <c r="G101" s="705"/>
      <c r="H101" s="705"/>
    </row>
    <row r="102" spans="7:8" ht="21.75" customHeight="1">
      <c r="G102" s="705"/>
      <c r="H102" s="705"/>
    </row>
    <row r="103" spans="7:8" ht="21.75" customHeight="1">
      <c r="G103" s="705"/>
      <c r="H103" s="705"/>
    </row>
    <row r="104" spans="7:8" ht="21.75" customHeight="1">
      <c r="G104" s="705"/>
      <c r="H104" s="705"/>
    </row>
    <row r="105" spans="7:8" ht="21.75" customHeight="1">
      <c r="G105" s="705"/>
      <c r="H105" s="705"/>
    </row>
    <row r="106" spans="7:8" ht="21.75" customHeight="1">
      <c r="G106" s="705"/>
      <c r="H106" s="705"/>
    </row>
    <row r="107" spans="7:8" ht="21.75" customHeight="1">
      <c r="G107" s="705"/>
      <c r="H107" s="705"/>
    </row>
    <row r="108" spans="7:8" ht="21.75" customHeight="1">
      <c r="G108" s="705"/>
      <c r="H108" s="705"/>
    </row>
    <row r="109" spans="7:8" ht="21.75" customHeight="1">
      <c r="G109" s="705"/>
      <c r="H109" s="705"/>
    </row>
    <row r="110" spans="7:8" ht="21.75" customHeight="1">
      <c r="G110" s="705"/>
      <c r="H110" s="705"/>
    </row>
    <row r="111" spans="7:8" ht="21.75" customHeight="1">
      <c r="G111" s="705"/>
      <c r="H111" s="705"/>
    </row>
    <row r="112" spans="7:8" ht="21.75" customHeight="1">
      <c r="G112" s="705"/>
      <c r="H112" s="705"/>
    </row>
    <row r="113" spans="7:8" ht="21.75" customHeight="1">
      <c r="G113" s="705"/>
      <c r="H113" s="705"/>
    </row>
    <row r="114" spans="7:8" ht="21.75" customHeight="1">
      <c r="G114" s="705"/>
      <c r="H114" s="705"/>
    </row>
    <row r="115" spans="7:8" ht="21.75" customHeight="1">
      <c r="G115" s="705"/>
      <c r="H115" s="705"/>
    </row>
    <row r="116" spans="7:8" ht="21.75" customHeight="1">
      <c r="G116" s="705"/>
      <c r="H116" s="705"/>
    </row>
    <row r="117" spans="7:8" ht="21.75" customHeight="1">
      <c r="G117" s="705"/>
      <c r="H117" s="705"/>
    </row>
    <row r="118" spans="7:8" ht="21.75" customHeight="1">
      <c r="G118" s="705"/>
      <c r="H118" s="705"/>
    </row>
    <row r="119" spans="7:8" ht="21.75" customHeight="1">
      <c r="G119" s="705"/>
      <c r="H119" s="705"/>
    </row>
    <row r="120" spans="7:8" ht="21.75" customHeight="1">
      <c r="G120" s="705"/>
      <c r="H120" s="705"/>
    </row>
    <row r="121" spans="7:8" ht="21.75" customHeight="1">
      <c r="G121" s="705"/>
      <c r="H121" s="705"/>
    </row>
    <row r="122" spans="7:8" ht="21.75" customHeight="1">
      <c r="G122" s="705"/>
      <c r="H122" s="705"/>
    </row>
    <row r="123" spans="7:8" ht="21.75" customHeight="1">
      <c r="G123" s="705"/>
      <c r="H123" s="705"/>
    </row>
    <row r="124" spans="7:8" ht="21.75" customHeight="1">
      <c r="G124" s="705"/>
      <c r="H124" s="705"/>
    </row>
    <row r="125" spans="7:8" ht="21.75" customHeight="1">
      <c r="G125" s="705"/>
      <c r="H125" s="705"/>
    </row>
    <row r="126" spans="7:8" ht="21.75" customHeight="1">
      <c r="G126" s="705"/>
      <c r="H126" s="705"/>
    </row>
    <row r="127" spans="7:8" ht="21.75" customHeight="1">
      <c r="G127" s="705"/>
      <c r="H127" s="705"/>
    </row>
    <row r="128" spans="7:8" ht="21.75" customHeight="1">
      <c r="G128" s="705"/>
      <c r="H128" s="705"/>
    </row>
    <row r="129" spans="7:8" ht="21.75" customHeight="1">
      <c r="G129" s="705"/>
      <c r="H129" s="705"/>
    </row>
    <row r="130" spans="7:8" ht="21.75" customHeight="1">
      <c r="G130" s="705"/>
      <c r="H130" s="705"/>
    </row>
    <row r="131" spans="7:8" ht="21.75" customHeight="1">
      <c r="G131" s="705"/>
      <c r="H131" s="705"/>
    </row>
    <row r="132" spans="7:8" ht="21.75" customHeight="1">
      <c r="G132" s="705"/>
      <c r="H132" s="705"/>
    </row>
    <row r="133" spans="7:8" ht="21.75" customHeight="1">
      <c r="G133" s="705"/>
      <c r="H133" s="705"/>
    </row>
    <row r="134" spans="7:8" ht="21.75" customHeight="1">
      <c r="G134" s="705"/>
      <c r="H134" s="705"/>
    </row>
    <row r="135" spans="7:8" ht="21.75" customHeight="1">
      <c r="G135" s="705"/>
      <c r="H135" s="705"/>
    </row>
    <row r="136" spans="7:8" ht="21.75" customHeight="1">
      <c r="G136" s="705"/>
      <c r="H136" s="705"/>
    </row>
    <row r="137" spans="7:8" ht="21.75" customHeight="1">
      <c r="G137" s="705"/>
      <c r="H137" s="705"/>
    </row>
    <row r="138" spans="7:8" ht="21.75" customHeight="1">
      <c r="G138" s="705"/>
      <c r="H138" s="705"/>
    </row>
    <row r="139" spans="7:8" ht="21.75" customHeight="1">
      <c r="G139" s="705"/>
      <c r="H139" s="705"/>
    </row>
    <row r="140" spans="7:8" ht="21.75" customHeight="1">
      <c r="G140" s="705"/>
      <c r="H140" s="705"/>
    </row>
    <row r="141" spans="7:8" ht="21.75" customHeight="1">
      <c r="G141" s="705"/>
      <c r="H141" s="705"/>
    </row>
    <row r="142" spans="7:8" ht="21.75" customHeight="1">
      <c r="G142" s="705"/>
      <c r="H142" s="705"/>
    </row>
    <row r="143" spans="7:8" ht="21.75" customHeight="1">
      <c r="G143" s="705"/>
      <c r="H143" s="705"/>
    </row>
    <row r="144" spans="7:8" ht="21.75" customHeight="1">
      <c r="G144" s="705"/>
      <c r="H144" s="705"/>
    </row>
    <row r="145" spans="7:8" ht="21.75" customHeight="1">
      <c r="G145" s="705"/>
      <c r="H145" s="705"/>
    </row>
    <row r="146" spans="7:8" ht="21.75" customHeight="1">
      <c r="G146" s="705"/>
      <c r="H146" s="705"/>
    </row>
    <row r="147" spans="7:8" ht="21.75" customHeight="1">
      <c r="G147" s="705"/>
      <c r="H147" s="705"/>
    </row>
    <row r="148" spans="7:8" ht="21.75" customHeight="1">
      <c r="G148" s="705"/>
      <c r="H148" s="705"/>
    </row>
    <row r="149" spans="7:8" ht="21.75" customHeight="1">
      <c r="G149" s="705"/>
      <c r="H149" s="705"/>
    </row>
    <row r="150" spans="7:8" ht="21.75" customHeight="1">
      <c r="G150" s="705"/>
      <c r="H150" s="705"/>
    </row>
    <row r="151" spans="7:8" ht="21.75" customHeight="1">
      <c r="G151" s="705"/>
      <c r="H151" s="705"/>
    </row>
    <row r="152" spans="7:8" ht="21.75" customHeight="1">
      <c r="G152" s="705"/>
      <c r="H152" s="705"/>
    </row>
    <row r="153" spans="7:8" ht="21.75" customHeight="1">
      <c r="G153" s="705"/>
      <c r="H153" s="705"/>
    </row>
    <row r="154" spans="7:8" ht="21.75" customHeight="1">
      <c r="G154" s="705"/>
      <c r="H154" s="705"/>
    </row>
    <row r="155" spans="7:8" ht="21.75" customHeight="1">
      <c r="G155" s="705"/>
      <c r="H155" s="705"/>
    </row>
    <row r="156" spans="7:8" ht="21.75" customHeight="1">
      <c r="G156" s="705"/>
      <c r="H156" s="705"/>
    </row>
    <row r="157" spans="7:8" ht="21.75" customHeight="1">
      <c r="G157" s="705"/>
      <c r="H157" s="705"/>
    </row>
    <row r="158" spans="7:8" ht="21.75" customHeight="1">
      <c r="G158" s="705"/>
      <c r="H158" s="705"/>
    </row>
    <row r="159" spans="7:8" ht="21.75" customHeight="1">
      <c r="G159" s="705"/>
      <c r="H159" s="705"/>
    </row>
    <row r="160" spans="7:8" ht="21.75" customHeight="1">
      <c r="G160" s="705"/>
      <c r="H160" s="705"/>
    </row>
    <row r="161" spans="7:8" ht="21.75" customHeight="1">
      <c r="G161" s="705"/>
      <c r="H161" s="705"/>
    </row>
    <row r="162" spans="7:8" ht="21.75" customHeight="1">
      <c r="G162" s="705"/>
      <c r="H162" s="705"/>
    </row>
    <row r="163" spans="7:8" ht="21.75" customHeight="1">
      <c r="G163" s="705"/>
      <c r="H163" s="705"/>
    </row>
    <row r="164" spans="7:8" ht="21.75" customHeight="1">
      <c r="G164" s="705"/>
      <c r="H164" s="705"/>
    </row>
    <row r="165" spans="7:8" ht="21.75" customHeight="1">
      <c r="G165" s="705"/>
      <c r="H165" s="705"/>
    </row>
    <row r="166" spans="7:8" ht="21.75" customHeight="1">
      <c r="G166" s="705"/>
      <c r="H166" s="705"/>
    </row>
  </sheetData>
  <mergeCells count="53">
    <mergeCell ref="F31:F32"/>
    <mergeCell ref="H31:H32"/>
    <mergeCell ref="A34:C34"/>
    <mergeCell ref="A35:C35"/>
    <mergeCell ref="A36:C36"/>
    <mergeCell ref="E31:E32"/>
    <mergeCell ref="A27:C27"/>
    <mergeCell ref="A28:B33"/>
    <mergeCell ref="C28:C29"/>
    <mergeCell ref="C31:C32"/>
    <mergeCell ref="D31:D32"/>
    <mergeCell ref="I25:I26"/>
    <mergeCell ref="A23:C24"/>
    <mergeCell ref="D23:D24"/>
    <mergeCell ref="E23:E24"/>
    <mergeCell ref="F23:F24"/>
    <mergeCell ref="H23:H24"/>
    <mergeCell ref="I23:I24"/>
    <mergeCell ref="A25:C26"/>
    <mergeCell ref="D25:D26"/>
    <mergeCell ref="E25:E26"/>
    <mergeCell ref="F25:F26"/>
    <mergeCell ref="H25:H26"/>
    <mergeCell ref="I21:I22"/>
    <mergeCell ref="A12:A20"/>
    <mergeCell ref="B12:B17"/>
    <mergeCell ref="C14:C15"/>
    <mergeCell ref="D14:D15"/>
    <mergeCell ref="E14:E15"/>
    <mergeCell ref="A21:C22"/>
    <mergeCell ref="D21:D22"/>
    <mergeCell ref="E21:E22"/>
    <mergeCell ref="F21:F22"/>
    <mergeCell ref="H21:H22"/>
    <mergeCell ref="A11:C11"/>
    <mergeCell ref="F14:F15"/>
    <mergeCell ref="H14:H15"/>
    <mergeCell ref="I14:I15"/>
    <mergeCell ref="B18:B20"/>
    <mergeCell ref="A1:I1"/>
    <mergeCell ref="A3:C3"/>
    <mergeCell ref="A4:A10"/>
    <mergeCell ref="B4:C4"/>
    <mergeCell ref="B5:B7"/>
    <mergeCell ref="C5:C6"/>
    <mergeCell ref="D5:D6"/>
    <mergeCell ref="E5:E6"/>
    <mergeCell ref="F5:F6"/>
    <mergeCell ref="H5:H6"/>
    <mergeCell ref="I5:I6"/>
    <mergeCell ref="B8:C8"/>
    <mergeCell ref="B9:C9"/>
    <mergeCell ref="B10:C10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scale="94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tabColor rgb="FFFFC000"/>
  </sheetPr>
  <dimension ref="A1:I26"/>
  <sheetViews>
    <sheetView workbookViewId="0">
      <selection sqref="A1:I1"/>
    </sheetView>
  </sheetViews>
  <sheetFormatPr defaultRowHeight="21.75" customHeight="1"/>
  <cols>
    <col min="1" max="1" width="4" style="635" customWidth="1"/>
    <col min="2" max="2" width="4.77734375" style="635" customWidth="1"/>
    <col min="3" max="3" width="9.88671875" style="635" customWidth="1"/>
    <col min="4" max="4" width="35.77734375" style="635" customWidth="1"/>
    <col min="5" max="5" width="6.77734375" style="635" customWidth="1"/>
    <col min="6" max="6" width="4.88671875" style="635" customWidth="1"/>
    <col min="7" max="7" width="3" style="635" customWidth="1"/>
    <col min="8" max="8" width="4.77734375" style="635" customWidth="1"/>
    <col min="9" max="9" width="4.109375" style="635" customWidth="1"/>
    <col min="10" max="256" width="8.88671875" style="635"/>
    <col min="257" max="257" width="4" style="635" customWidth="1"/>
    <col min="258" max="258" width="4.77734375" style="635" customWidth="1"/>
    <col min="259" max="259" width="9.88671875" style="635" customWidth="1"/>
    <col min="260" max="260" width="35.77734375" style="635" customWidth="1"/>
    <col min="261" max="261" width="6.77734375" style="635" customWidth="1"/>
    <col min="262" max="262" width="4.88671875" style="635" customWidth="1"/>
    <col min="263" max="263" width="3" style="635" customWidth="1"/>
    <col min="264" max="264" width="4.77734375" style="635" customWidth="1"/>
    <col min="265" max="265" width="4.109375" style="635" customWidth="1"/>
    <col min="266" max="512" width="8.88671875" style="635"/>
    <col min="513" max="513" width="4" style="635" customWidth="1"/>
    <col min="514" max="514" width="4.77734375" style="635" customWidth="1"/>
    <col min="515" max="515" width="9.88671875" style="635" customWidth="1"/>
    <col min="516" max="516" width="35.77734375" style="635" customWidth="1"/>
    <col min="517" max="517" width="6.77734375" style="635" customWidth="1"/>
    <col min="518" max="518" width="4.88671875" style="635" customWidth="1"/>
    <col min="519" max="519" width="3" style="635" customWidth="1"/>
    <col min="520" max="520" width="4.77734375" style="635" customWidth="1"/>
    <col min="521" max="521" width="4.109375" style="635" customWidth="1"/>
    <col min="522" max="768" width="8.88671875" style="635"/>
    <col min="769" max="769" width="4" style="635" customWidth="1"/>
    <col min="770" max="770" width="4.77734375" style="635" customWidth="1"/>
    <col min="771" max="771" width="9.88671875" style="635" customWidth="1"/>
    <col min="772" max="772" width="35.77734375" style="635" customWidth="1"/>
    <col min="773" max="773" width="6.77734375" style="635" customWidth="1"/>
    <col min="774" max="774" width="4.88671875" style="635" customWidth="1"/>
    <col min="775" max="775" width="3" style="635" customWidth="1"/>
    <col min="776" max="776" width="4.77734375" style="635" customWidth="1"/>
    <col min="777" max="777" width="4.109375" style="635" customWidth="1"/>
    <col min="778" max="1024" width="8.88671875" style="635"/>
    <col min="1025" max="1025" width="4" style="635" customWidth="1"/>
    <col min="1026" max="1026" width="4.77734375" style="635" customWidth="1"/>
    <col min="1027" max="1027" width="9.88671875" style="635" customWidth="1"/>
    <col min="1028" max="1028" width="35.77734375" style="635" customWidth="1"/>
    <col min="1029" max="1029" width="6.77734375" style="635" customWidth="1"/>
    <col min="1030" max="1030" width="4.88671875" style="635" customWidth="1"/>
    <col min="1031" max="1031" width="3" style="635" customWidth="1"/>
    <col min="1032" max="1032" width="4.77734375" style="635" customWidth="1"/>
    <col min="1033" max="1033" width="4.109375" style="635" customWidth="1"/>
    <col min="1034" max="1280" width="8.88671875" style="635"/>
    <col min="1281" max="1281" width="4" style="635" customWidth="1"/>
    <col min="1282" max="1282" width="4.77734375" style="635" customWidth="1"/>
    <col min="1283" max="1283" width="9.88671875" style="635" customWidth="1"/>
    <col min="1284" max="1284" width="35.77734375" style="635" customWidth="1"/>
    <col min="1285" max="1285" width="6.77734375" style="635" customWidth="1"/>
    <col min="1286" max="1286" width="4.88671875" style="635" customWidth="1"/>
    <col min="1287" max="1287" width="3" style="635" customWidth="1"/>
    <col min="1288" max="1288" width="4.77734375" style="635" customWidth="1"/>
    <col min="1289" max="1289" width="4.109375" style="635" customWidth="1"/>
    <col min="1290" max="1536" width="8.88671875" style="635"/>
    <col min="1537" max="1537" width="4" style="635" customWidth="1"/>
    <col min="1538" max="1538" width="4.77734375" style="635" customWidth="1"/>
    <col min="1539" max="1539" width="9.88671875" style="635" customWidth="1"/>
    <col min="1540" max="1540" width="35.77734375" style="635" customWidth="1"/>
    <col min="1541" max="1541" width="6.77734375" style="635" customWidth="1"/>
    <col min="1542" max="1542" width="4.88671875" style="635" customWidth="1"/>
    <col min="1543" max="1543" width="3" style="635" customWidth="1"/>
    <col min="1544" max="1544" width="4.77734375" style="635" customWidth="1"/>
    <col min="1545" max="1545" width="4.109375" style="635" customWidth="1"/>
    <col min="1546" max="1792" width="8.88671875" style="635"/>
    <col min="1793" max="1793" width="4" style="635" customWidth="1"/>
    <col min="1794" max="1794" width="4.77734375" style="635" customWidth="1"/>
    <col min="1795" max="1795" width="9.88671875" style="635" customWidth="1"/>
    <col min="1796" max="1796" width="35.77734375" style="635" customWidth="1"/>
    <col min="1797" max="1797" width="6.77734375" style="635" customWidth="1"/>
    <col min="1798" max="1798" width="4.88671875" style="635" customWidth="1"/>
    <col min="1799" max="1799" width="3" style="635" customWidth="1"/>
    <col min="1800" max="1800" width="4.77734375" style="635" customWidth="1"/>
    <col min="1801" max="1801" width="4.109375" style="635" customWidth="1"/>
    <col min="1802" max="2048" width="8.88671875" style="635"/>
    <col min="2049" max="2049" width="4" style="635" customWidth="1"/>
    <col min="2050" max="2050" width="4.77734375" style="635" customWidth="1"/>
    <col min="2051" max="2051" width="9.88671875" style="635" customWidth="1"/>
    <col min="2052" max="2052" width="35.77734375" style="635" customWidth="1"/>
    <col min="2053" max="2053" width="6.77734375" style="635" customWidth="1"/>
    <col min="2054" max="2054" width="4.88671875" style="635" customWidth="1"/>
    <col min="2055" max="2055" width="3" style="635" customWidth="1"/>
    <col min="2056" max="2056" width="4.77734375" style="635" customWidth="1"/>
    <col min="2057" max="2057" width="4.109375" style="635" customWidth="1"/>
    <col min="2058" max="2304" width="8.88671875" style="635"/>
    <col min="2305" max="2305" width="4" style="635" customWidth="1"/>
    <col min="2306" max="2306" width="4.77734375" style="635" customWidth="1"/>
    <col min="2307" max="2307" width="9.88671875" style="635" customWidth="1"/>
    <col min="2308" max="2308" width="35.77734375" style="635" customWidth="1"/>
    <col min="2309" max="2309" width="6.77734375" style="635" customWidth="1"/>
    <col min="2310" max="2310" width="4.88671875" style="635" customWidth="1"/>
    <col min="2311" max="2311" width="3" style="635" customWidth="1"/>
    <col min="2312" max="2312" width="4.77734375" style="635" customWidth="1"/>
    <col min="2313" max="2313" width="4.109375" style="635" customWidth="1"/>
    <col min="2314" max="2560" width="8.88671875" style="635"/>
    <col min="2561" max="2561" width="4" style="635" customWidth="1"/>
    <col min="2562" max="2562" width="4.77734375" style="635" customWidth="1"/>
    <col min="2563" max="2563" width="9.88671875" style="635" customWidth="1"/>
    <col min="2564" max="2564" width="35.77734375" style="635" customWidth="1"/>
    <col min="2565" max="2565" width="6.77734375" style="635" customWidth="1"/>
    <col min="2566" max="2566" width="4.88671875" style="635" customWidth="1"/>
    <col min="2567" max="2567" width="3" style="635" customWidth="1"/>
    <col min="2568" max="2568" width="4.77734375" style="635" customWidth="1"/>
    <col min="2569" max="2569" width="4.109375" style="635" customWidth="1"/>
    <col min="2570" max="2816" width="8.88671875" style="635"/>
    <col min="2817" max="2817" width="4" style="635" customWidth="1"/>
    <col min="2818" max="2818" width="4.77734375" style="635" customWidth="1"/>
    <col min="2819" max="2819" width="9.88671875" style="635" customWidth="1"/>
    <col min="2820" max="2820" width="35.77734375" style="635" customWidth="1"/>
    <col min="2821" max="2821" width="6.77734375" style="635" customWidth="1"/>
    <col min="2822" max="2822" width="4.88671875" style="635" customWidth="1"/>
    <col min="2823" max="2823" width="3" style="635" customWidth="1"/>
    <col min="2824" max="2824" width="4.77734375" style="635" customWidth="1"/>
    <col min="2825" max="2825" width="4.109375" style="635" customWidth="1"/>
    <col min="2826" max="3072" width="8.88671875" style="635"/>
    <col min="3073" max="3073" width="4" style="635" customWidth="1"/>
    <col min="3074" max="3074" width="4.77734375" style="635" customWidth="1"/>
    <col min="3075" max="3075" width="9.88671875" style="635" customWidth="1"/>
    <col min="3076" max="3076" width="35.77734375" style="635" customWidth="1"/>
    <col min="3077" max="3077" width="6.77734375" style="635" customWidth="1"/>
    <col min="3078" max="3078" width="4.88671875" style="635" customWidth="1"/>
    <col min="3079" max="3079" width="3" style="635" customWidth="1"/>
    <col min="3080" max="3080" width="4.77734375" style="635" customWidth="1"/>
    <col min="3081" max="3081" width="4.109375" style="635" customWidth="1"/>
    <col min="3082" max="3328" width="8.88671875" style="635"/>
    <col min="3329" max="3329" width="4" style="635" customWidth="1"/>
    <col min="3330" max="3330" width="4.77734375" style="635" customWidth="1"/>
    <col min="3331" max="3331" width="9.88671875" style="635" customWidth="1"/>
    <col min="3332" max="3332" width="35.77734375" style="635" customWidth="1"/>
    <col min="3333" max="3333" width="6.77734375" style="635" customWidth="1"/>
    <col min="3334" max="3334" width="4.88671875" style="635" customWidth="1"/>
    <col min="3335" max="3335" width="3" style="635" customWidth="1"/>
    <col min="3336" max="3336" width="4.77734375" style="635" customWidth="1"/>
    <col min="3337" max="3337" width="4.109375" style="635" customWidth="1"/>
    <col min="3338" max="3584" width="8.88671875" style="635"/>
    <col min="3585" max="3585" width="4" style="635" customWidth="1"/>
    <col min="3586" max="3586" width="4.77734375" style="635" customWidth="1"/>
    <col min="3587" max="3587" width="9.88671875" style="635" customWidth="1"/>
    <col min="3588" max="3588" width="35.77734375" style="635" customWidth="1"/>
    <col min="3589" max="3589" width="6.77734375" style="635" customWidth="1"/>
    <col min="3590" max="3590" width="4.88671875" style="635" customWidth="1"/>
    <col min="3591" max="3591" width="3" style="635" customWidth="1"/>
    <col min="3592" max="3592" width="4.77734375" style="635" customWidth="1"/>
    <col min="3593" max="3593" width="4.109375" style="635" customWidth="1"/>
    <col min="3594" max="3840" width="8.88671875" style="635"/>
    <col min="3841" max="3841" width="4" style="635" customWidth="1"/>
    <col min="3842" max="3842" width="4.77734375" style="635" customWidth="1"/>
    <col min="3843" max="3843" width="9.88671875" style="635" customWidth="1"/>
    <col min="3844" max="3844" width="35.77734375" style="635" customWidth="1"/>
    <col min="3845" max="3845" width="6.77734375" style="635" customWidth="1"/>
    <col min="3846" max="3846" width="4.88671875" style="635" customWidth="1"/>
    <col min="3847" max="3847" width="3" style="635" customWidth="1"/>
    <col min="3848" max="3848" width="4.77734375" style="635" customWidth="1"/>
    <col min="3849" max="3849" width="4.109375" style="635" customWidth="1"/>
    <col min="3850" max="4096" width="8.88671875" style="635"/>
    <col min="4097" max="4097" width="4" style="635" customWidth="1"/>
    <col min="4098" max="4098" width="4.77734375" style="635" customWidth="1"/>
    <col min="4099" max="4099" width="9.88671875" style="635" customWidth="1"/>
    <col min="4100" max="4100" width="35.77734375" style="635" customWidth="1"/>
    <col min="4101" max="4101" width="6.77734375" style="635" customWidth="1"/>
    <col min="4102" max="4102" width="4.88671875" style="635" customWidth="1"/>
    <col min="4103" max="4103" width="3" style="635" customWidth="1"/>
    <col min="4104" max="4104" width="4.77734375" style="635" customWidth="1"/>
    <col min="4105" max="4105" width="4.109375" style="635" customWidth="1"/>
    <col min="4106" max="4352" width="8.88671875" style="635"/>
    <col min="4353" max="4353" width="4" style="635" customWidth="1"/>
    <col min="4354" max="4354" width="4.77734375" style="635" customWidth="1"/>
    <col min="4355" max="4355" width="9.88671875" style="635" customWidth="1"/>
    <col min="4356" max="4356" width="35.77734375" style="635" customWidth="1"/>
    <col min="4357" max="4357" width="6.77734375" style="635" customWidth="1"/>
    <col min="4358" max="4358" width="4.88671875" style="635" customWidth="1"/>
    <col min="4359" max="4359" width="3" style="635" customWidth="1"/>
    <col min="4360" max="4360" width="4.77734375" style="635" customWidth="1"/>
    <col min="4361" max="4361" width="4.109375" style="635" customWidth="1"/>
    <col min="4362" max="4608" width="8.88671875" style="635"/>
    <col min="4609" max="4609" width="4" style="635" customWidth="1"/>
    <col min="4610" max="4610" width="4.77734375" style="635" customWidth="1"/>
    <col min="4611" max="4611" width="9.88671875" style="635" customWidth="1"/>
    <col min="4612" max="4612" width="35.77734375" style="635" customWidth="1"/>
    <col min="4613" max="4613" width="6.77734375" style="635" customWidth="1"/>
    <col min="4614" max="4614" width="4.88671875" style="635" customWidth="1"/>
    <col min="4615" max="4615" width="3" style="635" customWidth="1"/>
    <col min="4616" max="4616" width="4.77734375" style="635" customWidth="1"/>
    <col min="4617" max="4617" width="4.109375" style="635" customWidth="1"/>
    <col min="4618" max="4864" width="8.88671875" style="635"/>
    <col min="4865" max="4865" width="4" style="635" customWidth="1"/>
    <col min="4866" max="4866" width="4.77734375" style="635" customWidth="1"/>
    <col min="4867" max="4867" width="9.88671875" style="635" customWidth="1"/>
    <col min="4868" max="4868" width="35.77734375" style="635" customWidth="1"/>
    <col min="4869" max="4869" width="6.77734375" style="635" customWidth="1"/>
    <col min="4870" max="4870" width="4.88671875" style="635" customWidth="1"/>
    <col min="4871" max="4871" width="3" style="635" customWidth="1"/>
    <col min="4872" max="4872" width="4.77734375" style="635" customWidth="1"/>
    <col min="4873" max="4873" width="4.109375" style="635" customWidth="1"/>
    <col min="4874" max="5120" width="8.88671875" style="635"/>
    <col min="5121" max="5121" width="4" style="635" customWidth="1"/>
    <col min="5122" max="5122" width="4.77734375" style="635" customWidth="1"/>
    <col min="5123" max="5123" width="9.88671875" style="635" customWidth="1"/>
    <col min="5124" max="5124" width="35.77734375" style="635" customWidth="1"/>
    <col min="5125" max="5125" width="6.77734375" style="635" customWidth="1"/>
    <col min="5126" max="5126" width="4.88671875" style="635" customWidth="1"/>
    <col min="5127" max="5127" width="3" style="635" customWidth="1"/>
    <col min="5128" max="5128" width="4.77734375" style="635" customWidth="1"/>
    <col min="5129" max="5129" width="4.109375" style="635" customWidth="1"/>
    <col min="5130" max="5376" width="8.88671875" style="635"/>
    <col min="5377" max="5377" width="4" style="635" customWidth="1"/>
    <col min="5378" max="5378" width="4.77734375" style="635" customWidth="1"/>
    <col min="5379" max="5379" width="9.88671875" style="635" customWidth="1"/>
    <col min="5380" max="5380" width="35.77734375" style="635" customWidth="1"/>
    <col min="5381" max="5381" width="6.77734375" style="635" customWidth="1"/>
    <col min="5382" max="5382" width="4.88671875" style="635" customWidth="1"/>
    <col min="5383" max="5383" width="3" style="635" customWidth="1"/>
    <col min="5384" max="5384" width="4.77734375" style="635" customWidth="1"/>
    <col min="5385" max="5385" width="4.109375" style="635" customWidth="1"/>
    <col min="5386" max="5632" width="8.88671875" style="635"/>
    <col min="5633" max="5633" width="4" style="635" customWidth="1"/>
    <col min="5634" max="5634" width="4.77734375" style="635" customWidth="1"/>
    <col min="5635" max="5635" width="9.88671875" style="635" customWidth="1"/>
    <col min="5636" max="5636" width="35.77734375" style="635" customWidth="1"/>
    <col min="5637" max="5637" width="6.77734375" style="635" customWidth="1"/>
    <col min="5638" max="5638" width="4.88671875" style="635" customWidth="1"/>
    <col min="5639" max="5639" width="3" style="635" customWidth="1"/>
    <col min="5640" max="5640" width="4.77734375" style="635" customWidth="1"/>
    <col min="5641" max="5641" width="4.109375" style="635" customWidth="1"/>
    <col min="5642" max="5888" width="8.88671875" style="635"/>
    <col min="5889" max="5889" width="4" style="635" customWidth="1"/>
    <col min="5890" max="5890" width="4.77734375" style="635" customWidth="1"/>
    <col min="5891" max="5891" width="9.88671875" style="635" customWidth="1"/>
    <col min="5892" max="5892" width="35.77734375" style="635" customWidth="1"/>
    <col min="5893" max="5893" width="6.77734375" style="635" customWidth="1"/>
    <col min="5894" max="5894" width="4.88671875" style="635" customWidth="1"/>
    <col min="5895" max="5895" width="3" style="635" customWidth="1"/>
    <col min="5896" max="5896" width="4.77734375" style="635" customWidth="1"/>
    <col min="5897" max="5897" width="4.109375" style="635" customWidth="1"/>
    <col min="5898" max="6144" width="8.88671875" style="635"/>
    <col min="6145" max="6145" width="4" style="635" customWidth="1"/>
    <col min="6146" max="6146" width="4.77734375" style="635" customWidth="1"/>
    <col min="6147" max="6147" width="9.88671875" style="635" customWidth="1"/>
    <col min="6148" max="6148" width="35.77734375" style="635" customWidth="1"/>
    <col min="6149" max="6149" width="6.77734375" style="635" customWidth="1"/>
    <col min="6150" max="6150" width="4.88671875" style="635" customWidth="1"/>
    <col min="6151" max="6151" width="3" style="635" customWidth="1"/>
    <col min="6152" max="6152" width="4.77734375" style="635" customWidth="1"/>
    <col min="6153" max="6153" width="4.109375" style="635" customWidth="1"/>
    <col min="6154" max="6400" width="8.88671875" style="635"/>
    <col min="6401" max="6401" width="4" style="635" customWidth="1"/>
    <col min="6402" max="6402" width="4.77734375" style="635" customWidth="1"/>
    <col min="6403" max="6403" width="9.88671875" style="635" customWidth="1"/>
    <col min="6404" max="6404" width="35.77734375" style="635" customWidth="1"/>
    <col min="6405" max="6405" width="6.77734375" style="635" customWidth="1"/>
    <col min="6406" max="6406" width="4.88671875" style="635" customWidth="1"/>
    <col min="6407" max="6407" width="3" style="635" customWidth="1"/>
    <col min="6408" max="6408" width="4.77734375" style="635" customWidth="1"/>
    <col min="6409" max="6409" width="4.109375" style="635" customWidth="1"/>
    <col min="6410" max="6656" width="8.88671875" style="635"/>
    <col min="6657" max="6657" width="4" style="635" customWidth="1"/>
    <col min="6658" max="6658" width="4.77734375" style="635" customWidth="1"/>
    <col min="6659" max="6659" width="9.88671875" style="635" customWidth="1"/>
    <col min="6660" max="6660" width="35.77734375" style="635" customWidth="1"/>
    <col min="6661" max="6661" width="6.77734375" style="635" customWidth="1"/>
    <col min="6662" max="6662" width="4.88671875" style="635" customWidth="1"/>
    <col min="6663" max="6663" width="3" style="635" customWidth="1"/>
    <col min="6664" max="6664" width="4.77734375" style="635" customWidth="1"/>
    <col min="6665" max="6665" width="4.109375" style="635" customWidth="1"/>
    <col min="6666" max="6912" width="8.88671875" style="635"/>
    <col min="6913" max="6913" width="4" style="635" customWidth="1"/>
    <col min="6914" max="6914" width="4.77734375" style="635" customWidth="1"/>
    <col min="6915" max="6915" width="9.88671875" style="635" customWidth="1"/>
    <col min="6916" max="6916" width="35.77734375" style="635" customWidth="1"/>
    <col min="6917" max="6917" width="6.77734375" style="635" customWidth="1"/>
    <col min="6918" max="6918" width="4.88671875" style="635" customWidth="1"/>
    <col min="6919" max="6919" width="3" style="635" customWidth="1"/>
    <col min="6920" max="6920" width="4.77734375" style="635" customWidth="1"/>
    <col min="6921" max="6921" width="4.109375" style="635" customWidth="1"/>
    <col min="6922" max="7168" width="8.88671875" style="635"/>
    <col min="7169" max="7169" width="4" style="635" customWidth="1"/>
    <col min="7170" max="7170" width="4.77734375" style="635" customWidth="1"/>
    <col min="7171" max="7171" width="9.88671875" style="635" customWidth="1"/>
    <col min="7172" max="7172" width="35.77734375" style="635" customWidth="1"/>
    <col min="7173" max="7173" width="6.77734375" style="635" customWidth="1"/>
    <col min="7174" max="7174" width="4.88671875" style="635" customWidth="1"/>
    <col min="7175" max="7175" width="3" style="635" customWidth="1"/>
    <col min="7176" max="7176" width="4.77734375" style="635" customWidth="1"/>
    <col min="7177" max="7177" width="4.109375" style="635" customWidth="1"/>
    <col min="7178" max="7424" width="8.88671875" style="635"/>
    <col min="7425" max="7425" width="4" style="635" customWidth="1"/>
    <col min="7426" max="7426" width="4.77734375" style="635" customWidth="1"/>
    <col min="7427" max="7427" width="9.88671875" style="635" customWidth="1"/>
    <col min="7428" max="7428" width="35.77734375" style="635" customWidth="1"/>
    <col min="7429" max="7429" width="6.77734375" style="635" customWidth="1"/>
    <col min="7430" max="7430" width="4.88671875" style="635" customWidth="1"/>
    <col min="7431" max="7431" width="3" style="635" customWidth="1"/>
    <col min="7432" max="7432" width="4.77734375" style="635" customWidth="1"/>
    <col min="7433" max="7433" width="4.109375" style="635" customWidth="1"/>
    <col min="7434" max="7680" width="8.88671875" style="635"/>
    <col min="7681" max="7681" width="4" style="635" customWidth="1"/>
    <col min="7682" max="7682" width="4.77734375" style="635" customWidth="1"/>
    <col min="7683" max="7683" width="9.88671875" style="635" customWidth="1"/>
    <col min="7684" max="7684" width="35.77734375" style="635" customWidth="1"/>
    <col min="7685" max="7685" width="6.77734375" style="635" customWidth="1"/>
    <col min="7686" max="7686" width="4.88671875" style="635" customWidth="1"/>
    <col min="7687" max="7687" width="3" style="635" customWidth="1"/>
    <col min="7688" max="7688" width="4.77734375" style="635" customWidth="1"/>
    <col min="7689" max="7689" width="4.109375" style="635" customWidth="1"/>
    <col min="7690" max="7936" width="8.88671875" style="635"/>
    <col min="7937" max="7937" width="4" style="635" customWidth="1"/>
    <col min="7938" max="7938" width="4.77734375" style="635" customWidth="1"/>
    <col min="7939" max="7939" width="9.88671875" style="635" customWidth="1"/>
    <col min="7940" max="7940" width="35.77734375" style="635" customWidth="1"/>
    <col min="7941" max="7941" width="6.77734375" style="635" customWidth="1"/>
    <col min="7942" max="7942" width="4.88671875" style="635" customWidth="1"/>
    <col min="7943" max="7943" width="3" style="635" customWidth="1"/>
    <col min="7944" max="7944" width="4.77734375" style="635" customWidth="1"/>
    <col min="7945" max="7945" width="4.109375" style="635" customWidth="1"/>
    <col min="7946" max="8192" width="8.88671875" style="635"/>
    <col min="8193" max="8193" width="4" style="635" customWidth="1"/>
    <col min="8194" max="8194" width="4.77734375" style="635" customWidth="1"/>
    <col min="8195" max="8195" width="9.88671875" style="635" customWidth="1"/>
    <col min="8196" max="8196" width="35.77734375" style="635" customWidth="1"/>
    <col min="8197" max="8197" width="6.77734375" style="635" customWidth="1"/>
    <col min="8198" max="8198" width="4.88671875" style="635" customWidth="1"/>
    <col min="8199" max="8199" width="3" style="635" customWidth="1"/>
    <col min="8200" max="8200" width="4.77734375" style="635" customWidth="1"/>
    <col min="8201" max="8201" width="4.109375" style="635" customWidth="1"/>
    <col min="8202" max="8448" width="8.88671875" style="635"/>
    <col min="8449" max="8449" width="4" style="635" customWidth="1"/>
    <col min="8450" max="8450" width="4.77734375" style="635" customWidth="1"/>
    <col min="8451" max="8451" width="9.88671875" style="635" customWidth="1"/>
    <col min="8452" max="8452" width="35.77734375" style="635" customWidth="1"/>
    <col min="8453" max="8453" width="6.77734375" style="635" customWidth="1"/>
    <col min="8454" max="8454" width="4.88671875" style="635" customWidth="1"/>
    <col min="8455" max="8455" width="3" style="635" customWidth="1"/>
    <col min="8456" max="8456" width="4.77734375" style="635" customWidth="1"/>
    <col min="8457" max="8457" width="4.109375" style="635" customWidth="1"/>
    <col min="8458" max="8704" width="8.88671875" style="635"/>
    <col min="8705" max="8705" width="4" style="635" customWidth="1"/>
    <col min="8706" max="8706" width="4.77734375" style="635" customWidth="1"/>
    <col min="8707" max="8707" width="9.88671875" style="635" customWidth="1"/>
    <col min="8708" max="8708" width="35.77734375" style="635" customWidth="1"/>
    <col min="8709" max="8709" width="6.77734375" style="635" customWidth="1"/>
    <col min="8710" max="8710" width="4.88671875" style="635" customWidth="1"/>
    <col min="8711" max="8711" width="3" style="635" customWidth="1"/>
    <col min="8712" max="8712" width="4.77734375" style="635" customWidth="1"/>
    <col min="8713" max="8713" width="4.109375" style="635" customWidth="1"/>
    <col min="8714" max="8960" width="8.88671875" style="635"/>
    <col min="8961" max="8961" width="4" style="635" customWidth="1"/>
    <col min="8962" max="8962" width="4.77734375" style="635" customWidth="1"/>
    <col min="8963" max="8963" width="9.88671875" style="635" customWidth="1"/>
    <col min="8964" max="8964" width="35.77734375" style="635" customWidth="1"/>
    <col min="8965" max="8965" width="6.77734375" style="635" customWidth="1"/>
    <col min="8966" max="8966" width="4.88671875" style="635" customWidth="1"/>
    <col min="8967" max="8967" width="3" style="635" customWidth="1"/>
    <col min="8968" max="8968" width="4.77734375" style="635" customWidth="1"/>
    <col min="8969" max="8969" width="4.109375" style="635" customWidth="1"/>
    <col min="8970" max="9216" width="8.88671875" style="635"/>
    <col min="9217" max="9217" width="4" style="635" customWidth="1"/>
    <col min="9218" max="9218" width="4.77734375" style="635" customWidth="1"/>
    <col min="9219" max="9219" width="9.88671875" style="635" customWidth="1"/>
    <col min="9220" max="9220" width="35.77734375" style="635" customWidth="1"/>
    <col min="9221" max="9221" width="6.77734375" style="635" customWidth="1"/>
    <col min="9222" max="9222" width="4.88671875" style="635" customWidth="1"/>
    <col min="9223" max="9223" width="3" style="635" customWidth="1"/>
    <col min="9224" max="9224" width="4.77734375" style="635" customWidth="1"/>
    <col min="9225" max="9225" width="4.109375" style="635" customWidth="1"/>
    <col min="9226" max="9472" width="8.88671875" style="635"/>
    <col min="9473" max="9473" width="4" style="635" customWidth="1"/>
    <col min="9474" max="9474" width="4.77734375" style="635" customWidth="1"/>
    <col min="9475" max="9475" width="9.88671875" style="635" customWidth="1"/>
    <col min="9476" max="9476" width="35.77734375" style="635" customWidth="1"/>
    <col min="9477" max="9477" width="6.77734375" style="635" customWidth="1"/>
    <col min="9478" max="9478" width="4.88671875" style="635" customWidth="1"/>
    <col min="9479" max="9479" width="3" style="635" customWidth="1"/>
    <col min="9480" max="9480" width="4.77734375" style="635" customWidth="1"/>
    <col min="9481" max="9481" width="4.109375" style="635" customWidth="1"/>
    <col min="9482" max="9728" width="8.88671875" style="635"/>
    <col min="9729" max="9729" width="4" style="635" customWidth="1"/>
    <col min="9730" max="9730" width="4.77734375" style="635" customWidth="1"/>
    <col min="9731" max="9731" width="9.88671875" style="635" customWidth="1"/>
    <col min="9732" max="9732" width="35.77734375" style="635" customWidth="1"/>
    <col min="9733" max="9733" width="6.77734375" style="635" customWidth="1"/>
    <col min="9734" max="9734" width="4.88671875" style="635" customWidth="1"/>
    <col min="9735" max="9735" width="3" style="635" customWidth="1"/>
    <col min="9736" max="9736" width="4.77734375" style="635" customWidth="1"/>
    <col min="9737" max="9737" width="4.109375" style="635" customWidth="1"/>
    <col min="9738" max="9984" width="8.88671875" style="635"/>
    <col min="9985" max="9985" width="4" style="635" customWidth="1"/>
    <col min="9986" max="9986" width="4.77734375" style="635" customWidth="1"/>
    <col min="9987" max="9987" width="9.88671875" style="635" customWidth="1"/>
    <col min="9988" max="9988" width="35.77734375" style="635" customWidth="1"/>
    <col min="9989" max="9989" width="6.77734375" style="635" customWidth="1"/>
    <col min="9990" max="9990" width="4.88671875" style="635" customWidth="1"/>
    <col min="9991" max="9991" width="3" style="635" customWidth="1"/>
    <col min="9992" max="9992" width="4.77734375" style="635" customWidth="1"/>
    <col min="9993" max="9993" width="4.109375" style="635" customWidth="1"/>
    <col min="9994" max="10240" width="8.88671875" style="635"/>
    <col min="10241" max="10241" width="4" style="635" customWidth="1"/>
    <col min="10242" max="10242" width="4.77734375" style="635" customWidth="1"/>
    <col min="10243" max="10243" width="9.88671875" style="635" customWidth="1"/>
    <col min="10244" max="10244" width="35.77734375" style="635" customWidth="1"/>
    <col min="10245" max="10245" width="6.77734375" style="635" customWidth="1"/>
    <col min="10246" max="10246" width="4.88671875" style="635" customWidth="1"/>
    <col min="10247" max="10247" width="3" style="635" customWidth="1"/>
    <col min="10248" max="10248" width="4.77734375" style="635" customWidth="1"/>
    <col min="10249" max="10249" width="4.109375" style="635" customWidth="1"/>
    <col min="10250" max="10496" width="8.88671875" style="635"/>
    <col min="10497" max="10497" width="4" style="635" customWidth="1"/>
    <col min="10498" max="10498" width="4.77734375" style="635" customWidth="1"/>
    <col min="10499" max="10499" width="9.88671875" style="635" customWidth="1"/>
    <col min="10500" max="10500" width="35.77734375" style="635" customWidth="1"/>
    <col min="10501" max="10501" width="6.77734375" style="635" customWidth="1"/>
    <col min="10502" max="10502" width="4.88671875" style="635" customWidth="1"/>
    <col min="10503" max="10503" width="3" style="635" customWidth="1"/>
    <col min="10504" max="10504" width="4.77734375" style="635" customWidth="1"/>
    <col min="10505" max="10505" width="4.109375" style="635" customWidth="1"/>
    <col min="10506" max="10752" width="8.88671875" style="635"/>
    <col min="10753" max="10753" width="4" style="635" customWidth="1"/>
    <col min="10754" max="10754" width="4.77734375" style="635" customWidth="1"/>
    <col min="10755" max="10755" width="9.88671875" style="635" customWidth="1"/>
    <col min="10756" max="10756" width="35.77734375" style="635" customWidth="1"/>
    <col min="10757" max="10757" width="6.77734375" style="635" customWidth="1"/>
    <col min="10758" max="10758" width="4.88671875" style="635" customWidth="1"/>
    <col min="10759" max="10759" width="3" style="635" customWidth="1"/>
    <col min="10760" max="10760" width="4.77734375" style="635" customWidth="1"/>
    <col min="10761" max="10761" width="4.109375" style="635" customWidth="1"/>
    <col min="10762" max="11008" width="8.88671875" style="635"/>
    <col min="11009" max="11009" width="4" style="635" customWidth="1"/>
    <col min="11010" max="11010" width="4.77734375" style="635" customWidth="1"/>
    <col min="11011" max="11011" width="9.88671875" style="635" customWidth="1"/>
    <col min="11012" max="11012" width="35.77734375" style="635" customWidth="1"/>
    <col min="11013" max="11013" width="6.77734375" style="635" customWidth="1"/>
    <col min="11014" max="11014" width="4.88671875" style="635" customWidth="1"/>
    <col min="11015" max="11015" width="3" style="635" customWidth="1"/>
    <col min="11016" max="11016" width="4.77734375" style="635" customWidth="1"/>
    <col min="11017" max="11017" width="4.109375" style="635" customWidth="1"/>
    <col min="11018" max="11264" width="8.88671875" style="635"/>
    <col min="11265" max="11265" width="4" style="635" customWidth="1"/>
    <col min="11266" max="11266" width="4.77734375" style="635" customWidth="1"/>
    <col min="11267" max="11267" width="9.88671875" style="635" customWidth="1"/>
    <col min="11268" max="11268" width="35.77734375" style="635" customWidth="1"/>
    <col min="11269" max="11269" width="6.77734375" style="635" customWidth="1"/>
    <col min="11270" max="11270" width="4.88671875" style="635" customWidth="1"/>
    <col min="11271" max="11271" width="3" style="635" customWidth="1"/>
    <col min="11272" max="11272" width="4.77734375" style="635" customWidth="1"/>
    <col min="11273" max="11273" width="4.109375" style="635" customWidth="1"/>
    <col min="11274" max="11520" width="8.88671875" style="635"/>
    <col min="11521" max="11521" width="4" style="635" customWidth="1"/>
    <col min="11522" max="11522" width="4.77734375" style="635" customWidth="1"/>
    <col min="11523" max="11523" width="9.88671875" style="635" customWidth="1"/>
    <col min="11524" max="11524" width="35.77734375" style="635" customWidth="1"/>
    <col min="11525" max="11525" width="6.77734375" style="635" customWidth="1"/>
    <col min="11526" max="11526" width="4.88671875" style="635" customWidth="1"/>
    <col min="11527" max="11527" width="3" style="635" customWidth="1"/>
    <col min="11528" max="11528" width="4.77734375" style="635" customWidth="1"/>
    <col min="11529" max="11529" width="4.109375" style="635" customWidth="1"/>
    <col min="11530" max="11776" width="8.88671875" style="635"/>
    <col min="11777" max="11777" width="4" style="635" customWidth="1"/>
    <col min="11778" max="11778" width="4.77734375" style="635" customWidth="1"/>
    <col min="11779" max="11779" width="9.88671875" style="635" customWidth="1"/>
    <col min="11780" max="11780" width="35.77734375" style="635" customWidth="1"/>
    <col min="11781" max="11781" width="6.77734375" style="635" customWidth="1"/>
    <col min="11782" max="11782" width="4.88671875" style="635" customWidth="1"/>
    <col min="11783" max="11783" width="3" style="635" customWidth="1"/>
    <col min="11784" max="11784" width="4.77734375" style="635" customWidth="1"/>
    <col min="11785" max="11785" width="4.109375" style="635" customWidth="1"/>
    <col min="11786" max="12032" width="8.88671875" style="635"/>
    <col min="12033" max="12033" width="4" style="635" customWidth="1"/>
    <col min="12034" max="12034" width="4.77734375" style="635" customWidth="1"/>
    <col min="12035" max="12035" width="9.88671875" style="635" customWidth="1"/>
    <col min="12036" max="12036" width="35.77734375" style="635" customWidth="1"/>
    <col min="12037" max="12037" width="6.77734375" style="635" customWidth="1"/>
    <col min="12038" max="12038" width="4.88671875" style="635" customWidth="1"/>
    <col min="12039" max="12039" width="3" style="635" customWidth="1"/>
    <col min="12040" max="12040" width="4.77734375" style="635" customWidth="1"/>
    <col min="12041" max="12041" width="4.109375" style="635" customWidth="1"/>
    <col min="12042" max="12288" width="8.88671875" style="635"/>
    <col min="12289" max="12289" width="4" style="635" customWidth="1"/>
    <col min="12290" max="12290" width="4.77734375" style="635" customWidth="1"/>
    <col min="12291" max="12291" width="9.88671875" style="635" customWidth="1"/>
    <col min="12292" max="12292" width="35.77734375" style="635" customWidth="1"/>
    <col min="12293" max="12293" width="6.77734375" style="635" customWidth="1"/>
    <col min="12294" max="12294" width="4.88671875" style="635" customWidth="1"/>
    <col min="12295" max="12295" width="3" style="635" customWidth="1"/>
    <col min="12296" max="12296" width="4.77734375" style="635" customWidth="1"/>
    <col min="12297" max="12297" width="4.109375" style="635" customWidth="1"/>
    <col min="12298" max="12544" width="8.88671875" style="635"/>
    <col min="12545" max="12545" width="4" style="635" customWidth="1"/>
    <col min="12546" max="12546" width="4.77734375" style="635" customWidth="1"/>
    <col min="12547" max="12547" width="9.88671875" style="635" customWidth="1"/>
    <col min="12548" max="12548" width="35.77734375" style="635" customWidth="1"/>
    <col min="12549" max="12549" width="6.77734375" style="635" customWidth="1"/>
    <col min="12550" max="12550" width="4.88671875" style="635" customWidth="1"/>
    <col min="12551" max="12551" width="3" style="635" customWidth="1"/>
    <col min="12552" max="12552" width="4.77734375" style="635" customWidth="1"/>
    <col min="12553" max="12553" width="4.109375" style="635" customWidth="1"/>
    <col min="12554" max="12800" width="8.88671875" style="635"/>
    <col min="12801" max="12801" width="4" style="635" customWidth="1"/>
    <col min="12802" max="12802" width="4.77734375" style="635" customWidth="1"/>
    <col min="12803" max="12803" width="9.88671875" style="635" customWidth="1"/>
    <col min="12804" max="12804" width="35.77734375" style="635" customWidth="1"/>
    <col min="12805" max="12805" width="6.77734375" style="635" customWidth="1"/>
    <col min="12806" max="12806" width="4.88671875" style="635" customWidth="1"/>
    <col min="12807" max="12807" width="3" style="635" customWidth="1"/>
    <col min="12808" max="12808" width="4.77734375" style="635" customWidth="1"/>
    <col min="12809" max="12809" width="4.109375" style="635" customWidth="1"/>
    <col min="12810" max="13056" width="8.88671875" style="635"/>
    <col min="13057" max="13057" width="4" style="635" customWidth="1"/>
    <col min="13058" max="13058" width="4.77734375" style="635" customWidth="1"/>
    <col min="13059" max="13059" width="9.88671875" style="635" customWidth="1"/>
    <col min="13060" max="13060" width="35.77734375" style="635" customWidth="1"/>
    <col min="13061" max="13061" width="6.77734375" style="635" customWidth="1"/>
    <col min="13062" max="13062" width="4.88671875" style="635" customWidth="1"/>
    <col min="13063" max="13063" width="3" style="635" customWidth="1"/>
    <col min="13064" max="13064" width="4.77734375" style="635" customWidth="1"/>
    <col min="13065" max="13065" width="4.109375" style="635" customWidth="1"/>
    <col min="13066" max="13312" width="8.88671875" style="635"/>
    <col min="13313" max="13313" width="4" style="635" customWidth="1"/>
    <col min="13314" max="13314" width="4.77734375" style="635" customWidth="1"/>
    <col min="13315" max="13315" width="9.88671875" style="635" customWidth="1"/>
    <col min="13316" max="13316" width="35.77734375" style="635" customWidth="1"/>
    <col min="13317" max="13317" width="6.77734375" style="635" customWidth="1"/>
    <col min="13318" max="13318" width="4.88671875" style="635" customWidth="1"/>
    <col min="13319" max="13319" width="3" style="635" customWidth="1"/>
    <col min="13320" max="13320" width="4.77734375" style="635" customWidth="1"/>
    <col min="13321" max="13321" width="4.109375" style="635" customWidth="1"/>
    <col min="13322" max="13568" width="8.88671875" style="635"/>
    <col min="13569" max="13569" width="4" style="635" customWidth="1"/>
    <col min="13570" max="13570" width="4.77734375" style="635" customWidth="1"/>
    <col min="13571" max="13571" width="9.88671875" style="635" customWidth="1"/>
    <col min="13572" max="13572" width="35.77734375" style="635" customWidth="1"/>
    <col min="13573" max="13573" width="6.77734375" style="635" customWidth="1"/>
    <col min="13574" max="13574" width="4.88671875" style="635" customWidth="1"/>
    <col min="13575" max="13575" width="3" style="635" customWidth="1"/>
    <col min="13576" max="13576" width="4.77734375" style="635" customWidth="1"/>
    <col min="13577" max="13577" width="4.109375" style="635" customWidth="1"/>
    <col min="13578" max="13824" width="8.88671875" style="635"/>
    <col min="13825" max="13825" width="4" style="635" customWidth="1"/>
    <col min="13826" max="13826" width="4.77734375" style="635" customWidth="1"/>
    <col min="13827" max="13827" width="9.88671875" style="635" customWidth="1"/>
    <col min="13828" max="13828" width="35.77734375" style="635" customWidth="1"/>
    <col min="13829" max="13829" width="6.77734375" style="635" customWidth="1"/>
    <col min="13830" max="13830" width="4.88671875" style="635" customWidth="1"/>
    <col min="13831" max="13831" width="3" style="635" customWidth="1"/>
    <col min="13832" max="13832" width="4.77734375" style="635" customWidth="1"/>
    <col min="13833" max="13833" width="4.109375" style="635" customWidth="1"/>
    <col min="13834" max="14080" width="8.88671875" style="635"/>
    <col min="14081" max="14081" width="4" style="635" customWidth="1"/>
    <col min="14082" max="14082" width="4.77734375" style="635" customWidth="1"/>
    <col min="14083" max="14083" width="9.88671875" style="635" customWidth="1"/>
    <col min="14084" max="14084" width="35.77734375" style="635" customWidth="1"/>
    <col min="14085" max="14085" width="6.77734375" style="635" customWidth="1"/>
    <col min="14086" max="14086" width="4.88671875" style="635" customWidth="1"/>
    <col min="14087" max="14087" width="3" style="635" customWidth="1"/>
    <col min="14088" max="14088" width="4.77734375" style="635" customWidth="1"/>
    <col min="14089" max="14089" width="4.109375" style="635" customWidth="1"/>
    <col min="14090" max="14336" width="8.88671875" style="635"/>
    <col min="14337" max="14337" width="4" style="635" customWidth="1"/>
    <col min="14338" max="14338" width="4.77734375" style="635" customWidth="1"/>
    <col min="14339" max="14339" width="9.88671875" style="635" customWidth="1"/>
    <col min="14340" max="14340" width="35.77734375" style="635" customWidth="1"/>
    <col min="14341" max="14341" width="6.77734375" style="635" customWidth="1"/>
    <col min="14342" max="14342" width="4.88671875" style="635" customWidth="1"/>
    <col min="14343" max="14343" width="3" style="635" customWidth="1"/>
    <col min="14344" max="14344" width="4.77734375" style="635" customWidth="1"/>
    <col min="14345" max="14345" width="4.109375" style="635" customWidth="1"/>
    <col min="14346" max="14592" width="8.88671875" style="635"/>
    <col min="14593" max="14593" width="4" style="635" customWidth="1"/>
    <col min="14594" max="14594" width="4.77734375" style="635" customWidth="1"/>
    <col min="14595" max="14595" width="9.88671875" style="635" customWidth="1"/>
    <col min="14596" max="14596" width="35.77734375" style="635" customWidth="1"/>
    <col min="14597" max="14597" width="6.77734375" style="635" customWidth="1"/>
    <col min="14598" max="14598" width="4.88671875" style="635" customWidth="1"/>
    <col min="14599" max="14599" width="3" style="635" customWidth="1"/>
    <col min="14600" max="14600" width="4.77734375" style="635" customWidth="1"/>
    <col min="14601" max="14601" width="4.109375" style="635" customWidth="1"/>
    <col min="14602" max="14848" width="8.88671875" style="635"/>
    <col min="14849" max="14849" width="4" style="635" customWidth="1"/>
    <col min="14850" max="14850" width="4.77734375" style="635" customWidth="1"/>
    <col min="14851" max="14851" width="9.88671875" style="635" customWidth="1"/>
    <col min="14852" max="14852" width="35.77734375" style="635" customWidth="1"/>
    <col min="14853" max="14853" width="6.77734375" style="635" customWidth="1"/>
    <col min="14854" max="14854" width="4.88671875" style="635" customWidth="1"/>
    <col min="14855" max="14855" width="3" style="635" customWidth="1"/>
    <col min="14856" max="14856" width="4.77734375" style="635" customWidth="1"/>
    <col min="14857" max="14857" width="4.109375" style="635" customWidth="1"/>
    <col min="14858" max="15104" width="8.88671875" style="635"/>
    <col min="15105" max="15105" width="4" style="635" customWidth="1"/>
    <col min="15106" max="15106" width="4.77734375" style="635" customWidth="1"/>
    <col min="15107" max="15107" width="9.88671875" style="635" customWidth="1"/>
    <col min="15108" max="15108" width="35.77734375" style="635" customWidth="1"/>
    <col min="15109" max="15109" width="6.77734375" style="635" customWidth="1"/>
    <col min="15110" max="15110" width="4.88671875" style="635" customWidth="1"/>
    <col min="15111" max="15111" width="3" style="635" customWidth="1"/>
    <col min="15112" max="15112" width="4.77734375" style="635" customWidth="1"/>
    <col min="15113" max="15113" width="4.109375" style="635" customWidth="1"/>
    <col min="15114" max="15360" width="8.88671875" style="635"/>
    <col min="15361" max="15361" width="4" style="635" customWidth="1"/>
    <col min="15362" max="15362" width="4.77734375" style="635" customWidth="1"/>
    <col min="15363" max="15363" width="9.88671875" style="635" customWidth="1"/>
    <col min="15364" max="15364" width="35.77734375" style="635" customWidth="1"/>
    <col min="15365" max="15365" width="6.77734375" style="635" customWidth="1"/>
    <col min="15366" max="15366" width="4.88671875" style="635" customWidth="1"/>
    <col min="15367" max="15367" width="3" style="635" customWidth="1"/>
    <col min="15368" max="15368" width="4.77734375" style="635" customWidth="1"/>
    <col min="15369" max="15369" width="4.109375" style="635" customWidth="1"/>
    <col min="15370" max="15616" width="8.88671875" style="635"/>
    <col min="15617" max="15617" width="4" style="635" customWidth="1"/>
    <col min="15618" max="15618" width="4.77734375" style="635" customWidth="1"/>
    <col min="15619" max="15619" width="9.88671875" style="635" customWidth="1"/>
    <col min="15620" max="15620" width="35.77734375" style="635" customWidth="1"/>
    <col min="15621" max="15621" width="6.77734375" style="635" customWidth="1"/>
    <col min="15622" max="15622" width="4.88671875" style="635" customWidth="1"/>
    <col min="15623" max="15623" width="3" style="635" customWidth="1"/>
    <col min="15624" max="15624" width="4.77734375" style="635" customWidth="1"/>
    <col min="15625" max="15625" width="4.109375" style="635" customWidth="1"/>
    <col min="15626" max="15872" width="8.88671875" style="635"/>
    <col min="15873" max="15873" width="4" style="635" customWidth="1"/>
    <col min="15874" max="15874" width="4.77734375" style="635" customWidth="1"/>
    <col min="15875" max="15875" width="9.88671875" style="635" customWidth="1"/>
    <col min="15876" max="15876" width="35.77734375" style="635" customWidth="1"/>
    <col min="15877" max="15877" width="6.77734375" style="635" customWidth="1"/>
    <col min="15878" max="15878" width="4.88671875" style="635" customWidth="1"/>
    <col min="15879" max="15879" width="3" style="635" customWidth="1"/>
    <col min="15880" max="15880" width="4.77734375" style="635" customWidth="1"/>
    <col min="15881" max="15881" width="4.109375" style="635" customWidth="1"/>
    <col min="15882" max="16128" width="8.88671875" style="635"/>
    <col min="16129" max="16129" width="4" style="635" customWidth="1"/>
    <col min="16130" max="16130" width="4.77734375" style="635" customWidth="1"/>
    <col min="16131" max="16131" width="9.88671875" style="635" customWidth="1"/>
    <col min="16132" max="16132" width="35.77734375" style="635" customWidth="1"/>
    <col min="16133" max="16133" width="6.77734375" style="635" customWidth="1"/>
    <col min="16134" max="16134" width="4.88671875" style="635" customWidth="1"/>
    <col min="16135" max="16135" width="3" style="635" customWidth="1"/>
    <col min="16136" max="16136" width="4.77734375" style="635" customWidth="1"/>
    <col min="16137" max="16137" width="4.109375" style="635" customWidth="1"/>
    <col min="16138" max="16384" width="8.88671875" style="635"/>
  </cols>
  <sheetData>
    <row r="1" spans="1:9" ht="30" customHeight="1">
      <c r="A1" s="1715" t="s">
        <v>777</v>
      </c>
      <c r="B1" s="1715"/>
      <c r="C1" s="1715"/>
      <c r="D1" s="1715"/>
      <c r="E1" s="1715"/>
      <c r="F1" s="1715"/>
      <c r="G1" s="1715"/>
      <c r="H1" s="1715"/>
      <c r="I1" s="1715"/>
    </row>
    <row r="2" spans="1:9" s="636" customFormat="1" ht="20.100000000000001" customHeight="1">
      <c r="H2" s="637" t="s">
        <v>755</v>
      </c>
    </row>
    <row r="3" spans="1:9" s="636" customFormat="1" ht="25.5" customHeight="1">
      <c r="A3" s="1685" t="s">
        <v>137</v>
      </c>
      <c r="B3" s="1686"/>
      <c r="C3" s="1686"/>
      <c r="D3" s="638" t="s">
        <v>138</v>
      </c>
      <c r="E3" s="1686" t="s">
        <v>139</v>
      </c>
      <c r="F3" s="1686"/>
      <c r="G3" s="1686" t="s">
        <v>140</v>
      </c>
      <c r="H3" s="1686"/>
      <c r="I3" s="1687"/>
    </row>
    <row r="4" spans="1:9" s="636" customFormat="1" ht="30.75" customHeight="1">
      <c r="A4" s="1688" t="s">
        <v>746</v>
      </c>
      <c r="B4" s="1689" t="s">
        <v>563</v>
      </c>
      <c r="C4" s="1689"/>
      <c r="D4" s="639" t="s">
        <v>778</v>
      </c>
      <c r="E4" s="706">
        <v>0.73699999999999999</v>
      </c>
      <c r="F4" s="707" t="s">
        <v>128</v>
      </c>
      <c r="G4" s="1690"/>
      <c r="H4" s="1690"/>
      <c r="I4" s="1691"/>
    </row>
    <row r="5" spans="1:9" s="636" customFormat="1" ht="45" customHeight="1">
      <c r="A5" s="1682"/>
      <c r="B5" s="1692" t="s">
        <v>757</v>
      </c>
      <c r="C5" s="1692"/>
      <c r="D5" s="642" t="s">
        <v>758</v>
      </c>
      <c r="E5" s="643">
        <v>9.6000000000000002E-2</v>
      </c>
      <c r="F5" s="644" t="s">
        <v>128</v>
      </c>
      <c r="G5" s="1683"/>
      <c r="H5" s="1683"/>
      <c r="I5" s="1684"/>
    </row>
    <row r="6" spans="1:9" s="636" customFormat="1" ht="30" customHeight="1">
      <c r="A6" s="1682"/>
      <c r="B6" s="1692" t="s">
        <v>779</v>
      </c>
      <c r="C6" s="1692"/>
      <c r="D6" s="645" t="s">
        <v>780</v>
      </c>
      <c r="E6" s="646">
        <v>1.55</v>
      </c>
      <c r="F6" s="644" t="s">
        <v>128</v>
      </c>
      <c r="G6" s="1683" t="s">
        <v>145</v>
      </c>
      <c r="H6" s="1683"/>
      <c r="I6" s="1684"/>
    </row>
    <row r="7" spans="1:9" s="636" customFormat="1" ht="30" customHeight="1">
      <c r="A7" s="1682"/>
      <c r="B7" s="1692" t="s">
        <v>781</v>
      </c>
      <c r="C7" s="1692"/>
      <c r="D7" s="645" t="s">
        <v>782</v>
      </c>
      <c r="E7" s="646">
        <v>1.32</v>
      </c>
      <c r="F7" s="644" t="s">
        <v>128</v>
      </c>
      <c r="G7" s="1683"/>
      <c r="H7" s="1683"/>
      <c r="I7" s="1684"/>
    </row>
    <row r="8" spans="1:9" s="636" customFormat="1" ht="30" customHeight="1">
      <c r="A8" s="1682"/>
      <c r="B8" s="1692" t="s">
        <v>568</v>
      </c>
      <c r="C8" s="1692"/>
      <c r="D8" s="645" t="s">
        <v>783</v>
      </c>
      <c r="E8" s="643">
        <v>0.52800000000000002</v>
      </c>
      <c r="F8" s="644" t="s">
        <v>128</v>
      </c>
      <c r="G8" s="1683"/>
      <c r="H8" s="1683"/>
      <c r="I8" s="1684"/>
    </row>
    <row r="9" spans="1:9" s="636" customFormat="1" ht="26.25" customHeight="1">
      <c r="A9" s="1682" t="s">
        <v>571</v>
      </c>
      <c r="B9" s="1683"/>
      <c r="C9" s="1683"/>
      <c r="D9" s="645" t="s">
        <v>759</v>
      </c>
      <c r="E9" s="643">
        <f>+ROUND((PI()*0.82*0.82/4-PI()*0.6*0.6/4)*0.01,3)</f>
        <v>2E-3</v>
      </c>
      <c r="F9" s="644" t="s">
        <v>128</v>
      </c>
      <c r="G9" s="1683"/>
      <c r="H9" s="1683"/>
      <c r="I9" s="1684"/>
    </row>
    <row r="10" spans="1:9" s="636" customFormat="1" ht="30" customHeight="1">
      <c r="A10" s="1694" t="s">
        <v>120</v>
      </c>
      <c r="B10" s="1692" t="s">
        <v>760</v>
      </c>
      <c r="C10" s="1692"/>
      <c r="D10" s="642" t="s">
        <v>784</v>
      </c>
      <c r="E10" s="643">
        <f>+ROUND((1.4*1.2)-(PI()*0.6^2)/4,3)++ROUND((1.9+1.7)*2*0.25,3)</f>
        <v>3.1970000000000001</v>
      </c>
      <c r="F10" s="644" t="s">
        <v>127</v>
      </c>
      <c r="G10" s="1683"/>
      <c r="H10" s="1683"/>
      <c r="I10" s="1684"/>
    </row>
    <row r="11" spans="1:9" s="636" customFormat="1" ht="30" customHeight="1">
      <c r="A11" s="1695"/>
      <c r="B11" s="1692" t="s">
        <v>153</v>
      </c>
      <c r="C11" s="1692"/>
      <c r="D11" s="645" t="s">
        <v>785</v>
      </c>
      <c r="E11" s="646">
        <v>2.52</v>
      </c>
      <c r="F11" s="644" t="s">
        <v>127</v>
      </c>
      <c r="G11" s="1683"/>
      <c r="H11" s="1683"/>
      <c r="I11" s="1684"/>
    </row>
    <row r="12" spans="1:9" s="636" customFormat="1" ht="27" customHeight="1">
      <c r="A12" s="1695"/>
      <c r="B12" s="1692" t="s">
        <v>154</v>
      </c>
      <c r="C12" s="1692"/>
      <c r="D12" s="645" t="s">
        <v>786</v>
      </c>
      <c r="E12" s="646">
        <v>12.4</v>
      </c>
      <c r="F12" s="644" t="s">
        <v>127</v>
      </c>
      <c r="G12" s="1683" t="s">
        <v>145</v>
      </c>
      <c r="H12" s="1683"/>
      <c r="I12" s="1684"/>
    </row>
    <row r="13" spans="1:9" s="636" customFormat="1" ht="27" customHeight="1">
      <c r="A13" s="1695"/>
      <c r="B13" s="1692" t="s">
        <v>764</v>
      </c>
      <c r="C13" s="1692"/>
      <c r="D13" s="645" t="s">
        <v>787</v>
      </c>
      <c r="E13" s="646">
        <v>0.92</v>
      </c>
      <c r="F13" s="644" t="s">
        <v>127</v>
      </c>
      <c r="G13" s="1683"/>
      <c r="H13" s="1683"/>
      <c r="I13" s="1684"/>
    </row>
    <row r="14" spans="1:9" s="636" customFormat="1" ht="27" customHeight="1">
      <c r="A14" s="1695"/>
      <c r="B14" s="1692" t="s">
        <v>766</v>
      </c>
      <c r="C14" s="1692"/>
      <c r="D14" s="645" t="s">
        <v>767</v>
      </c>
      <c r="E14" s="643">
        <v>0.47099999999999997</v>
      </c>
      <c r="F14" s="644" t="s">
        <v>127</v>
      </c>
      <c r="G14" s="1683"/>
      <c r="H14" s="1683"/>
      <c r="I14" s="1684"/>
    </row>
    <row r="15" spans="1:9" s="636" customFormat="1" ht="27" customHeight="1">
      <c r="A15" s="1688"/>
      <c r="B15" s="1692" t="s">
        <v>768</v>
      </c>
      <c r="C15" s="1692"/>
      <c r="D15" s="645" t="s">
        <v>769</v>
      </c>
      <c r="E15" s="643">
        <f>+ROUND(PI()*(1.08+0.6)*0.1,3)</f>
        <v>0.52800000000000002</v>
      </c>
      <c r="F15" s="644" t="s">
        <v>127</v>
      </c>
      <c r="G15" s="1683" t="s">
        <v>111</v>
      </c>
      <c r="H15" s="1683"/>
      <c r="I15" s="1684"/>
    </row>
    <row r="16" spans="1:9" s="636" customFormat="1" ht="27" customHeight="1">
      <c r="A16" s="1693" t="s">
        <v>788</v>
      </c>
      <c r="B16" s="1692"/>
      <c r="C16" s="1692"/>
      <c r="D16" s="645" t="s">
        <v>161</v>
      </c>
      <c r="E16" s="643" t="s">
        <v>111</v>
      </c>
      <c r="F16" s="644" t="s">
        <v>111</v>
      </c>
      <c r="G16" s="1683" t="s">
        <v>111</v>
      </c>
      <c r="H16" s="1683"/>
      <c r="I16" s="1684"/>
    </row>
    <row r="17" spans="1:9" s="636" customFormat="1" ht="27" customHeight="1">
      <c r="A17" s="1693" t="s">
        <v>162</v>
      </c>
      <c r="B17" s="1692"/>
      <c r="C17" s="1692"/>
      <c r="D17" s="645" t="s">
        <v>789</v>
      </c>
      <c r="E17" s="643">
        <f>+ROUND(((1.4*1.2-PI()*0.6*0.6/4)*1)*0.9,3)</f>
        <v>1.258</v>
      </c>
      <c r="F17" s="644" t="s">
        <v>116</v>
      </c>
      <c r="G17" s="1683" t="s">
        <v>145</v>
      </c>
      <c r="H17" s="1683"/>
      <c r="I17" s="1684"/>
    </row>
    <row r="18" spans="1:9" s="636" customFormat="1" ht="27" customHeight="1">
      <c r="A18" s="1726" t="s">
        <v>581</v>
      </c>
      <c r="B18" s="1727"/>
      <c r="C18" s="1727"/>
      <c r="D18" s="642" t="s">
        <v>790</v>
      </c>
      <c r="E18" s="647">
        <f>1.4*1+1.2*1</f>
        <v>2.5999999999999996</v>
      </c>
      <c r="F18" s="644" t="s">
        <v>127</v>
      </c>
      <c r="G18" s="1683" t="s">
        <v>145</v>
      </c>
      <c r="H18" s="1683"/>
      <c r="I18" s="1684"/>
    </row>
    <row r="19" spans="1:9" s="636" customFormat="1" ht="24.95" customHeight="1">
      <c r="A19" s="1682" t="s">
        <v>555</v>
      </c>
      <c r="B19" s="1683"/>
      <c r="C19" s="1683"/>
      <c r="D19" s="642" t="s">
        <v>791</v>
      </c>
      <c r="E19" s="643">
        <f>+ROUND((1.9*1.7-PI()*0.6*0.6/4)+2.2*2,2)</f>
        <v>7.35</v>
      </c>
      <c r="F19" s="644" t="s">
        <v>127</v>
      </c>
      <c r="G19" s="1692"/>
      <c r="H19" s="1692"/>
      <c r="I19" s="1696"/>
    </row>
    <row r="20" spans="1:9" s="636" customFormat="1" ht="24.95" customHeight="1">
      <c r="A20" s="1693" t="s">
        <v>236</v>
      </c>
      <c r="B20" s="1692"/>
      <c r="C20" s="1683" t="s">
        <v>102</v>
      </c>
      <c r="D20" s="648" t="s">
        <v>773</v>
      </c>
      <c r="E20" s="649">
        <v>0.01</v>
      </c>
      <c r="F20" s="650" t="s">
        <v>751</v>
      </c>
      <c r="G20" s="651" t="s">
        <v>111</v>
      </c>
      <c r="H20" s="652" t="s">
        <v>585</v>
      </c>
      <c r="I20" s="653" t="s">
        <v>111</v>
      </c>
    </row>
    <row r="21" spans="1:9" s="636" customFormat="1" ht="24.95" customHeight="1">
      <c r="A21" s="1693"/>
      <c r="B21" s="1692"/>
      <c r="C21" s="1683"/>
      <c r="D21" s="654" t="s">
        <v>774</v>
      </c>
      <c r="E21" s="655">
        <v>6.7000000000000004E-2</v>
      </c>
      <c r="F21" s="656" t="s">
        <v>751</v>
      </c>
      <c r="G21" s="655"/>
      <c r="H21" s="708"/>
      <c r="I21" s="709"/>
    </row>
    <row r="22" spans="1:9" s="636" customFormat="1" ht="24.95" customHeight="1">
      <c r="A22" s="1693"/>
      <c r="B22" s="1692"/>
      <c r="C22" s="660" t="s">
        <v>792</v>
      </c>
      <c r="D22" s="642" t="s">
        <v>774</v>
      </c>
      <c r="E22" s="661">
        <v>9.7000000000000003E-2</v>
      </c>
      <c r="F22" s="662" t="s">
        <v>751</v>
      </c>
      <c r="G22" s="661" t="s">
        <v>111</v>
      </c>
      <c r="H22" s="663" t="s">
        <v>585</v>
      </c>
      <c r="I22" s="664" t="s">
        <v>111</v>
      </c>
    </row>
    <row r="23" spans="1:9" s="636" customFormat="1" ht="24.95" customHeight="1">
      <c r="A23" s="1693"/>
      <c r="B23" s="1692"/>
      <c r="C23" s="660" t="s">
        <v>793</v>
      </c>
      <c r="D23" s="642" t="s">
        <v>774</v>
      </c>
      <c r="E23" s="665">
        <v>0.112</v>
      </c>
      <c r="F23" s="662" t="s">
        <v>751</v>
      </c>
      <c r="G23" s="1702" t="s">
        <v>145</v>
      </c>
      <c r="H23" s="1703"/>
      <c r="I23" s="1704"/>
    </row>
    <row r="24" spans="1:9" s="636" customFormat="1" ht="24.95" hidden="1" customHeight="1">
      <c r="A24" s="1705" t="s">
        <v>561</v>
      </c>
      <c r="B24" s="1706"/>
      <c r="C24" s="1707"/>
      <c r="D24" s="648" t="s">
        <v>165</v>
      </c>
      <c r="E24" s="651">
        <v>3</v>
      </c>
      <c r="F24" s="650" t="s">
        <v>112</v>
      </c>
      <c r="G24" s="710"/>
      <c r="H24" s="652"/>
      <c r="I24" s="711"/>
    </row>
    <row r="25" spans="1:9" s="636" customFormat="1" ht="24.95" customHeight="1">
      <c r="A25" s="1682" t="s">
        <v>795</v>
      </c>
      <c r="B25" s="1683"/>
      <c r="C25" s="1683"/>
      <c r="D25" s="645" t="s">
        <v>165</v>
      </c>
      <c r="E25" s="643">
        <v>1</v>
      </c>
      <c r="F25" s="644" t="s">
        <v>112</v>
      </c>
      <c r="G25" s="1683"/>
      <c r="H25" s="1683"/>
      <c r="I25" s="1684"/>
    </row>
    <row r="26" spans="1:9" ht="24.95" customHeight="1">
      <c r="A26" s="1697"/>
      <c r="B26" s="1698"/>
      <c r="C26" s="1699"/>
      <c r="D26" s="670"/>
      <c r="E26" s="671"/>
      <c r="F26" s="672"/>
      <c r="G26" s="1700"/>
      <c r="H26" s="1700"/>
      <c r="I26" s="1701"/>
    </row>
  </sheetData>
  <mergeCells count="46">
    <mergeCell ref="A26:C26"/>
    <mergeCell ref="G26:I26"/>
    <mergeCell ref="A20:B23"/>
    <mergeCell ref="C20:C21"/>
    <mergeCell ref="G23:I23"/>
    <mergeCell ref="A24:C24"/>
    <mergeCell ref="A25:C25"/>
    <mergeCell ref="G25:I25"/>
    <mergeCell ref="A16:C16"/>
    <mergeCell ref="G16:I16"/>
    <mergeCell ref="A18:C18"/>
    <mergeCell ref="G18:I18"/>
    <mergeCell ref="A19:C19"/>
    <mergeCell ref="G19:I19"/>
    <mergeCell ref="G8:I8"/>
    <mergeCell ref="A17:C17"/>
    <mergeCell ref="G17:I17"/>
    <mergeCell ref="A10:A15"/>
    <mergeCell ref="B10:C10"/>
    <mergeCell ref="G10:I10"/>
    <mergeCell ref="B11:C11"/>
    <mergeCell ref="G11:I11"/>
    <mergeCell ref="B12:C12"/>
    <mergeCell ref="G12:I12"/>
    <mergeCell ref="B13:C13"/>
    <mergeCell ref="G13:I13"/>
    <mergeCell ref="B14:C14"/>
    <mergeCell ref="G14:I14"/>
    <mergeCell ref="B15:C15"/>
    <mergeCell ref="G15:I15"/>
    <mergeCell ref="A9:C9"/>
    <mergeCell ref="G9:I9"/>
    <mergeCell ref="A1:I1"/>
    <mergeCell ref="A3:C3"/>
    <mergeCell ref="E3:F3"/>
    <mergeCell ref="G3:I3"/>
    <mergeCell ref="A4:A8"/>
    <mergeCell ref="B4:C4"/>
    <mergeCell ref="G4:I4"/>
    <mergeCell ref="B5:C5"/>
    <mergeCell ref="G5:I5"/>
    <mergeCell ref="B6:C6"/>
    <mergeCell ref="G6:I6"/>
    <mergeCell ref="B7:C7"/>
    <mergeCell ref="G7:I7"/>
    <mergeCell ref="B8:C8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>
    <tabColor rgb="FFFFC000"/>
  </sheetPr>
  <dimension ref="A1:G29"/>
  <sheetViews>
    <sheetView workbookViewId="0">
      <selection sqref="A1:G1"/>
    </sheetView>
  </sheetViews>
  <sheetFormatPr defaultRowHeight="13.5"/>
  <cols>
    <col min="1" max="3" width="9.5546875" style="673" customWidth="1"/>
    <col min="4" max="4" width="10.77734375" style="673" customWidth="1"/>
    <col min="5" max="5" width="10.44140625" style="673" customWidth="1"/>
    <col min="6" max="6" width="12.33203125" style="673" customWidth="1"/>
    <col min="7" max="7" width="12.6640625" style="673" customWidth="1"/>
    <col min="8" max="256" width="8.88671875" style="673"/>
    <col min="257" max="259" width="9.5546875" style="673" customWidth="1"/>
    <col min="260" max="260" width="10.77734375" style="673" customWidth="1"/>
    <col min="261" max="261" width="10.44140625" style="673" customWidth="1"/>
    <col min="262" max="262" width="12.33203125" style="673" customWidth="1"/>
    <col min="263" max="263" width="12.6640625" style="673" customWidth="1"/>
    <col min="264" max="512" width="8.88671875" style="673"/>
    <col min="513" max="515" width="9.5546875" style="673" customWidth="1"/>
    <col min="516" max="516" width="10.77734375" style="673" customWidth="1"/>
    <col min="517" max="517" width="10.44140625" style="673" customWidth="1"/>
    <col min="518" max="518" width="12.33203125" style="673" customWidth="1"/>
    <col min="519" max="519" width="12.6640625" style="673" customWidth="1"/>
    <col min="520" max="768" width="8.88671875" style="673"/>
    <col min="769" max="771" width="9.5546875" style="673" customWidth="1"/>
    <col min="772" max="772" width="10.77734375" style="673" customWidth="1"/>
    <col min="773" max="773" width="10.44140625" style="673" customWidth="1"/>
    <col min="774" max="774" width="12.33203125" style="673" customWidth="1"/>
    <col min="775" max="775" width="12.6640625" style="673" customWidth="1"/>
    <col min="776" max="1024" width="8.88671875" style="673"/>
    <col min="1025" max="1027" width="9.5546875" style="673" customWidth="1"/>
    <col min="1028" max="1028" width="10.77734375" style="673" customWidth="1"/>
    <col min="1029" max="1029" width="10.44140625" style="673" customWidth="1"/>
    <col min="1030" max="1030" width="12.33203125" style="673" customWidth="1"/>
    <col min="1031" max="1031" width="12.6640625" style="673" customWidth="1"/>
    <col min="1032" max="1280" width="8.88671875" style="673"/>
    <col min="1281" max="1283" width="9.5546875" style="673" customWidth="1"/>
    <col min="1284" max="1284" width="10.77734375" style="673" customWidth="1"/>
    <col min="1285" max="1285" width="10.44140625" style="673" customWidth="1"/>
    <col min="1286" max="1286" width="12.33203125" style="673" customWidth="1"/>
    <col min="1287" max="1287" width="12.6640625" style="673" customWidth="1"/>
    <col min="1288" max="1536" width="8.88671875" style="673"/>
    <col min="1537" max="1539" width="9.5546875" style="673" customWidth="1"/>
    <col min="1540" max="1540" width="10.77734375" style="673" customWidth="1"/>
    <col min="1541" max="1541" width="10.44140625" style="673" customWidth="1"/>
    <col min="1542" max="1542" width="12.33203125" style="673" customWidth="1"/>
    <col min="1543" max="1543" width="12.6640625" style="673" customWidth="1"/>
    <col min="1544" max="1792" width="8.88671875" style="673"/>
    <col min="1793" max="1795" width="9.5546875" style="673" customWidth="1"/>
    <col min="1796" max="1796" width="10.77734375" style="673" customWidth="1"/>
    <col min="1797" max="1797" width="10.44140625" style="673" customWidth="1"/>
    <col min="1798" max="1798" width="12.33203125" style="673" customWidth="1"/>
    <col min="1799" max="1799" width="12.6640625" style="673" customWidth="1"/>
    <col min="1800" max="2048" width="8.88671875" style="673"/>
    <col min="2049" max="2051" width="9.5546875" style="673" customWidth="1"/>
    <col min="2052" max="2052" width="10.77734375" style="673" customWidth="1"/>
    <col min="2053" max="2053" width="10.44140625" style="673" customWidth="1"/>
    <col min="2054" max="2054" width="12.33203125" style="673" customWidth="1"/>
    <col min="2055" max="2055" width="12.6640625" style="673" customWidth="1"/>
    <col min="2056" max="2304" width="8.88671875" style="673"/>
    <col min="2305" max="2307" width="9.5546875" style="673" customWidth="1"/>
    <col min="2308" max="2308" width="10.77734375" style="673" customWidth="1"/>
    <col min="2309" max="2309" width="10.44140625" style="673" customWidth="1"/>
    <col min="2310" max="2310" width="12.33203125" style="673" customWidth="1"/>
    <col min="2311" max="2311" width="12.6640625" style="673" customWidth="1"/>
    <col min="2312" max="2560" width="8.88671875" style="673"/>
    <col min="2561" max="2563" width="9.5546875" style="673" customWidth="1"/>
    <col min="2564" max="2564" width="10.77734375" style="673" customWidth="1"/>
    <col min="2565" max="2565" width="10.44140625" style="673" customWidth="1"/>
    <col min="2566" max="2566" width="12.33203125" style="673" customWidth="1"/>
    <col min="2567" max="2567" width="12.6640625" style="673" customWidth="1"/>
    <col min="2568" max="2816" width="8.88671875" style="673"/>
    <col min="2817" max="2819" width="9.5546875" style="673" customWidth="1"/>
    <col min="2820" max="2820" width="10.77734375" style="673" customWidth="1"/>
    <col min="2821" max="2821" width="10.44140625" style="673" customWidth="1"/>
    <col min="2822" max="2822" width="12.33203125" style="673" customWidth="1"/>
    <col min="2823" max="2823" width="12.6640625" style="673" customWidth="1"/>
    <col min="2824" max="3072" width="8.88671875" style="673"/>
    <col min="3073" max="3075" width="9.5546875" style="673" customWidth="1"/>
    <col min="3076" max="3076" width="10.77734375" style="673" customWidth="1"/>
    <col min="3077" max="3077" width="10.44140625" style="673" customWidth="1"/>
    <col min="3078" max="3078" width="12.33203125" style="673" customWidth="1"/>
    <col min="3079" max="3079" width="12.6640625" style="673" customWidth="1"/>
    <col min="3080" max="3328" width="8.88671875" style="673"/>
    <col min="3329" max="3331" width="9.5546875" style="673" customWidth="1"/>
    <col min="3332" max="3332" width="10.77734375" style="673" customWidth="1"/>
    <col min="3333" max="3333" width="10.44140625" style="673" customWidth="1"/>
    <col min="3334" max="3334" width="12.33203125" style="673" customWidth="1"/>
    <col min="3335" max="3335" width="12.6640625" style="673" customWidth="1"/>
    <col min="3336" max="3584" width="8.88671875" style="673"/>
    <col min="3585" max="3587" width="9.5546875" style="673" customWidth="1"/>
    <col min="3588" max="3588" width="10.77734375" style="673" customWidth="1"/>
    <col min="3589" max="3589" width="10.44140625" style="673" customWidth="1"/>
    <col min="3590" max="3590" width="12.33203125" style="673" customWidth="1"/>
    <col min="3591" max="3591" width="12.6640625" style="673" customWidth="1"/>
    <col min="3592" max="3840" width="8.88671875" style="673"/>
    <col min="3841" max="3843" width="9.5546875" style="673" customWidth="1"/>
    <col min="3844" max="3844" width="10.77734375" style="673" customWidth="1"/>
    <col min="3845" max="3845" width="10.44140625" style="673" customWidth="1"/>
    <col min="3846" max="3846" width="12.33203125" style="673" customWidth="1"/>
    <col min="3847" max="3847" width="12.6640625" style="673" customWidth="1"/>
    <col min="3848" max="4096" width="8.88671875" style="673"/>
    <col min="4097" max="4099" width="9.5546875" style="673" customWidth="1"/>
    <col min="4100" max="4100" width="10.77734375" style="673" customWidth="1"/>
    <col min="4101" max="4101" width="10.44140625" style="673" customWidth="1"/>
    <col min="4102" max="4102" width="12.33203125" style="673" customWidth="1"/>
    <col min="4103" max="4103" width="12.6640625" style="673" customWidth="1"/>
    <col min="4104" max="4352" width="8.88671875" style="673"/>
    <col min="4353" max="4355" width="9.5546875" style="673" customWidth="1"/>
    <col min="4356" max="4356" width="10.77734375" style="673" customWidth="1"/>
    <col min="4357" max="4357" width="10.44140625" style="673" customWidth="1"/>
    <col min="4358" max="4358" width="12.33203125" style="673" customWidth="1"/>
    <col min="4359" max="4359" width="12.6640625" style="673" customWidth="1"/>
    <col min="4360" max="4608" width="8.88671875" style="673"/>
    <col min="4609" max="4611" width="9.5546875" style="673" customWidth="1"/>
    <col min="4612" max="4612" width="10.77734375" style="673" customWidth="1"/>
    <col min="4613" max="4613" width="10.44140625" style="673" customWidth="1"/>
    <col min="4614" max="4614" width="12.33203125" style="673" customWidth="1"/>
    <col min="4615" max="4615" width="12.6640625" style="673" customWidth="1"/>
    <col min="4616" max="4864" width="8.88671875" style="673"/>
    <col min="4865" max="4867" width="9.5546875" style="673" customWidth="1"/>
    <col min="4868" max="4868" width="10.77734375" style="673" customWidth="1"/>
    <col min="4869" max="4869" width="10.44140625" style="673" customWidth="1"/>
    <col min="4870" max="4870" width="12.33203125" style="673" customWidth="1"/>
    <col min="4871" max="4871" width="12.6640625" style="673" customWidth="1"/>
    <col min="4872" max="5120" width="8.88671875" style="673"/>
    <col min="5121" max="5123" width="9.5546875" style="673" customWidth="1"/>
    <col min="5124" max="5124" width="10.77734375" style="673" customWidth="1"/>
    <col min="5125" max="5125" width="10.44140625" style="673" customWidth="1"/>
    <col min="5126" max="5126" width="12.33203125" style="673" customWidth="1"/>
    <col min="5127" max="5127" width="12.6640625" style="673" customWidth="1"/>
    <col min="5128" max="5376" width="8.88671875" style="673"/>
    <col min="5377" max="5379" width="9.5546875" style="673" customWidth="1"/>
    <col min="5380" max="5380" width="10.77734375" style="673" customWidth="1"/>
    <col min="5381" max="5381" width="10.44140625" style="673" customWidth="1"/>
    <col min="5382" max="5382" width="12.33203125" style="673" customWidth="1"/>
    <col min="5383" max="5383" width="12.6640625" style="673" customWidth="1"/>
    <col min="5384" max="5632" width="8.88671875" style="673"/>
    <col min="5633" max="5635" width="9.5546875" style="673" customWidth="1"/>
    <col min="5636" max="5636" width="10.77734375" style="673" customWidth="1"/>
    <col min="5637" max="5637" width="10.44140625" style="673" customWidth="1"/>
    <col min="5638" max="5638" width="12.33203125" style="673" customWidth="1"/>
    <col min="5639" max="5639" width="12.6640625" style="673" customWidth="1"/>
    <col min="5640" max="5888" width="8.88671875" style="673"/>
    <col min="5889" max="5891" width="9.5546875" style="673" customWidth="1"/>
    <col min="5892" max="5892" width="10.77734375" style="673" customWidth="1"/>
    <col min="5893" max="5893" width="10.44140625" style="673" customWidth="1"/>
    <col min="5894" max="5894" width="12.33203125" style="673" customWidth="1"/>
    <col min="5895" max="5895" width="12.6640625" style="673" customWidth="1"/>
    <col min="5896" max="6144" width="8.88671875" style="673"/>
    <col min="6145" max="6147" width="9.5546875" style="673" customWidth="1"/>
    <col min="6148" max="6148" width="10.77734375" style="673" customWidth="1"/>
    <col min="6149" max="6149" width="10.44140625" style="673" customWidth="1"/>
    <col min="6150" max="6150" width="12.33203125" style="673" customWidth="1"/>
    <col min="6151" max="6151" width="12.6640625" style="673" customWidth="1"/>
    <col min="6152" max="6400" width="8.88671875" style="673"/>
    <col min="6401" max="6403" width="9.5546875" style="673" customWidth="1"/>
    <col min="6404" max="6404" width="10.77734375" style="673" customWidth="1"/>
    <col min="6405" max="6405" width="10.44140625" style="673" customWidth="1"/>
    <col min="6406" max="6406" width="12.33203125" style="673" customWidth="1"/>
    <col min="6407" max="6407" width="12.6640625" style="673" customWidth="1"/>
    <col min="6408" max="6656" width="8.88671875" style="673"/>
    <col min="6657" max="6659" width="9.5546875" style="673" customWidth="1"/>
    <col min="6660" max="6660" width="10.77734375" style="673" customWidth="1"/>
    <col min="6661" max="6661" width="10.44140625" style="673" customWidth="1"/>
    <col min="6662" max="6662" width="12.33203125" style="673" customWidth="1"/>
    <col min="6663" max="6663" width="12.6640625" style="673" customWidth="1"/>
    <col min="6664" max="6912" width="8.88671875" style="673"/>
    <col min="6913" max="6915" width="9.5546875" style="673" customWidth="1"/>
    <col min="6916" max="6916" width="10.77734375" style="673" customWidth="1"/>
    <col min="6917" max="6917" width="10.44140625" style="673" customWidth="1"/>
    <col min="6918" max="6918" width="12.33203125" style="673" customWidth="1"/>
    <col min="6919" max="6919" width="12.6640625" style="673" customWidth="1"/>
    <col min="6920" max="7168" width="8.88671875" style="673"/>
    <col min="7169" max="7171" width="9.5546875" style="673" customWidth="1"/>
    <col min="7172" max="7172" width="10.77734375" style="673" customWidth="1"/>
    <col min="7173" max="7173" width="10.44140625" style="673" customWidth="1"/>
    <col min="7174" max="7174" width="12.33203125" style="673" customWidth="1"/>
    <col min="7175" max="7175" width="12.6640625" style="673" customWidth="1"/>
    <col min="7176" max="7424" width="8.88671875" style="673"/>
    <col min="7425" max="7427" width="9.5546875" style="673" customWidth="1"/>
    <col min="7428" max="7428" width="10.77734375" style="673" customWidth="1"/>
    <col min="7429" max="7429" width="10.44140625" style="673" customWidth="1"/>
    <col min="7430" max="7430" width="12.33203125" style="673" customWidth="1"/>
    <col min="7431" max="7431" width="12.6640625" style="673" customWidth="1"/>
    <col min="7432" max="7680" width="8.88671875" style="673"/>
    <col min="7681" max="7683" width="9.5546875" style="673" customWidth="1"/>
    <col min="7684" max="7684" width="10.77734375" style="673" customWidth="1"/>
    <col min="7685" max="7685" width="10.44140625" style="673" customWidth="1"/>
    <col min="7686" max="7686" width="12.33203125" style="673" customWidth="1"/>
    <col min="7687" max="7687" width="12.6640625" style="673" customWidth="1"/>
    <col min="7688" max="7936" width="8.88671875" style="673"/>
    <col min="7937" max="7939" width="9.5546875" style="673" customWidth="1"/>
    <col min="7940" max="7940" width="10.77734375" style="673" customWidth="1"/>
    <col min="7941" max="7941" width="10.44140625" style="673" customWidth="1"/>
    <col min="7942" max="7942" width="12.33203125" style="673" customWidth="1"/>
    <col min="7943" max="7943" width="12.6640625" style="673" customWidth="1"/>
    <col min="7944" max="8192" width="8.88671875" style="673"/>
    <col min="8193" max="8195" width="9.5546875" style="673" customWidth="1"/>
    <col min="8196" max="8196" width="10.77734375" style="673" customWidth="1"/>
    <col min="8197" max="8197" width="10.44140625" style="673" customWidth="1"/>
    <col min="8198" max="8198" width="12.33203125" style="673" customWidth="1"/>
    <col min="8199" max="8199" width="12.6640625" style="673" customWidth="1"/>
    <col min="8200" max="8448" width="8.88671875" style="673"/>
    <col min="8449" max="8451" width="9.5546875" style="673" customWidth="1"/>
    <col min="8452" max="8452" width="10.77734375" style="673" customWidth="1"/>
    <col min="8453" max="8453" width="10.44140625" style="673" customWidth="1"/>
    <col min="8454" max="8454" width="12.33203125" style="673" customWidth="1"/>
    <col min="8455" max="8455" width="12.6640625" style="673" customWidth="1"/>
    <col min="8456" max="8704" width="8.88671875" style="673"/>
    <col min="8705" max="8707" width="9.5546875" style="673" customWidth="1"/>
    <col min="8708" max="8708" width="10.77734375" style="673" customWidth="1"/>
    <col min="8709" max="8709" width="10.44140625" style="673" customWidth="1"/>
    <col min="8710" max="8710" width="12.33203125" style="673" customWidth="1"/>
    <col min="8711" max="8711" width="12.6640625" style="673" customWidth="1"/>
    <col min="8712" max="8960" width="8.88671875" style="673"/>
    <col min="8961" max="8963" width="9.5546875" style="673" customWidth="1"/>
    <col min="8964" max="8964" width="10.77734375" style="673" customWidth="1"/>
    <col min="8965" max="8965" width="10.44140625" style="673" customWidth="1"/>
    <col min="8966" max="8966" width="12.33203125" style="673" customWidth="1"/>
    <col min="8967" max="8967" width="12.6640625" style="673" customWidth="1"/>
    <col min="8968" max="9216" width="8.88671875" style="673"/>
    <col min="9217" max="9219" width="9.5546875" style="673" customWidth="1"/>
    <col min="9220" max="9220" width="10.77734375" style="673" customWidth="1"/>
    <col min="9221" max="9221" width="10.44140625" style="673" customWidth="1"/>
    <col min="9222" max="9222" width="12.33203125" style="673" customWidth="1"/>
    <col min="9223" max="9223" width="12.6640625" style="673" customWidth="1"/>
    <col min="9224" max="9472" width="8.88671875" style="673"/>
    <col min="9473" max="9475" width="9.5546875" style="673" customWidth="1"/>
    <col min="9476" max="9476" width="10.77734375" style="673" customWidth="1"/>
    <col min="9477" max="9477" width="10.44140625" style="673" customWidth="1"/>
    <col min="9478" max="9478" width="12.33203125" style="673" customWidth="1"/>
    <col min="9479" max="9479" width="12.6640625" style="673" customWidth="1"/>
    <col min="9480" max="9728" width="8.88671875" style="673"/>
    <col min="9729" max="9731" width="9.5546875" style="673" customWidth="1"/>
    <col min="9732" max="9732" width="10.77734375" style="673" customWidth="1"/>
    <col min="9733" max="9733" width="10.44140625" style="673" customWidth="1"/>
    <col min="9734" max="9734" width="12.33203125" style="673" customWidth="1"/>
    <col min="9735" max="9735" width="12.6640625" style="673" customWidth="1"/>
    <col min="9736" max="9984" width="8.88671875" style="673"/>
    <col min="9985" max="9987" width="9.5546875" style="673" customWidth="1"/>
    <col min="9988" max="9988" width="10.77734375" style="673" customWidth="1"/>
    <col min="9989" max="9989" width="10.44140625" style="673" customWidth="1"/>
    <col min="9990" max="9990" width="12.33203125" style="673" customWidth="1"/>
    <col min="9991" max="9991" width="12.6640625" style="673" customWidth="1"/>
    <col min="9992" max="10240" width="8.88671875" style="673"/>
    <col min="10241" max="10243" width="9.5546875" style="673" customWidth="1"/>
    <col min="10244" max="10244" width="10.77734375" style="673" customWidth="1"/>
    <col min="10245" max="10245" width="10.44140625" style="673" customWidth="1"/>
    <col min="10246" max="10246" width="12.33203125" style="673" customWidth="1"/>
    <col min="10247" max="10247" width="12.6640625" style="673" customWidth="1"/>
    <col min="10248" max="10496" width="8.88671875" style="673"/>
    <col min="10497" max="10499" width="9.5546875" style="673" customWidth="1"/>
    <col min="10500" max="10500" width="10.77734375" style="673" customWidth="1"/>
    <col min="10501" max="10501" width="10.44140625" style="673" customWidth="1"/>
    <col min="10502" max="10502" width="12.33203125" style="673" customWidth="1"/>
    <col min="10503" max="10503" width="12.6640625" style="673" customWidth="1"/>
    <col min="10504" max="10752" width="8.88671875" style="673"/>
    <col min="10753" max="10755" width="9.5546875" style="673" customWidth="1"/>
    <col min="10756" max="10756" width="10.77734375" style="673" customWidth="1"/>
    <col min="10757" max="10757" width="10.44140625" style="673" customWidth="1"/>
    <col min="10758" max="10758" width="12.33203125" style="673" customWidth="1"/>
    <col min="10759" max="10759" width="12.6640625" style="673" customWidth="1"/>
    <col min="10760" max="11008" width="8.88671875" style="673"/>
    <col min="11009" max="11011" width="9.5546875" style="673" customWidth="1"/>
    <col min="11012" max="11012" width="10.77734375" style="673" customWidth="1"/>
    <col min="11013" max="11013" width="10.44140625" style="673" customWidth="1"/>
    <col min="11014" max="11014" width="12.33203125" style="673" customWidth="1"/>
    <col min="11015" max="11015" width="12.6640625" style="673" customWidth="1"/>
    <col min="11016" max="11264" width="8.88671875" style="673"/>
    <col min="11265" max="11267" width="9.5546875" style="673" customWidth="1"/>
    <col min="11268" max="11268" width="10.77734375" style="673" customWidth="1"/>
    <col min="11269" max="11269" width="10.44140625" style="673" customWidth="1"/>
    <col min="11270" max="11270" width="12.33203125" style="673" customWidth="1"/>
    <col min="11271" max="11271" width="12.6640625" style="673" customWidth="1"/>
    <col min="11272" max="11520" width="8.88671875" style="673"/>
    <col min="11521" max="11523" width="9.5546875" style="673" customWidth="1"/>
    <col min="11524" max="11524" width="10.77734375" style="673" customWidth="1"/>
    <col min="11525" max="11525" width="10.44140625" style="673" customWidth="1"/>
    <col min="11526" max="11526" width="12.33203125" style="673" customWidth="1"/>
    <col min="11527" max="11527" width="12.6640625" style="673" customWidth="1"/>
    <col min="11528" max="11776" width="8.88671875" style="673"/>
    <col min="11777" max="11779" width="9.5546875" style="673" customWidth="1"/>
    <col min="11780" max="11780" width="10.77734375" style="673" customWidth="1"/>
    <col min="11781" max="11781" width="10.44140625" style="673" customWidth="1"/>
    <col min="11782" max="11782" width="12.33203125" style="673" customWidth="1"/>
    <col min="11783" max="11783" width="12.6640625" style="673" customWidth="1"/>
    <col min="11784" max="12032" width="8.88671875" style="673"/>
    <col min="12033" max="12035" width="9.5546875" style="673" customWidth="1"/>
    <col min="12036" max="12036" width="10.77734375" style="673" customWidth="1"/>
    <col min="12037" max="12037" width="10.44140625" style="673" customWidth="1"/>
    <col min="12038" max="12038" width="12.33203125" style="673" customWidth="1"/>
    <col min="12039" max="12039" width="12.6640625" style="673" customWidth="1"/>
    <col min="12040" max="12288" width="8.88671875" style="673"/>
    <col min="12289" max="12291" width="9.5546875" style="673" customWidth="1"/>
    <col min="12292" max="12292" width="10.77734375" style="673" customWidth="1"/>
    <col min="12293" max="12293" width="10.44140625" style="673" customWidth="1"/>
    <col min="12294" max="12294" width="12.33203125" style="673" customWidth="1"/>
    <col min="12295" max="12295" width="12.6640625" style="673" customWidth="1"/>
    <col min="12296" max="12544" width="8.88671875" style="673"/>
    <col min="12545" max="12547" width="9.5546875" style="673" customWidth="1"/>
    <col min="12548" max="12548" width="10.77734375" style="673" customWidth="1"/>
    <col min="12549" max="12549" width="10.44140625" style="673" customWidth="1"/>
    <col min="12550" max="12550" width="12.33203125" style="673" customWidth="1"/>
    <col min="12551" max="12551" width="12.6640625" style="673" customWidth="1"/>
    <col min="12552" max="12800" width="8.88671875" style="673"/>
    <col min="12801" max="12803" width="9.5546875" style="673" customWidth="1"/>
    <col min="12804" max="12804" width="10.77734375" style="673" customWidth="1"/>
    <col min="12805" max="12805" width="10.44140625" style="673" customWidth="1"/>
    <col min="12806" max="12806" width="12.33203125" style="673" customWidth="1"/>
    <col min="12807" max="12807" width="12.6640625" style="673" customWidth="1"/>
    <col min="12808" max="13056" width="8.88671875" style="673"/>
    <col min="13057" max="13059" width="9.5546875" style="673" customWidth="1"/>
    <col min="13060" max="13060" width="10.77734375" style="673" customWidth="1"/>
    <col min="13061" max="13061" width="10.44140625" style="673" customWidth="1"/>
    <col min="13062" max="13062" width="12.33203125" style="673" customWidth="1"/>
    <col min="13063" max="13063" width="12.6640625" style="673" customWidth="1"/>
    <col min="13064" max="13312" width="8.88671875" style="673"/>
    <col min="13313" max="13315" width="9.5546875" style="673" customWidth="1"/>
    <col min="13316" max="13316" width="10.77734375" style="673" customWidth="1"/>
    <col min="13317" max="13317" width="10.44140625" style="673" customWidth="1"/>
    <col min="13318" max="13318" width="12.33203125" style="673" customWidth="1"/>
    <col min="13319" max="13319" width="12.6640625" style="673" customWidth="1"/>
    <col min="13320" max="13568" width="8.88671875" style="673"/>
    <col min="13569" max="13571" width="9.5546875" style="673" customWidth="1"/>
    <col min="13572" max="13572" width="10.77734375" style="673" customWidth="1"/>
    <col min="13573" max="13573" width="10.44140625" style="673" customWidth="1"/>
    <col min="13574" max="13574" width="12.33203125" style="673" customWidth="1"/>
    <col min="13575" max="13575" width="12.6640625" style="673" customWidth="1"/>
    <col min="13576" max="13824" width="8.88671875" style="673"/>
    <col min="13825" max="13827" width="9.5546875" style="673" customWidth="1"/>
    <col min="13828" max="13828" width="10.77734375" style="673" customWidth="1"/>
    <col min="13829" max="13829" width="10.44140625" style="673" customWidth="1"/>
    <col min="13830" max="13830" width="12.33203125" style="673" customWidth="1"/>
    <col min="13831" max="13831" width="12.6640625" style="673" customWidth="1"/>
    <col min="13832" max="14080" width="8.88671875" style="673"/>
    <col min="14081" max="14083" width="9.5546875" style="673" customWidth="1"/>
    <col min="14084" max="14084" width="10.77734375" style="673" customWidth="1"/>
    <col min="14085" max="14085" width="10.44140625" style="673" customWidth="1"/>
    <col min="14086" max="14086" width="12.33203125" style="673" customWidth="1"/>
    <col min="14087" max="14087" width="12.6640625" style="673" customWidth="1"/>
    <col min="14088" max="14336" width="8.88671875" style="673"/>
    <col min="14337" max="14339" width="9.5546875" style="673" customWidth="1"/>
    <col min="14340" max="14340" width="10.77734375" style="673" customWidth="1"/>
    <col min="14341" max="14341" width="10.44140625" style="673" customWidth="1"/>
    <col min="14342" max="14342" width="12.33203125" style="673" customWidth="1"/>
    <col min="14343" max="14343" width="12.6640625" style="673" customWidth="1"/>
    <col min="14344" max="14592" width="8.88671875" style="673"/>
    <col min="14593" max="14595" width="9.5546875" style="673" customWidth="1"/>
    <col min="14596" max="14596" width="10.77734375" style="673" customWidth="1"/>
    <col min="14597" max="14597" width="10.44140625" style="673" customWidth="1"/>
    <col min="14598" max="14598" width="12.33203125" style="673" customWidth="1"/>
    <col min="14599" max="14599" width="12.6640625" style="673" customWidth="1"/>
    <col min="14600" max="14848" width="8.88671875" style="673"/>
    <col min="14849" max="14851" width="9.5546875" style="673" customWidth="1"/>
    <col min="14852" max="14852" width="10.77734375" style="673" customWidth="1"/>
    <col min="14853" max="14853" width="10.44140625" style="673" customWidth="1"/>
    <col min="14854" max="14854" width="12.33203125" style="673" customWidth="1"/>
    <col min="14855" max="14855" width="12.6640625" style="673" customWidth="1"/>
    <col min="14856" max="15104" width="8.88671875" style="673"/>
    <col min="15105" max="15107" width="9.5546875" style="673" customWidth="1"/>
    <col min="15108" max="15108" width="10.77734375" style="673" customWidth="1"/>
    <col min="15109" max="15109" width="10.44140625" style="673" customWidth="1"/>
    <col min="15110" max="15110" width="12.33203125" style="673" customWidth="1"/>
    <col min="15111" max="15111" width="12.6640625" style="673" customWidth="1"/>
    <col min="15112" max="15360" width="8.88671875" style="673"/>
    <col min="15361" max="15363" width="9.5546875" style="673" customWidth="1"/>
    <col min="15364" max="15364" width="10.77734375" style="673" customWidth="1"/>
    <col min="15365" max="15365" width="10.44140625" style="673" customWidth="1"/>
    <col min="15366" max="15366" width="12.33203125" style="673" customWidth="1"/>
    <col min="15367" max="15367" width="12.6640625" style="673" customWidth="1"/>
    <col min="15368" max="15616" width="8.88671875" style="673"/>
    <col min="15617" max="15619" width="9.5546875" style="673" customWidth="1"/>
    <col min="15620" max="15620" width="10.77734375" style="673" customWidth="1"/>
    <col min="15621" max="15621" width="10.44140625" style="673" customWidth="1"/>
    <col min="15622" max="15622" width="12.33203125" style="673" customWidth="1"/>
    <col min="15623" max="15623" width="12.6640625" style="673" customWidth="1"/>
    <col min="15624" max="15872" width="8.88671875" style="673"/>
    <col min="15873" max="15875" width="9.5546875" style="673" customWidth="1"/>
    <col min="15876" max="15876" width="10.77734375" style="673" customWidth="1"/>
    <col min="15877" max="15877" width="10.44140625" style="673" customWidth="1"/>
    <col min="15878" max="15878" width="12.33203125" style="673" customWidth="1"/>
    <col min="15879" max="15879" width="12.6640625" style="673" customWidth="1"/>
    <col min="15880" max="16128" width="8.88671875" style="673"/>
    <col min="16129" max="16131" width="9.5546875" style="673" customWidth="1"/>
    <col min="16132" max="16132" width="10.77734375" style="673" customWidth="1"/>
    <col min="16133" max="16133" width="10.44140625" style="673" customWidth="1"/>
    <col min="16134" max="16134" width="12.33203125" style="673" customWidth="1"/>
    <col min="16135" max="16135" width="12.6640625" style="673" customWidth="1"/>
    <col min="16136" max="16384" width="8.88671875" style="673"/>
  </cols>
  <sheetData>
    <row r="1" spans="1:7" ht="22.5">
      <c r="A1" s="1708"/>
      <c r="B1" s="1709"/>
      <c r="C1" s="1709"/>
      <c r="D1" s="1709"/>
      <c r="E1" s="1709"/>
      <c r="F1" s="1709"/>
      <c r="G1" s="1710"/>
    </row>
    <row r="2" spans="1:7" ht="23.25" customHeight="1">
      <c r="A2" s="1728" t="s">
        <v>794</v>
      </c>
      <c r="B2" s="1729"/>
      <c r="C2" s="1729"/>
      <c r="D2" s="1729"/>
      <c r="E2" s="1729"/>
      <c r="F2" s="1729"/>
      <c r="G2" s="1730"/>
    </row>
    <row r="3" spans="1:7" ht="23.25" customHeight="1">
      <c r="A3" s="674"/>
      <c r="B3" s="730"/>
      <c r="C3" s="730"/>
      <c r="D3" s="730"/>
      <c r="E3" s="730"/>
      <c r="F3" s="730"/>
      <c r="G3" s="675"/>
    </row>
    <row r="4" spans="1:7" ht="23.25" customHeight="1">
      <c r="A4" s="674"/>
      <c r="B4" s="730"/>
      <c r="C4" s="730"/>
      <c r="D4" s="730"/>
      <c r="E4" s="730"/>
      <c r="F4" s="730"/>
      <c r="G4" s="675"/>
    </row>
    <row r="5" spans="1:7" ht="23.25" customHeight="1">
      <c r="A5" s="674"/>
      <c r="B5" s="730"/>
      <c r="C5" s="730"/>
      <c r="D5" s="730"/>
      <c r="E5" s="730"/>
      <c r="F5" s="730"/>
      <c r="G5" s="675"/>
    </row>
    <row r="6" spans="1:7" ht="23.25" customHeight="1">
      <c r="A6" s="674"/>
      <c r="B6" s="730"/>
      <c r="C6" s="730"/>
      <c r="D6" s="730"/>
      <c r="E6" s="730"/>
      <c r="F6" s="730"/>
      <c r="G6" s="675"/>
    </row>
    <row r="7" spans="1:7" ht="23.25" customHeight="1">
      <c r="A7" s="674"/>
      <c r="B7" s="730"/>
      <c r="C7" s="730"/>
      <c r="D7" s="730"/>
      <c r="E7" s="730"/>
      <c r="F7" s="730"/>
      <c r="G7" s="675"/>
    </row>
    <row r="8" spans="1:7" ht="23.25" customHeight="1">
      <c r="A8" s="674"/>
      <c r="B8" s="730"/>
      <c r="C8" s="730"/>
      <c r="D8" s="730"/>
      <c r="E8" s="730"/>
      <c r="F8" s="730"/>
      <c r="G8" s="675"/>
    </row>
    <row r="9" spans="1:7" ht="23.25" customHeight="1">
      <c r="A9" s="674"/>
      <c r="B9" s="730"/>
      <c r="C9" s="730"/>
      <c r="D9" s="730"/>
      <c r="E9" s="730"/>
      <c r="F9" s="730"/>
      <c r="G9" s="675"/>
    </row>
    <row r="10" spans="1:7" ht="23.25" customHeight="1">
      <c r="A10" s="674"/>
      <c r="B10" s="730"/>
      <c r="C10" s="730"/>
      <c r="D10" s="730"/>
      <c r="E10" s="730"/>
      <c r="F10" s="730"/>
      <c r="G10" s="675"/>
    </row>
    <row r="11" spans="1:7" ht="23.25" customHeight="1">
      <c r="A11" s="674"/>
      <c r="B11" s="730"/>
      <c r="C11" s="730"/>
      <c r="D11" s="730"/>
      <c r="E11" s="730"/>
      <c r="F11" s="730"/>
      <c r="G11" s="675"/>
    </row>
    <row r="12" spans="1:7" ht="23.25" customHeight="1">
      <c r="A12" s="674"/>
      <c r="B12" s="730"/>
      <c r="C12" s="730"/>
      <c r="D12" s="730"/>
      <c r="E12" s="730"/>
      <c r="F12" s="730"/>
      <c r="G12" s="675"/>
    </row>
    <row r="13" spans="1:7" ht="23.25" customHeight="1">
      <c r="A13" s="674"/>
      <c r="B13" s="730"/>
      <c r="C13" s="730"/>
      <c r="D13" s="730"/>
      <c r="E13" s="730"/>
      <c r="F13" s="730"/>
      <c r="G13" s="675"/>
    </row>
    <row r="14" spans="1:7" ht="23.25" customHeight="1">
      <c r="A14" s="674"/>
      <c r="B14" s="730"/>
      <c r="C14" s="730"/>
      <c r="D14" s="730"/>
      <c r="E14" s="730"/>
      <c r="F14" s="730"/>
      <c r="G14" s="675"/>
    </row>
    <row r="15" spans="1:7" ht="23.25" customHeight="1">
      <c r="A15" s="674"/>
      <c r="B15" s="730"/>
      <c r="C15" s="730"/>
      <c r="D15" s="730"/>
      <c r="E15" s="730"/>
      <c r="F15" s="730"/>
      <c r="G15" s="675"/>
    </row>
    <row r="16" spans="1:7" ht="23.25" customHeight="1">
      <c r="A16" s="674"/>
      <c r="B16" s="730"/>
      <c r="C16" s="730"/>
      <c r="D16" s="730"/>
      <c r="E16" s="730"/>
      <c r="F16" s="730"/>
      <c r="G16" s="675"/>
    </row>
    <row r="17" spans="1:7" ht="23.25" customHeight="1">
      <c r="A17" s="674"/>
      <c r="B17" s="730"/>
      <c r="C17" s="730"/>
      <c r="D17" s="730"/>
      <c r="E17" s="730"/>
      <c r="F17" s="730"/>
      <c r="G17" s="675"/>
    </row>
    <row r="18" spans="1:7" ht="23.25" customHeight="1">
      <c r="A18" s="674"/>
      <c r="B18" s="730"/>
      <c r="C18" s="730"/>
      <c r="D18" s="730"/>
      <c r="E18" s="730"/>
      <c r="F18" s="730"/>
      <c r="G18" s="675"/>
    </row>
    <row r="19" spans="1:7" ht="23.25" customHeight="1">
      <c r="A19" s="674"/>
      <c r="B19" s="730"/>
      <c r="C19" s="730"/>
      <c r="D19" s="730"/>
      <c r="E19" s="730"/>
      <c r="F19" s="730"/>
      <c r="G19" s="675"/>
    </row>
    <row r="20" spans="1:7" ht="23.25" customHeight="1">
      <c r="A20" s="674"/>
      <c r="B20" s="730"/>
      <c r="C20" s="730"/>
      <c r="D20" s="730"/>
      <c r="E20" s="730"/>
      <c r="F20" s="730"/>
      <c r="G20" s="675"/>
    </row>
    <row r="21" spans="1:7" ht="23.25" customHeight="1">
      <c r="A21" s="674"/>
      <c r="B21" s="730"/>
      <c r="C21" s="730"/>
      <c r="D21" s="730"/>
      <c r="E21" s="730"/>
      <c r="F21" s="730"/>
      <c r="G21" s="675"/>
    </row>
    <row r="22" spans="1:7" ht="23.25" customHeight="1">
      <c r="A22" s="674"/>
      <c r="B22" s="730"/>
      <c r="C22" s="730"/>
      <c r="D22" s="730"/>
      <c r="E22" s="730"/>
      <c r="F22" s="730"/>
      <c r="G22" s="675"/>
    </row>
    <row r="23" spans="1:7" ht="23.25" customHeight="1">
      <c r="A23" s="674"/>
      <c r="B23" s="730"/>
      <c r="C23" s="730"/>
      <c r="D23" s="730"/>
      <c r="E23" s="730"/>
      <c r="F23" s="730"/>
      <c r="G23" s="675"/>
    </row>
    <row r="24" spans="1:7" ht="23.25" customHeight="1">
      <c r="A24" s="674"/>
      <c r="B24" s="730"/>
      <c r="C24" s="730"/>
      <c r="D24" s="730"/>
      <c r="E24" s="730"/>
      <c r="F24" s="730"/>
      <c r="G24" s="675"/>
    </row>
    <row r="25" spans="1:7" ht="23.25" customHeight="1">
      <c r="A25" s="674"/>
      <c r="B25" s="730"/>
      <c r="C25" s="730"/>
      <c r="D25" s="730"/>
      <c r="E25" s="730"/>
      <c r="F25" s="730"/>
      <c r="G25" s="675"/>
    </row>
    <row r="26" spans="1:7" ht="23.25" customHeight="1">
      <c r="A26" s="674"/>
      <c r="B26" s="730"/>
      <c r="C26" s="730"/>
      <c r="D26" s="730"/>
      <c r="E26" s="730"/>
      <c r="F26" s="730"/>
      <c r="G26" s="675"/>
    </row>
    <row r="27" spans="1:7" ht="23.25" customHeight="1">
      <c r="A27" s="674"/>
      <c r="B27" s="730"/>
      <c r="C27" s="730"/>
      <c r="D27" s="730"/>
      <c r="E27" s="730"/>
      <c r="F27" s="730"/>
      <c r="G27" s="675"/>
    </row>
    <row r="28" spans="1:7" ht="23.25" customHeight="1">
      <c r="A28" s="676"/>
      <c r="B28" s="677"/>
      <c r="C28" s="677"/>
      <c r="D28" s="677"/>
      <c r="E28" s="677"/>
      <c r="F28" s="677"/>
      <c r="G28" s="678"/>
    </row>
    <row r="29" spans="1:7" ht="28.5" customHeight="1">
      <c r="A29" s="676"/>
      <c r="B29" s="677"/>
      <c r="C29" s="677"/>
      <c r="D29" s="1713" t="s">
        <v>775</v>
      </c>
      <c r="E29" s="1713"/>
      <c r="F29" s="1713"/>
      <c r="G29" s="1714"/>
    </row>
  </sheetData>
  <mergeCells count="3">
    <mergeCell ref="A1:G1"/>
    <mergeCell ref="A2:G2"/>
    <mergeCell ref="D29:G29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>
    <tabColor rgb="FFFF0000"/>
  </sheetPr>
  <dimension ref="A1:G143"/>
  <sheetViews>
    <sheetView workbookViewId="0">
      <selection sqref="A1:G1"/>
    </sheetView>
  </sheetViews>
  <sheetFormatPr defaultColWidth="8.88671875" defaultRowHeight="24" customHeight="1"/>
  <cols>
    <col min="1" max="1" width="11.77734375" style="536" customWidth="1"/>
    <col min="2" max="2" width="9.44140625" style="536" customWidth="1"/>
    <col min="3" max="3" width="9.44140625" style="522" customWidth="1"/>
    <col min="4" max="4" width="6" style="535" customWidth="1"/>
    <col min="5" max="6" width="13.6640625" style="535" customWidth="1"/>
    <col min="7" max="7" width="9.44140625" style="535" customWidth="1"/>
    <col min="8" max="16384" width="8.88671875" style="523"/>
  </cols>
  <sheetData>
    <row r="1" spans="1:7" s="520" customFormat="1" ht="30" customHeight="1">
      <c r="A1" s="1742" t="s">
        <v>741</v>
      </c>
      <c r="B1" s="1742"/>
      <c r="C1" s="1742"/>
      <c r="D1" s="1742"/>
      <c r="E1" s="1742"/>
      <c r="F1" s="1742"/>
      <c r="G1" s="1742"/>
    </row>
    <row r="2" spans="1:7" s="522" customFormat="1" ht="20.100000000000001" customHeight="1">
      <c r="A2" s="1743" t="s">
        <v>671</v>
      </c>
      <c r="B2" s="1745" t="s">
        <v>672</v>
      </c>
      <c r="C2" s="1745" t="s">
        <v>673</v>
      </c>
      <c r="D2" s="1748" t="s">
        <v>674</v>
      </c>
      <c r="E2" s="521" t="s">
        <v>277</v>
      </c>
      <c r="F2" s="521" t="s">
        <v>439</v>
      </c>
      <c r="G2" s="1749" t="s">
        <v>621</v>
      </c>
    </row>
    <row r="3" spans="1:7" s="522" customFormat="1" ht="20.100000000000001" customHeight="1">
      <c r="A3" s="1744"/>
      <c r="B3" s="1746"/>
      <c r="C3" s="1747"/>
      <c r="D3" s="1746"/>
      <c r="E3" s="603" t="s">
        <v>289</v>
      </c>
      <c r="F3" s="604" t="s">
        <v>675</v>
      </c>
      <c r="G3" s="1750"/>
    </row>
    <row r="4" spans="1:7" ht="20.100000000000001" customHeight="1">
      <c r="A4" s="1736" t="s">
        <v>676</v>
      </c>
      <c r="B4" s="1734" t="s">
        <v>808</v>
      </c>
      <c r="C4" s="1741"/>
      <c r="D4" s="1734" t="s">
        <v>1</v>
      </c>
      <c r="E4" s="525">
        <f>인버트콘크리트!K39</f>
        <v>5.5E-2</v>
      </c>
      <c r="F4" s="525">
        <f>인버트몰탈!K37</f>
        <v>1.4E-2</v>
      </c>
      <c r="G4" s="1735"/>
    </row>
    <row r="5" spans="1:7" ht="20.100000000000001" customHeight="1">
      <c r="A5" s="1737"/>
      <c r="B5" s="1734"/>
      <c r="C5" s="1741"/>
      <c r="D5" s="1734"/>
      <c r="E5" s="524">
        <f>ROUND($C4*E4,2)</f>
        <v>0</v>
      </c>
      <c r="F5" s="526">
        <f>ROUND($C4*F4,3)</f>
        <v>0</v>
      </c>
      <c r="G5" s="1735"/>
    </row>
    <row r="6" spans="1:7" ht="20.100000000000001" customHeight="1">
      <c r="A6" s="1737"/>
      <c r="B6" s="1734" t="s">
        <v>809</v>
      </c>
      <c r="C6" s="1741">
        <f>맨홀유출입수량!D304</f>
        <v>52</v>
      </c>
      <c r="D6" s="1734" t="s">
        <v>1</v>
      </c>
      <c r="E6" s="525">
        <f>인버트콘크리트!N39</f>
        <v>6.7000000000000004E-2</v>
      </c>
      <c r="F6" s="525">
        <f>인버트몰탈!N37</f>
        <v>1.4E-2</v>
      </c>
      <c r="G6" s="1735"/>
    </row>
    <row r="7" spans="1:7" ht="20.100000000000001" customHeight="1">
      <c r="A7" s="1737"/>
      <c r="B7" s="1734"/>
      <c r="C7" s="1741"/>
      <c r="D7" s="1734"/>
      <c r="E7" s="524">
        <f>ROUND($C6*E6,2)</f>
        <v>3.48</v>
      </c>
      <c r="F7" s="526">
        <f>ROUND($C6*F6,3)</f>
        <v>0.72799999999999998</v>
      </c>
      <c r="G7" s="1735"/>
    </row>
    <row r="8" spans="1:7" ht="20.100000000000001" customHeight="1">
      <c r="A8" s="1737"/>
      <c r="B8" s="1739" t="s">
        <v>677</v>
      </c>
      <c r="C8" s="1741">
        <f>맨홀유출입수량!F304</f>
        <v>139</v>
      </c>
      <c r="D8" s="1734" t="s">
        <v>1</v>
      </c>
      <c r="E8" s="525">
        <f>인버트콘크리트!Q39</f>
        <v>8.5000000000000006E-2</v>
      </c>
      <c r="F8" s="525">
        <f>인버트몰탈!Q37</f>
        <v>1.6E-2</v>
      </c>
      <c r="G8" s="1735"/>
    </row>
    <row r="9" spans="1:7" ht="20.100000000000001" customHeight="1">
      <c r="A9" s="1737"/>
      <c r="B9" s="1740"/>
      <c r="C9" s="1741"/>
      <c r="D9" s="1734"/>
      <c r="E9" s="524">
        <f>ROUND($C8*E8,2)</f>
        <v>11.82</v>
      </c>
      <c r="F9" s="526">
        <f>ROUND($C8*F8,3)</f>
        <v>2.2240000000000002</v>
      </c>
      <c r="G9" s="1735"/>
    </row>
    <row r="10" spans="1:7" ht="20.100000000000001" customHeight="1">
      <c r="A10" s="1737"/>
      <c r="B10" s="1739" t="s">
        <v>810</v>
      </c>
      <c r="C10" s="1741">
        <f>맨홀유출입수량!H304</f>
        <v>2</v>
      </c>
      <c r="D10" s="1734" t="s">
        <v>1</v>
      </c>
      <c r="E10" s="525">
        <f>인버트콘크리트!T39</f>
        <v>9.4E-2</v>
      </c>
      <c r="F10" s="525">
        <f>인버트몰탈!T37</f>
        <v>1.7000000000000001E-2</v>
      </c>
      <c r="G10" s="1735"/>
    </row>
    <row r="11" spans="1:7" ht="20.100000000000001" customHeight="1">
      <c r="A11" s="1737"/>
      <c r="B11" s="1740"/>
      <c r="C11" s="1741"/>
      <c r="D11" s="1734"/>
      <c r="E11" s="524">
        <f>ROUND($C10*E10,2)</f>
        <v>0.19</v>
      </c>
      <c r="F11" s="526">
        <f>ROUND($C10*F10,3)</f>
        <v>3.4000000000000002E-2</v>
      </c>
      <c r="G11" s="1735"/>
    </row>
    <row r="12" spans="1:7" ht="20.100000000000001" customHeight="1">
      <c r="A12" s="1737"/>
      <c r="B12" s="1739" t="s">
        <v>811</v>
      </c>
      <c r="C12" s="1741"/>
      <c r="D12" s="1734" t="s">
        <v>1</v>
      </c>
      <c r="E12" s="525">
        <f>인버트콘크리트!W39</f>
        <v>9.6000000000000002E-2</v>
      </c>
      <c r="F12" s="525">
        <f>인버트몰탈!W37</f>
        <v>1.7999999999999999E-2</v>
      </c>
      <c r="G12" s="1735"/>
    </row>
    <row r="13" spans="1:7" ht="20.100000000000001" customHeight="1">
      <c r="A13" s="1737"/>
      <c r="B13" s="1740"/>
      <c r="C13" s="1741"/>
      <c r="D13" s="1734"/>
      <c r="E13" s="524">
        <f>ROUND($C12*E12,2)</f>
        <v>0</v>
      </c>
      <c r="F13" s="526">
        <f>ROUND($C12*F12,3)</f>
        <v>0</v>
      </c>
      <c r="G13" s="1735"/>
    </row>
    <row r="14" spans="1:7" ht="20.100000000000001" customHeight="1">
      <c r="A14" s="1737"/>
      <c r="B14" s="1739" t="s">
        <v>812</v>
      </c>
      <c r="C14" s="1741"/>
      <c r="D14" s="1734" t="s">
        <v>1</v>
      </c>
      <c r="E14" s="525">
        <f>인버트콘크리트!Z39</f>
        <v>9.0999999999999998E-2</v>
      </c>
      <c r="F14" s="525">
        <f>인버트몰탈!Z37</f>
        <v>1.9E-2</v>
      </c>
      <c r="G14" s="1735"/>
    </row>
    <row r="15" spans="1:7" ht="20.100000000000001" customHeight="1">
      <c r="A15" s="1738"/>
      <c r="B15" s="1740"/>
      <c r="C15" s="1741"/>
      <c r="D15" s="1734"/>
      <c r="E15" s="524">
        <f>ROUND($C14*E14,2)</f>
        <v>0</v>
      </c>
      <c r="F15" s="526">
        <f>ROUND($C14*F14,3)</f>
        <v>0</v>
      </c>
      <c r="G15" s="1735"/>
    </row>
    <row r="16" spans="1:7" s="527" customFormat="1" ht="20.100000000000001" customHeight="1">
      <c r="A16" s="1733" t="s">
        <v>678</v>
      </c>
      <c r="B16" s="1734"/>
      <c r="C16" s="605">
        <f>SUM(C4:C15)</f>
        <v>193</v>
      </c>
      <c r="D16" s="606"/>
      <c r="E16" s="607">
        <f>+E5+E7+E9+E11+E13+E15</f>
        <v>15.49</v>
      </c>
      <c r="F16" s="607">
        <f>+F5+F7+F9+F11+F13+F15</f>
        <v>2.9859999999999998</v>
      </c>
      <c r="G16" s="609"/>
    </row>
    <row r="17" spans="1:7" ht="20.100000000000001" customHeight="1">
      <c r="A17" s="1736" t="s">
        <v>679</v>
      </c>
      <c r="B17" s="1734" t="s">
        <v>808</v>
      </c>
      <c r="C17" s="1741"/>
      <c r="D17" s="1734" t="s">
        <v>1</v>
      </c>
      <c r="E17" s="525">
        <f>인버트콘크리트!K41</f>
        <v>0.109</v>
      </c>
      <c r="F17" s="525">
        <f>인버트몰탈!K38</f>
        <v>2.4E-2</v>
      </c>
      <c r="G17" s="1735"/>
    </row>
    <row r="18" spans="1:7" ht="20.100000000000001" customHeight="1">
      <c r="A18" s="1737"/>
      <c r="B18" s="1734"/>
      <c r="C18" s="1741"/>
      <c r="D18" s="1734"/>
      <c r="E18" s="524">
        <f>ROUND($C17*E17,2)</f>
        <v>0</v>
      </c>
      <c r="F18" s="526">
        <f>ROUND($C17*F17,3)</f>
        <v>0</v>
      </c>
      <c r="G18" s="1735"/>
    </row>
    <row r="19" spans="1:7" ht="20.100000000000001" customHeight="1">
      <c r="A19" s="1737"/>
      <c r="B19" s="1734" t="s">
        <v>809</v>
      </c>
      <c r="C19" s="1741"/>
      <c r="D19" s="1734" t="s">
        <v>1</v>
      </c>
      <c r="E19" s="525">
        <f>인버트콘크리트!N41</f>
        <v>0.13200000000000001</v>
      </c>
      <c r="F19" s="525">
        <f>인버트몰탈!N38</f>
        <v>2.5000000000000001E-2</v>
      </c>
      <c r="G19" s="1735"/>
    </row>
    <row r="20" spans="1:7" ht="20.100000000000001" customHeight="1">
      <c r="A20" s="1737"/>
      <c r="B20" s="1734"/>
      <c r="C20" s="1741"/>
      <c r="D20" s="1734"/>
      <c r="E20" s="524">
        <f>ROUND($C19*E19,2)</f>
        <v>0</v>
      </c>
      <c r="F20" s="526">
        <f>ROUND($C19*F19,3)</f>
        <v>0</v>
      </c>
      <c r="G20" s="1735"/>
    </row>
    <row r="21" spans="1:7" ht="20.100000000000001" customHeight="1">
      <c r="A21" s="1737"/>
      <c r="B21" s="1739" t="s">
        <v>677</v>
      </c>
      <c r="C21" s="1741"/>
      <c r="D21" s="1734" t="s">
        <v>1</v>
      </c>
      <c r="E21" s="525">
        <f>인버트콘크리트!Q41</f>
        <v>0.17299999999999999</v>
      </c>
      <c r="F21" s="525">
        <f>인버트몰탈!Q38</f>
        <v>2.7E-2</v>
      </c>
      <c r="G21" s="1735"/>
    </row>
    <row r="22" spans="1:7" ht="20.100000000000001" customHeight="1">
      <c r="A22" s="1737"/>
      <c r="B22" s="1740"/>
      <c r="C22" s="1741"/>
      <c r="D22" s="1734"/>
      <c r="E22" s="524">
        <f>ROUND($C21*E21,2)</f>
        <v>0</v>
      </c>
      <c r="F22" s="526">
        <f>ROUND($C21*F21,3)</f>
        <v>0</v>
      </c>
      <c r="G22" s="1735"/>
    </row>
    <row r="23" spans="1:7" ht="20.100000000000001" customHeight="1">
      <c r="A23" s="1737"/>
      <c r="B23" s="1739" t="s">
        <v>810</v>
      </c>
      <c r="C23" s="1741"/>
      <c r="D23" s="1734" t="s">
        <v>1</v>
      </c>
      <c r="E23" s="525">
        <f>인버트콘크리트!T41</f>
        <v>0.19900000000000001</v>
      </c>
      <c r="F23" s="525">
        <f>인버트몰탈!T38</f>
        <v>2.8000000000000001E-2</v>
      </c>
      <c r="G23" s="1735"/>
    </row>
    <row r="24" spans="1:7" ht="20.100000000000001" customHeight="1">
      <c r="A24" s="1737"/>
      <c r="B24" s="1740"/>
      <c r="C24" s="1741"/>
      <c r="D24" s="1734"/>
      <c r="E24" s="524">
        <f>ROUND($C23*E23,2)</f>
        <v>0</v>
      </c>
      <c r="F24" s="526">
        <f>ROUND($C23*F23,3)</f>
        <v>0</v>
      </c>
      <c r="G24" s="1735"/>
    </row>
    <row r="25" spans="1:7" ht="20.100000000000001" customHeight="1">
      <c r="A25" s="1737"/>
      <c r="B25" s="1739" t="s">
        <v>811</v>
      </c>
      <c r="C25" s="1741"/>
      <c r="D25" s="1734" t="s">
        <v>1</v>
      </c>
      <c r="E25" s="525">
        <f>인버트콘크리트!W41</f>
        <v>0.216</v>
      </c>
      <c r="F25" s="525">
        <f>인버트몰탈!W38</f>
        <v>0.03</v>
      </c>
      <c r="G25" s="1735"/>
    </row>
    <row r="26" spans="1:7" ht="20.100000000000001" customHeight="1">
      <c r="A26" s="1737"/>
      <c r="B26" s="1740"/>
      <c r="C26" s="1741"/>
      <c r="D26" s="1734"/>
      <c r="E26" s="524">
        <f>ROUND($C25*E25,2)</f>
        <v>0</v>
      </c>
      <c r="F26" s="526">
        <f>ROUND($C25*F25,3)</f>
        <v>0</v>
      </c>
      <c r="G26" s="1735"/>
    </row>
    <row r="27" spans="1:7" ht="20.100000000000001" customHeight="1">
      <c r="A27" s="1737"/>
      <c r="B27" s="1739" t="s">
        <v>812</v>
      </c>
      <c r="C27" s="1741"/>
      <c r="D27" s="1734" t="s">
        <v>1</v>
      </c>
      <c r="E27" s="525">
        <f>인버트콘크리트!Z41</f>
        <v>0.22600000000000001</v>
      </c>
      <c r="F27" s="525">
        <f>인버트몰탈!Z38</f>
        <v>3.1E-2</v>
      </c>
      <c r="G27" s="1735"/>
    </row>
    <row r="28" spans="1:7" ht="20.100000000000001" customHeight="1">
      <c r="A28" s="1738"/>
      <c r="B28" s="1740"/>
      <c r="C28" s="1741"/>
      <c r="D28" s="1734"/>
      <c r="E28" s="524">
        <f>ROUND($C27*E27,2)</f>
        <v>0</v>
      </c>
      <c r="F28" s="526">
        <f>ROUND($C27*F27,3)</f>
        <v>0</v>
      </c>
      <c r="G28" s="1735"/>
    </row>
    <row r="29" spans="1:7" s="527" customFormat="1" ht="20.100000000000001" customHeight="1">
      <c r="A29" s="1733" t="s">
        <v>678</v>
      </c>
      <c r="B29" s="1734"/>
      <c r="C29" s="605">
        <f>SUM(C17:C28)</f>
        <v>0</v>
      </c>
      <c r="D29" s="606"/>
      <c r="E29" s="607">
        <f>+E20+E22+E24+E26+E28</f>
        <v>0</v>
      </c>
      <c r="F29" s="608">
        <f>+F20+F22+F24+F26+F28</f>
        <v>0</v>
      </c>
      <c r="G29" s="609"/>
    </row>
    <row r="30" spans="1:7" s="527" customFormat="1" ht="20.100000000000001" customHeight="1">
      <c r="A30" s="1731" t="s">
        <v>680</v>
      </c>
      <c r="B30" s="1732"/>
      <c r="C30" s="528">
        <f>C16+C29</f>
        <v>193</v>
      </c>
      <c r="D30" s="529"/>
      <c r="E30" s="531">
        <f>E16+E29</f>
        <v>15.49</v>
      </c>
      <c r="F30" s="531">
        <f>F16+F29</f>
        <v>2.9859999999999998</v>
      </c>
      <c r="G30" s="530"/>
    </row>
    <row r="31" spans="1:7" ht="20.100000000000001" customHeight="1">
      <c r="A31" s="532"/>
      <c r="B31" s="522"/>
      <c r="C31" s="533"/>
      <c r="D31" s="534"/>
      <c r="E31" s="534"/>
      <c r="F31" s="534"/>
    </row>
    <row r="32" spans="1:7" ht="20.100000000000001" customHeight="1">
      <c r="A32" s="532"/>
      <c r="B32" s="522"/>
      <c r="C32" s="533"/>
      <c r="D32" s="534"/>
      <c r="E32" s="534"/>
      <c r="F32" s="534"/>
    </row>
    <row r="33" spans="1:6" s="535" customFormat="1" ht="20.100000000000001" customHeight="1">
      <c r="A33" s="536"/>
      <c r="B33" s="536"/>
      <c r="C33" s="522"/>
      <c r="D33" s="534"/>
      <c r="E33" s="534"/>
      <c r="F33" s="534"/>
    </row>
    <row r="34" spans="1:6" s="535" customFormat="1" ht="13.5">
      <c r="A34" s="536"/>
      <c r="B34" s="536"/>
      <c r="C34" s="522"/>
      <c r="D34" s="534"/>
      <c r="E34" s="534"/>
      <c r="F34" s="534"/>
    </row>
    <row r="35" spans="1:6" s="535" customFormat="1" ht="13.5">
      <c r="A35" s="536"/>
      <c r="B35" s="536"/>
      <c r="C35" s="522"/>
      <c r="D35" s="534"/>
      <c r="E35" s="534"/>
      <c r="F35" s="534"/>
    </row>
    <row r="36" spans="1:6" s="535" customFormat="1" ht="13.5">
      <c r="A36" s="536"/>
      <c r="B36" s="536"/>
      <c r="C36" s="522"/>
      <c r="D36" s="534"/>
      <c r="E36" s="534"/>
      <c r="F36" s="534"/>
    </row>
    <row r="37" spans="1:6" s="535" customFormat="1" ht="13.5">
      <c r="A37" s="536"/>
      <c r="B37" s="536"/>
      <c r="C37" s="522"/>
      <c r="D37" s="534"/>
      <c r="E37" s="534"/>
      <c r="F37" s="534"/>
    </row>
    <row r="38" spans="1:6" s="535" customFormat="1" ht="13.5">
      <c r="A38" s="536"/>
      <c r="B38" s="536"/>
      <c r="C38" s="522"/>
      <c r="D38" s="534"/>
      <c r="E38" s="534"/>
      <c r="F38" s="534"/>
    </row>
    <row r="39" spans="1:6" s="535" customFormat="1" ht="13.5">
      <c r="A39" s="536"/>
      <c r="B39" s="536"/>
      <c r="C39" s="522"/>
      <c r="D39" s="534"/>
      <c r="E39" s="534"/>
      <c r="F39" s="534"/>
    </row>
    <row r="40" spans="1:6" s="535" customFormat="1" ht="13.5">
      <c r="A40" s="536"/>
      <c r="B40" s="536"/>
      <c r="C40" s="522"/>
      <c r="D40" s="534"/>
      <c r="E40" s="534"/>
      <c r="F40" s="534"/>
    </row>
    <row r="41" spans="1:6" s="535" customFormat="1" ht="13.5">
      <c r="A41" s="536"/>
      <c r="B41" s="536"/>
      <c r="C41" s="522"/>
      <c r="D41" s="534"/>
      <c r="E41" s="534"/>
      <c r="F41" s="534"/>
    </row>
    <row r="42" spans="1:6" s="535" customFormat="1" ht="13.5">
      <c r="A42" s="536"/>
      <c r="B42" s="536"/>
      <c r="C42" s="522"/>
      <c r="D42" s="534"/>
      <c r="E42" s="534"/>
      <c r="F42" s="534"/>
    </row>
    <row r="43" spans="1:6" s="535" customFormat="1" ht="13.5">
      <c r="A43" s="536"/>
      <c r="B43" s="536"/>
      <c r="C43" s="522"/>
      <c r="D43" s="534"/>
      <c r="E43" s="534"/>
      <c r="F43" s="534"/>
    </row>
    <row r="44" spans="1:6" s="535" customFormat="1" ht="13.5">
      <c r="A44" s="536"/>
      <c r="B44" s="536"/>
      <c r="C44" s="522"/>
      <c r="D44" s="534"/>
      <c r="E44" s="534"/>
      <c r="F44" s="534"/>
    </row>
    <row r="45" spans="1:6" s="535" customFormat="1" ht="13.5">
      <c r="A45" s="536"/>
      <c r="B45" s="536"/>
      <c r="C45" s="522"/>
      <c r="D45" s="534"/>
      <c r="E45" s="534"/>
      <c r="F45" s="534"/>
    </row>
    <row r="46" spans="1:6" s="535" customFormat="1" ht="13.5">
      <c r="A46" s="536"/>
      <c r="B46" s="536"/>
      <c r="C46" s="522"/>
      <c r="D46" s="534"/>
      <c r="E46" s="534"/>
      <c r="F46" s="534"/>
    </row>
    <row r="47" spans="1:6" s="535" customFormat="1" ht="13.5">
      <c r="A47" s="536"/>
      <c r="B47" s="536"/>
      <c r="C47" s="522"/>
      <c r="D47" s="534"/>
      <c r="E47" s="534"/>
      <c r="F47" s="534"/>
    </row>
    <row r="48" spans="1:6" s="535" customFormat="1" ht="13.5">
      <c r="A48" s="536"/>
      <c r="B48" s="536"/>
      <c r="C48" s="522"/>
      <c r="D48" s="534"/>
      <c r="E48" s="534"/>
      <c r="F48" s="534"/>
    </row>
    <row r="49" spans="1:6" s="535" customFormat="1" ht="13.5">
      <c r="A49" s="536"/>
      <c r="B49" s="536"/>
      <c r="C49" s="522"/>
      <c r="D49" s="534"/>
      <c r="E49" s="534"/>
      <c r="F49" s="534"/>
    </row>
    <row r="50" spans="1:6" s="535" customFormat="1" ht="13.5">
      <c r="A50" s="536"/>
      <c r="B50" s="536"/>
      <c r="C50" s="522"/>
      <c r="D50" s="534"/>
      <c r="E50" s="534"/>
      <c r="F50" s="534"/>
    </row>
    <row r="51" spans="1:6" s="535" customFormat="1" ht="13.5">
      <c r="A51" s="536"/>
      <c r="B51" s="536"/>
      <c r="C51" s="522"/>
      <c r="D51" s="534"/>
      <c r="E51" s="534"/>
      <c r="F51" s="534"/>
    </row>
    <row r="52" spans="1:6" s="535" customFormat="1" ht="13.5">
      <c r="A52" s="536"/>
      <c r="B52" s="536"/>
      <c r="C52" s="522"/>
      <c r="D52" s="534"/>
      <c r="E52" s="534"/>
      <c r="F52" s="534"/>
    </row>
    <row r="53" spans="1:6" s="535" customFormat="1" ht="13.5">
      <c r="A53" s="536"/>
      <c r="B53" s="536"/>
      <c r="C53" s="522"/>
      <c r="D53" s="534"/>
      <c r="E53" s="534"/>
      <c r="F53" s="534"/>
    </row>
    <row r="54" spans="1:6" s="535" customFormat="1" ht="13.5">
      <c r="A54" s="536"/>
      <c r="B54" s="536"/>
      <c r="C54" s="522"/>
      <c r="D54" s="534"/>
      <c r="E54" s="534"/>
      <c r="F54" s="534"/>
    </row>
    <row r="55" spans="1:6" s="535" customFormat="1" ht="13.5">
      <c r="A55" s="536"/>
      <c r="B55" s="536"/>
      <c r="C55" s="522"/>
      <c r="D55" s="534"/>
      <c r="E55" s="534"/>
      <c r="F55" s="534"/>
    </row>
    <row r="56" spans="1:6" s="535" customFormat="1" ht="13.5">
      <c r="A56" s="536"/>
      <c r="B56" s="536"/>
      <c r="C56" s="522"/>
      <c r="D56" s="534"/>
      <c r="E56" s="534"/>
      <c r="F56" s="534"/>
    </row>
    <row r="57" spans="1:6" s="535" customFormat="1" ht="13.5">
      <c r="A57" s="536"/>
      <c r="B57" s="536"/>
      <c r="C57" s="522"/>
      <c r="D57" s="534"/>
      <c r="E57" s="534"/>
      <c r="F57" s="534"/>
    </row>
    <row r="58" spans="1:6" s="535" customFormat="1" ht="13.5">
      <c r="A58" s="536"/>
      <c r="B58" s="536"/>
      <c r="C58" s="522"/>
      <c r="D58" s="534"/>
      <c r="E58" s="534"/>
      <c r="F58" s="534"/>
    </row>
    <row r="59" spans="1:6" s="535" customFormat="1" ht="13.5">
      <c r="A59" s="536"/>
      <c r="B59" s="536"/>
      <c r="C59" s="522"/>
      <c r="D59" s="534"/>
      <c r="E59" s="534"/>
      <c r="F59" s="534"/>
    </row>
    <row r="60" spans="1:6" s="535" customFormat="1" ht="13.5">
      <c r="A60" s="536"/>
      <c r="B60" s="536"/>
      <c r="C60" s="522"/>
      <c r="D60" s="534"/>
      <c r="E60" s="534"/>
      <c r="F60" s="534"/>
    </row>
    <row r="61" spans="1:6" s="535" customFormat="1" ht="13.5">
      <c r="A61" s="536"/>
      <c r="B61" s="536"/>
      <c r="C61" s="522"/>
      <c r="D61" s="534"/>
      <c r="E61" s="534"/>
      <c r="F61" s="534"/>
    </row>
    <row r="62" spans="1:6" s="535" customFormat="1" ht="13.5">
      <c r="A62" s="536"/>
      <c r="B62" s="536"/>
      <c r="C62" s="522"/>
      <c r="D62" s="534"/>
      <c r="E62" s="534"/>
      <c r="F62" s="534"/>
    </row>
    <row r="63" spans="1:6" s="535" customFormat="1" ht="13.5">
      <c r="A63" s="536"/>
      <c r="B63" s="536"/>
      <c r="C63" s="522"/>
      <c r="D63" s="534"/>
      <c r="E63" s="534"/>
      <c r="F63" s="534"/>
    </row>
    <row r="64" spans="1:6" s="535" customFormat="1" ht="24" customHeight="1">
      <c r="A64" s="536"/>
      <c r="B64" s="536"/>
      <c r="C64" s="522"/>
      <c r="D64" s="534"/>
      <c r="E64" s="534"/>
      <c r="F64" s="534"/>
    </row>
    <row r="65" spans="1:6" s="535" customFormat="1" ht="24" customHeight="1">
      <c r="A65" s="536"/>
      <c r="B65" s="536"/>
      <c r="C65" s="522"/>
      <c r="D65" s="534"/>
      <c r="E65" s="534"/>
      <c r="F65" s="534"/>
    </row>
    <row r="66" spans="1:6" s="535" customFormat="1" ht="24" customHeight="1">
      <c r="A66" s="536"/>
      <c r="B66" s="536"/>
      <c r="C66" s="522"/>
      <c r="D66" s="534"/>
      <c r="E66" s="534"/>
      <c r="F66" s="534"/>
    </row>
    <row r="67" spans="1:6" s="535" customFormat="1" ht="24" customHeight="1">
      <c r="A67" s="536"/>
      <c r="B67" s="536"/>
      <c r="C67" s="522"/>
      <c r="D67" s="534"/>
      <c r="E67" s="534"/>
      <c r="F67" s="534"/>
    </row>
    <row r="68" spans="1:6" s="535" customFormat="1" ht="24" customHeight="1">
      <c r="A68" s="536"/>
      <c r="B68" s="536"/>
      <c r="C68" s="522"/>
      <c r="D68" s="534"/>
      <c r="E68" s="534"/>
      <c r="F68" s="534"/>
    </row>
    <row r="69" spans="1:6" s="535" customFormat="1" ht="24" customHeight="1">
      <c r="A69" s="536"/>
      <c r="B69" s="536"/>
      <c r="C69" s="522"/>
      <c r="D69" s="534"/>
      <c r="E69" s="534"/>
      <c r="F69" s="534"/>
    </row>
    <row r="70" spans="1:6" s="535" customFormat="1" ht="24" customHeight="1">
      <c r="A70" s="536"/>
      <c r="B70" s="536"/>
      <c r="C70" s="522"/>
      <c r="D70" s="534"/>
      <c r="E70" s="534"/>
      <c r="F70" s="534"/>
    </row>
    <row r="71" spans="1:6" s="535" customFormat="1" ht="24" customHeight="1">
      <c r="A71" s="536"/>
      <c r="B71" s="536"/>
      <c r="C71" s="522"/>
      <c r="D71" s="534"/>
      <c r="E71" s="534"/>
      <c r="F71" s="534"/>
    </row>
    <row r="72" spans="1:6" s="535" customFormat="1" ht="24" customHeight="1">
      <c r="A72" s="536"/>
      <c r="B72" s="536"/>
      <c r="C72" s="522"/>
      <c r="D72" s="534"/>
      <c r="E72" s="534"/>
      <c r="F72" s="534"/>
    </row>
    <row r="73" spans="1:6" s="535" customFormat="1" ht="24" customHeight="1">
      <c r="A73" s="536"/>
      <c r="B73" s="536"/>
      <c r="C73" s="522"/>
      <c r="D73" s="534"/>
      <c r="E73" s="534"/>
      <c r="F73" s="534"/>
    </row>
    <row r="74" spans="1:6" s="535" customFormat="1" ht="24" customHeight="1">
      <c r="A74" s="536"/>
      <c r="B74" s="536"/>
      <c r="C74" s="522"/>
      <c r="D74" s="534"/>
      <c r="E74" s="534"/>
      <c r="F74" s="534"/>
    </row>
    <row r="75" spans="1:6" s="535" customFormat="1" ht="24" customHeight="1">
      <c r="A75" s="536"/>
      <c r="B75" s="536"/>
      <c r="C75" s="522"/>
      <c r="D75" s="534"/>
      <c r="E75" s="534"/>
      <c r="F75" s="534"/>
    </row>
    <row r="76" spans="1:6" s="535" customFormat="1" ht="24" customHeight="1">
      <c r="A76" s="536"/>
      <c r="B76" s="536"/>
      <c r="C76" s="522"/>
      <c r="D76" s="534"/>
      <c r="E76" s="534"/>
      <c r="F76" s="534"/>
    </row>
    <row r="77" spans="1:6" s="535" customFormat="1" ht="24" customHeight="1">
      <c r="A77" s="536"/>
      <c r="B77" s="536"/>
      <c r="C77" s="522"/>
      <c r="D77" s="534"/>
      <c r="E77" s="534"/>
      <c r="F77" s="534"/>
    </row>
    <row r="78" spans="1:6" s="535" customFormat="1" ht="24" customHeight="1">
      <c r="A78" s="536"/>
      <c r="B78" s="536"/>
      <c r="C78" s="522"/>
      <c r="D78" s="534"/>
      <c r="E78" s="534"/>
      <c r="F78" s="534"/>
    </row>
    <row r="79" spans="1:6" s="535" customFormat="1" ht="24" customHeight="1">
      <c r="A79" s="536"/>
      <c r="B79" s="536"/>
      <c r="C79" s="522"/>
      <c r="D79" s="534"/>
      <c r="E79" s="534"/>
      <c r="F79" s="534"/>
    </row>
    <row r="80" spans="1:6" s="535" customFormat="1" ht="24" customHeight="1">
      <c r="A80" s="536"/>
      <c r="B80" s="536"/>
      <c r="C80" s="522"/>
      <c r="D80" s="534"/>
      <c r="E80" s="534"/>
      <c r="F80" s="534"/>
    </row>
    <row r="81" spans="1:6" s="535" customFormat="1" ht="24" customHeight="1">
      <c r="A81" s="536"/>
      <c r="B81" s="536"/>
      <c r="C81" s="522"/>
      <c r="D81" s="534"/>
      <c r="E81" s="534"/>
      <c r="F81" s="534"/>
    </row>
    <row r="82" spans="1:6" s="535" customFormat="1" ht="24" customHeight="1">
      <c r="A82" s="536"/>
      <c r="B82" s="536"/>
      <c r="C82" s="522"/>
      <c r="D82" s="534"/>
      <c r="E82" s="534"/>
      <c r="F82" s="534"/>
    </row>
    <row r="83" spans="1:6" s="535" customFormat="1" ht="24" customHeight="1">
      <c r="A83" s="536"/>
      <c r="B83" s="536"/>
      <c r="C83" s="522"/>
      <c r="D83" s="534"/>
      <c r="E83" s="534"/>
      <c r="F83" s="534"/>
    </row>
    <row r="84" spans="1:6" s="535" customFormat="1" ht="24" customHeight="1">
      <c r="A84" s="536"/>
      <c r="B84" s="536"/>
      <c r="C84" s="522"/>
      <c r="D84" s="534"/>
      <c r="E84" s="534"/>
      <c r="F84" s="534"/>
    </row>
    <row r="85" spans="1:6" s="535" customFormat="1" ht="24" customHeight="1">
      <c r="A85" s="536"/>
      <c r="B85" s="536"/>
      <c r="C85" s="522"/>
      <c r="D85" s="534"/>
      <c r="E85" s="534"/>
      <c r="F85" s="534"/>
    </row>
    <row r="86" spans="1:6" s="535" customFormat="1" ht="24" customHeight="1">
      <c r="A86" s="536"/>
      <c r="B86" s="536"/>
      <c r="C86" s="522"/>
      <c r="D86" s="534"/>
      <c r="E86" s="534"/>
      <c r="F86" s="534"/>
    </row>
    <row r="87" spans="1:6" s="535" customFormat="1" ht="24" customHeight="1">
      <c r="A87" s="536"/>
      <c r="B87" s="536"/>
      <c r="C87" s="522"/>
      <c r="D87" s="534"/>
      <c r="E87" s="534"/>
      <c r="F87" s="534"/>
    </row>
    <row r="88" spans="1:6" s="535" customFormat="1" ht="24" customHeight="1">
      <c r="A88" s="536"/>
      <c r="B88" s="536"/>
      <c r="C88" s="522"/>
      <c r="D88" s="534"/>
      <c r="E88" s="534"/>
      <c r="F88" s="534"/>
    </row>
    <row r="89" spans="1:6" s="535" customFormat="1" ht="24" customHeight="1">
      <c r="A89" s="536"/>
      <c r="B89" s="536"/>
      <c r="C89" s="522"/>
      <c r="D89" s="534"/>
      <c r="E89" s="534"/>
      <c r="F89" s="534"/>
    </row>
    <row r="90" spans="1:6" s="535" customFormat="1" ht="24" customHeight="1">
      <c r="A90" s="536"/>
      <c r="B90" s="536"/>
      <c r="C90" s="522"/>
      <c r="D90" s="534"/>
      <c r="E90" s="534"/>
      <c r="F90" s="534"/>
    </row>
    <row r="91" spans="1:6" s="535" customFormat="1" ht="24" customHeight="1">
      <c r="A91" s="536"/>
      <c r="B91" s="536"/>
      <c r="C91" s="522"/>
      <c r="D91" s="534"/>
      <c r="E91" s="534"/>
      <c r="F91" s="534"/>
    </row>
    <row r="92" spans="1:6" s="535" customFormat="1" ht="24" customHeight="1">
      <c r="A92" s="536"/>
      <c r="B92" s="536"/>
      <c r="C92" s="522"/>
      <c r="D92" s="534"/>
      <c r="E92" s="534"/>
      <c r="F92" s="534"/>
    </row>
    <row r="93" spans="1:6" s="535" customFormat="1" ht="24" customHeight="1">
      <c r="A93" s="536"/>
      <c r="B93" s="536"/>
      <c r="C93" s="522"/>
      <c r="D93" s="534"/>
      <c r="E93" s="534"/>
      <c r="F93" s="534"/>
    </row>
    <row r="94" spans="1:6" s="535" customFormat="1" ht="24" customHeight="1">
      <c r="A94" s="536"/>
      <c r="B94" s="536"/>
      <c r="C94" s="522"/>
      <c r="D94" s="534"/>
      <c r="E94" s="534"/>
      <c r="F94" s="534"/>
    </row>
    <row r="95" spans="1:6" s="535" customFormat="1" ht="24" customHeight="1">
      <c r="A95" s="536"/>
      <c r="B95" s="536"/>
      <c r="C95" s="522"/>
      <c r="D95" s="534"/>
      <c r="E95" s="534"/>
      <c r="F95" s="534"/>
    </row>
    <row r="96" spans="1:6" s="535" customFormat="1" ht="24" customHeight="1">
      <c r="A96" s="536"/>
      <c r="B96" s="536"/>
      <c r="C96" s="522"/>
      <c r="D96" s="534"/>
      <c r="E96" s="534"/>
      <c r="F96" s="534"/>
    </row>
    <row r="97" spans="1:6" s="535" customFormat="1" ht="24" customHeight="1">
      <c r="A97" s="536"/>
      <c r="B97" s="536"/>
      <c r="C97" s="522"/>
      <c r="D97" s="534"/>
      <c r="E97" s="534"/>
      <c r="F97" s="534"/>
    </row>
    <row r="98" spans="1:6" s="535" customFormat="1" ht="24" customHeight="1">
      <c r="A98" s="536"/>
      <c r="B98" s="536"/>
      <c r="C98" s="522"/>
      <c r="D98" s="534"/>
      <c r="E98" s="534"/>
      <c r="F98" s="534"/>
    </row>
    <row r="99" spans="1:6" s="535" customFormat="1" ht="24" customHeight="1">
      <c r="A99" s="536"/>
      <c r="B99" s="536"/>
      <c r="C99" s="522"/>
      <c r="D99" s="534"/>
      <c r="E99" s="534"/>
      <c r="F99" s="534"/>
    </row>
    <row r="100" spans="1:6" s="535" customFormat="1" ht="24" customHeight="1">
      <c r="A100" s="536"/>
      <c r="B100" s="536"/>
      <c r="C100" s="522"/>
      <c r="D100" s="534"/>
      <c r="E100" s="534"/>
      <c r="F100" s="534"/>
    </row>
    <row r="101" spans="1:6" s="535" customFormat="1" ht="24" customHeight="1">
      <c r="A101" s="536"/>
      <c r="B101" s="536"/>
      <c r="C101" s="522"/>
      <c r="D101" s="534"/>
      <c r="E101" s="534"/>
      <c r="F101" s="534"/>
    </row>
    <row r="102" spans="1:6" s="535" customFormat="1" ht="24" customHeight="1">
      <c r="A102" s="536"/>
      <c r="B102" s="536"/>
      <c r="C102" s="522"/>
      <c r="D102" s="534"/>
      <c r="E102" s="534"/>
      <c r="F102" s="534"/>
    </row>
    <row r="103" spans="1:6" s="535" customFormat="1" ht="24" customHeight="1">
      <c r="A103" s="536"/>
      <c r="B103" s="536"/>
      <c r="C103" s="522"/>
      <c r="D103" s="534"/>
      <c r="E103" s="534"/>
      <c r="F103" s="534"/>
    </row>
    <row r="104" spans="1:6" s="535" customFormat="1" ht="24" customHeight="1">
      <c r="A104" s="536"/>
      <c r="B104" s="536"/>
      <c r="C104" s="522"/>
      <c r="D104" s="534"/>
      <c r="E104" s="534"/>
      <c r="F104" s="534"/>
    </row>
    <row r="105" spans="1:6" s="535" customFormat="1" ht="24" customHeight="1">
      <c r="A105" s="536"/>
      <c r="B105" s="536"/>
      <c r="C105" s="522"/>
      <c r="D105" s="534"/>
      <c r="E105" s="534"/>
      <c r="F105" s="534"/>
    </row>
    <row r="106" spans="1:6" s="535" customFormat="1" ht="24" customHeight="1">
      <c r="A106" s="536"/>
      <c r="B106" s="536"/>
      <c r="C106" s="522"/>
      <c r="D106" s="534"/>
      <c r="E106" s="534"/>
      <c r="F106" s="534"/>
    </row>
    <row r="107" spans="1:6" s="535" customFormat="1" ht="24" customHeight="1">
      <c r="A107" s="536"/>
      <c r="B107" s="536"/>
      <c r="C107" s="522"/>
      <c r="D107" s="534"/>
      <c r="E107" s="534"/>
      <c r="F107" s="534"/>
    </row>
    <row r="108" spans="1:6" s="535" customFormat="1" ht="24" customHeight="1">
      <c r="A108" s="536"/>
      <c r="B108" s="536"/>
      <c r="C108" s="522"/>
      <c r="D108" s="534"/>
      <c r="E108" s="534"/>
      <c r="F108" s="534"/>
    </row>
    <row r="109" spans="1:6" s="535" customFormat="1" ht="24" customHeight="1">
      <c r="A109" s="536"/>
      <c r="B109" s="536"/>
      <c r="C109" s="522"/>
      <c r="D109" s="534"/>
      <c r="E109" s="534"/>
      <c r="F109" s="534"/>
    </row>
    <row r="110" spans="1:6" s="535" customFormat="1" ht="24" customHeight="1">
      <c r="A110" s="536"/>
      <c r="B110" s="536"/>
      <c r="C110" s="522"/>
      <c r="D110" s="534"/>
      <c r="E110" s="534"/>
      <c r="F110" s="534"/>
    </row>
    <row r="111" spans="1:6" s="535" customFormat="1" ht="24" customHeight="1">
      <c r="A111" s="536"/>
      <c r="B111" s="536"/>
      <c r="C111" s="522"/>
      <c r="D111" s="534"/>
      <c r="E111" s="534"/>
      <c r="F111" s="534"/>
    </row>
    <row r="112" spans="1:6" s="535" customFormat="1" ht="24" customHeight="1">
      <c r="A112" s="536"/>
      <c r="B112" s="536"/>
      <c r="C112" s="522"/>
      <c r="D112" s="534"/>
      <c r="E112" s="534"/>
      <c r="F112" s="534"/>
    </row>
    <row r="113" spans="1:6" s="535" customFormat="1" ht="24" customHeight="1">
      <c r="A113" s="536"/>
      <c r="B113" s="536"/>
      <c r="C113" s="522"/>
      <c r="D113" s="534"/>
      <c r="E113" s="534"/>
      <c r="F113" s="534"/>
    </row>
    <row r="114" spans="1:6" s="535" customFormat="1" ht="24" customHeight="1">
      <c r="A114" s="536"/>
      <c r="B114" s="536"/>
      <c r="C114" s="522"/>
      <c r="D114" s="534"/>
      <c r="E114" s="534"/>
      <c r="F114" s="534"/>
    </row>
    <row r="115" spans="1:6" s="535" customFormat="1" ht="24" customHeight="1">
      <c r="A115" s="536"/>
      <c r="B115" s="536"/>
      <c r="C115" s="522"/>
      <c r="D115" s="534"/>
      <c r="E115" s="534"/>
      <c r="F115" s="534"/>
    </row>
    <row r="116" spans="1:6" s="535" customFormat="1" ht="24" customHeight="1">
      <c r="A116" s="536"/>
      <c r="B116" s="536"/>
      <c r="C116" s="522"/>
      <c r="D116" s="534"/>
      <c r="E116" s="534"/>
      <c r="F116" s="534"/>
    </row>
    <row r="117" spans="1:6" s="535" customFormat="1" ht="24" customHeight="1">
      <c r="A117" s="536"/>
      <c r="B117" s="536"/>
      <c r="C117" s="522"/>
      <c r="D117" s="534"/>
      <c r="E117" s="534"/>
      <c r="F117" s="534"/>
    </row>
    <row r="118" spans="1:6" s="535" customFormat="1" ht="24" customHeight="1">
      <c r="A118" s="536"/>
      <c r="B118" s="536"/>
      <c r="C118" s="522"/>
      <c r="D118" s="534"/>
      <c r="E118" s="534"/>
      <c r="F118" s="534"/>
    </row>
    <row r="119" spans="1:6" s="535" customFormat="1" ht="24" customHeight="1">
      <c r="A119" s="536"/>
      <c r="B119" s="536"/>
      <c r="C119" s="522"/>
      <c r="D119" s="534"/>
      <c r="E119" s="534"/>
      <c r="F119" s="534"/>
    </row>
    <row r="120" spans="1:6" s="535" customFormat="1" ht="24" customHeight="1">
      <c r="A120" s="536"/>
      <c r="B120" s="536"/>
      <c r="C120" s="522"/>
      <c r="D120" s="534"/>
      <c r="E120" s="534"/>
      <c r="F120" s="534"/>
    </row>
    <row r="121" spans="1:6" s="535" customFormat="1" ht="24" customHeight="1">
      <c r="A121" s="536"/>
      <c r="B121" s="536"/>
      <c r="C121" s="522"/>
      <c r="D121" s="534"/>
      <c r="E121" s="534"/>
      <c r="F121" s="534"/>
    </row>
    <row r="122" spans="1:6" s="535" customFormat="1" ht="24" customHeight="1">
      <c r="A122" s="536"/>
      <c r="B122" s="536"/>
      <c r="C122" s="522"/>
      <c r="D122" s="534"/>
      <c r="E122" s="534"/>
      <c r="F122" s="534"/>
    </row>
    <row r="123" spans="1:6" s="535" customFormat="1" ht="24" customHeight="1">
      <c r="A123" s="536"/>
      <c r="B123" s="536"/>
      <c r="C123" s="522"/>
      <c r="D123" s="534"/>
      <c r="E123" s="534"/>
      <c r="F123" s="534"/>
    </row>
    <row r="124" spans="1:6" s="535" customFormat="1" ht="24" customHeight="1">
      <c r="A124" s="536"/>
      <c r="B124" s="536"/>
      <c r="C124" s="522"/>
      <c r="D124" s="534"/>
      <c r="E124" s="534"/>
      <c r="F124" s="534"/>
    </row>
    <row r="125" spans="1:6" s="535" customFormat="1" ht="24" customHeight="1">
      <c r="A125" s="536"/>
      <c r="B125" s="536"/>
      <c r="C125" s="522"/>
      <c r="D125" s="534"/>
      <c r="E125" s="534"/>
      <c r="F125" s="534"/>
    </row>
    <row r="126" spans="1:6" s="535" customFormat="1" ht="24" customHeight="1">
      <c r="A126" s="536"/>
      <c r="B126" s="536"/>
      <c r="C126" s="522"/>
      <c r="D126" s="534"/>
      <c r="E126" s="534"/>
      <c r="F126" s="534"/>
    </row>
    <row r="127" spans="1:6" s="535" customFormat="1" ht="24" customHeight="1">
      <c r="A127" s="536"/>
      <c r="B127" s="536"/>
      <c r="C127" s="522"/>
      <c r="D127" s="534"/>
      <c r="E127" s="534"/>
      <c r="F127" s="534"/>
    </row>
    <row r="128" spans="1:6" s="535" customFormat="1" ht="24" customHeight="1">
      <c r="A128" s="536"/>
      <c r="B128" s="536"/>
      <c r="C128" s="522"/>
      <c r="D128" s="534"/>
      <c r="E128" s="534"/>
      <c r="F128" s="534"/>
    </row>
    <row r="129" spans="1:6" s="535" customFormat="1" ht="24" customHeight="1">
      <c r="A129" s="536"/>
      <c r="B129" s="536"/>
      <c r="C129" s="522"/>
      <c r="D129" s="534"/>
      <c r="E129" s="534"/>
      <c r="F129" s="534"/>
    </row>
    <row r="130" spans="1:6" s="535" customFormat="1" ht="24" customHeight="1">
      <c r="A130" s="536"/>
      <c r="B130" s="536"/>
      <c r="C130" s="522"/>
      <c r="D130" s="534"/>
      <c r="E130" s="534"/>
      <c r="F130" s="534"/>
    </row>
    <row r="131" spans="1:6" s="535" customFormat="1" ht="24" customHeight="1">
      <c r="A131" s="536"/>
      <c r="B131" s="536"/>
      <c r="C131" s="522"/>
      <c r="D131" s="534"/>
      <c r="E131" s="534"/>
      <c r="F131" s="534"/>
    </row>
    <row r="132" spans="1:6" s="535" customFormat="1" ht="24" customHeight="1">
      <c r="A132" s="536"/>
      <c r="B132" s="536"/>
      <c r="C132" s="522"/>
      <c r="D132" s="534"/>
      <c r="E132" s="534"/>
      <c r="F132" s="534"/>
    </row>
    <row r="133" spans="1:6" s="535" customFormat="1" ht="24" customHeight="1">
      <c r="A133" s="536"/>
      <c r="B133" s="536"/>
      <c r="C133" s="522"/>
      <c r="D133" s="534"/>
      <c r="E133" s="534"/>
      <c r="F133" s="534"/>
    </row>
    <row r="134" spans="1:6" s="535" customFormat="1" ht="24" customHeight="1">
      <c r="A134" s="536"/>
      <c r="B134" s="536"/>
      <c r="C134" s="522"/>
      <c r="D134" s="534"/>
      <c r="E134" s="534"/>
      <c r="F134" s="534"/>
    </row>
    <row r="135" spans="1:6" s="535" customFormat="1" ht="24" customHeight="1">
      <c r="A135" s="536"/>
      <c r="B135" s="536"/>
      <c r="C135" s="522"/>
      <c r="D135" s="534"/>
      <c r="E135" s="534"/>
      <c r="F135" s="534"/>
    </row>
    <row r="136" spans="1:6" s="535" customFormat="1" ht="24" customHeight="1">
      <c r="A136" s="536"/>
      <c r="B136" s="536"/>
      <c r="C136" s="522"/>
      <c r="D136" s="534"/>
      <c r="E136" s="534"/>
      <c r="F136" s="534"/>
    </row>
    <row r="137" spans="1:6" s="535" customFormat="1" ht="24" customHeight="1">
      <c r="A137" s="536"/>
      <c r="B137" s="536"/>
      <c r="C137" s="522"/>
      <c r="D137" s="534"/>
      <c r="E137" s="534"/>
      <c r="F137" s="534"/>
    </row>
    <row r="138" spans="1:6" s="535" customFormat="1" ht="24" customHeight="1">
      <c r="A138" s="536"/>
      <c r="B138" s="536"/>
      <c r="C138" s="522"/>
      <c r="D138" s="534"/>
      <c r="E138" s="534"/>
      <c r="F138" s="534"/>
    </row>
    <row r="139" spans="1:6" s="535" customFormat="1" ht="24" customHeight="1">
      <c r="A139" s="536"/>
      <c r="B139" s="536"/>
      <c r="C139" s="522"/>
      <c r="D139" s="534"/>
      <c r="E139" s="534"/>
      <c r="F139" s="534"/>
    </row>
    <row r="140" spans="1:6" s="535" customFormat="1" ht="24" customHeight="1">
      <c r="A140" s="536"/>
      <c r="B140" s="536"/>
      <c r="C140" s="522"/>
      <c r="D140" s="534"/>
      <c r="E140" s="534"/>
      <c r="F140" s="534"/>
    </row>
    <row r="141" spans="1:6" s="535" customFormat="1" ht="24" customHeight="1">
      <c r="A141" s="536"/>
      <c r="B141" s="536"/>
      <c r="C141" s="522"/>
      <c r="D141" s="534"/>
      <c r="E141" s="534"/>
      <c r="F141" s="534"/>
    </row>
    <row r="142" spans="1:6" s="535" customFormat="1" ht="24" customHeight="1">
      <c r="A142" s="536"/>
      <c r="B142" s="536"/>
      <c r="C142" s="522"/>
      <c r="D142" s="534"/>
      <c r="E142" s="534"/>
      <c r="F142" s="534"/>
    </row>
    <row r="143" spans="1:6" s="535" customFormat="1" ht="24" customHeight="1">
      <c r="A143" s="536"/>
      <c r="B143" s="536"/>
      <c r="C143" s="522"/>
      <c r="D143" s="534"/>
      <c r="E143" s="534"/>
      <c r="F143" s="534"/>
    </row>
  </sheetData>
  <mergeCells count="59">
    <mergeCell ref="B4:B5"/>
    <mergeCell ref="C4:C5"/>
    <mergeCell ref="D4:D5"/>
    <mergeCell ref="G4:G5"/>
    <mergeCell ref="A4:A15"/>
    <mergeCell ref="B6:B7"/>
    <mergeCell ref="C6:C7"/>
    <mergeCell ref="D6:D7"/>
    <mergeCell ref="G6:G7"/>
    <mergeCell ref="B8:B9"/>
    <mergeCell ref="C8:C9"/>
    <mergeCell ref="D8:D9"/>
    <mergeCell ref="B10:B11"/>
    <mergeCell ref="C10:C11"/>
    <mergeCell ref="G8:G9"/>
    <mergeCell ref="G10:G11"/>
    <mergeCell ref="A1:G1"/>
    <mergeCell ref="A2:A3"/>
    <mergeCell ref="B2:B3"/>
    <mergeCell ref="C2:C3"/>
    <mergeCell ref="D2:D3"/>
    <mergeCell ref="G2:G3"/>
    <mergeCell ref="D10:D11"/>
    <mergeCell ref="B12:B13"/>
    <mergeCell ref="C12:C13"/>
    <mergeCell ref="D12:D13"/>
    <mergeCell ref="G12:G13"/>
    <mergeCell ref="G21:G22"/>
    <mergeCell ref="G23:G24"/>
    <mergeCell ref="B14:B15"/>
    <mergeCell ref="C14:C15"/>
    <mergeCell ref="D14:D15"/>
    <mergeCell ref="G14:G15"/>
    <mergeCell ref="A16:B16"/>
    <mergeCell ref="D19:D20"/>
    <mergeCell ref="G19:G20"/>
    <mergeCell ref="B21:B22"/>
    <mergeCell ref="C21:C22"/>
    <mergeCell ref="D21:D22"/>
    <mergeCell ref="B17:B18"/>
    <mergeCell ref="C17:C18"/>
    <mergeCell ref="B23:B24"/>
    <mergeCell ref="C23:C24"/>
    <mergeCell ref="A30:B30"/>
    <mergeCell ref="A29:B29"/>
    <mergeCell ref="D17:D18"/>
    <mergeCell ref="G17:G18"/>
    <mergeCell ref="A17:A28"/>
    <mergeCell ref="D23:D24"/>
    <mergeCell ref="B25:B26"/>
    <mergeCell ref="C25:C26"/>
    <mergeCell ref="D25:D26"/>
    <mergeCell ref="G25:G26"/>
    <mergeCell ref="B27:B28"/>
    <mergeCell ref="C27:C28"/>
    <mergeCell ref="D27:D28"/>
    <mergeCell ref="G27:G28"/>
    <mergeCell ref="B19:B20"/>
    <mergeCell ref="C19:C20"/>
  </mergeCells>
  <phoneticPr fontId="13" type="noConversion"/>
  <printOptions horizontalCentered="1"/>
  <pageMargins left="0.70866141732283472" right="0.70866141732283472" top="0.98425196850393704" bottom="0.78740157480314965" header="0.51181102362204722" footer="0.11811023622047245"/>
  <pageSetup paperSize="9" scale="9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>
    <tabColor rgb="FFFFC000"/>
  </sheetPr>
  <dimension ref="A1:AK42"/>
  <sheetViews>
    <sheetView workbookViewId="0">
      <selection sqref="A1:AK1"/>
    </sheetView>
  </sheetViews>
  <sheetFormatPr defaultColWidth="2.109375" defaultRowHeight="14.25"/>
  <cols>
    <col min="1" max="16384" width="2.109375" style="557"/>
  </cols>
  <sheetData>
    <row r="1" spans="1:37" s="537" customFormat="1" ht="30" customHeight="1">
      <c r="A1" s="1742" t="s">
        <v>742</v>
      </c>
      <c r="B1" s="1742"/>
      <c r="C1" s="1742"/>
      <c r="D1" s="1742"/>
      <c r="E1" s="1742"/>
      <c r="F1" s="1742"/>
      <c r="G1" s="1742"/>
      <c r="H1" s="1742"/>
      <c r="I1" s="1742"/>
      <c r="J1" s="1742"/>
      <c r="K1" s="1742"/>
      <c r="L1" s="1742"/>
      <c r="M1" s="1742"/>
      <c r="N1" s="1742"/>
      <c r="O1" s="1742"/>
      <c r="P1" s="1742"/>
      <c r="Q1" s="1742"/>
      <c r="R1" s="1742"/>
      <c r="S1" s="1742"/>
      <c r="T1" s="1742"/>
      <c r="U1" s="1742"/>
      <c r="V1" s="1742"/>
      <c r="W1" s="1742"/>
      <c r="X1" s="1742"/>
      <c r="Y1" s="1742"/>
      <c r="Z1" s="1742"/>
      <c r="AA1" s="1742"/>
      <c r="AB1" s="1742"/>
      <c r="AC1" s="1742"/>
      <c r="AD1" s="1742"/>
      <c r="AE1" s="1742"/>
      <c r="AF1" s="1742"/>
      <c r="AG1" s="1742"/>
      <c r="AH1" s="1742"/>
      <c r="AI1" s="1742"/>
      <c r="AJ1" s="1742"/>
      <c r="AK1" s="1742"/>
    </row>
    <row r="2" spans="1:37" s="542" customFormat="1" ht="15" customHeight="1">
      <c r="A2" s="538"/>
      <c r="B2" s="539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0"/>
      <c r="AF2" s="540"/>
      <c r="AG2" s="540"/>
      <c r="AH2" s="540"/>
      <c r="AI2" s="540"/>
      <c r="AJ2" s="540"/>
      <c r="AK2" s="541"/>
    </row>
    <row r="3" spans="1:37" s="542" customFormat="1" ht="15" customHeight="1">
      <c r="A3" s="543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 t="s">
        <v>681</v>
      </c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544"/>
    </row>
    <row r="4" spans="1:37" s="542" customFormat="1" ht="15" customHeight="1">
      <c r="A4" s="543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544"/>
    </row>
    <row r="5" spans="1:37" s="542" customFormat="1" ht="15" customHeight="1">
      <c r="A5" s="543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544"/>
    </row>
    <row r="6" spans="1:37" s="542" customFormat="1" ht="15" customHeight="1">
      <c r="A6" s="543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544"/>
    </row>
    <row r="7" spans="1:37" s="542" customFormat="1" ht="15" customHeight="1">
      <c r="A7" s="543"/>
      <c r="B7" s="26"/>
      <c r="C7" s="26"/>
      <c r="D7" s="26"/>
      <c r="E7" s="26"/>
      <c r="F7" s="26"/>
      <c r="G7" s="26"/>
      <c r="H7" s="26"/>
      <c r="I7" s="26" t="s">
        <v>682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 t="s">
        <v>682</v>
      </c>
      <c r="AD7" s="26"/>
      <c r="AE7" s="26"/>
      <c r="AF7" s="26"/>
      <c r="AG7" s="26"/>
      <c r="AH7" s="26"/>
      <c r="AI7" s="26"/>
      <c r="AJ7" s="26"/>
      <c r="AK7" s="544"/>
    </row>
    <row r="8" spans="1:37" s="542" customFormat="1" ht="15" customHeight="1">
      <c r="A8" s="543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544"/>
    </row>
    <row r="9" spans="1:37" s="542" customFormat="1" ht="15" customHeight="1">
      <c r="A9" s="543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544"/>
    </row>
    <row r="10" spans="1:37" s="542" customFormat="1" ht="15" customHeight="1">
      <c r="A10" s="543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544"/>
    </row>
    <row r="11" spans="1:37" s="542" customFormat="1" ht="15" customHeight="1">
      <c r="A11" s="543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544"/>
    </row>
    <row r="12" spans="1:37" s="542" customFormat="1" ht="15" customHeight="1">
      <c r="A12" s="543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 t="s">
        <v>683</v>
      </c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544"/>
    </row>
    <row r="13" spans="1:37" s="542" customFormat="1" ht="15" customHeight="1">
      <c r="A13" s="543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 t="s">
        <v>684</v>
      </c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544"/>
    </row>
    <row r="14" spans="1:37" s="542" customFormat="1" ht="15" customHeight="1">
      <c r="A14" s="543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 t="s">
        <v>681</v>
      </c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544"/>
    </row>
    <row r="15" spans="1:37" s="542" customFormat="1" ht="15" customHeight="1">
      <c r="A15" s="543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 t="s">
        <v>685</v>
      </c>
      <c r="P15" s="26"/>
      <c r="Q15" s="26"/>
      <c r="R15" s="1772" t="s">
        <v>681</v>
      </c>
      <c r="S15" s="1772"/>
      <c r="T15" s="26"/>
      <c r="U15" s="26"/>
      <c r="V15" s="26" t="s">
        <v>685</v>
      </c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544"/>
    </row>
    <row r="16" spans="1:37" s="542" customFormat="1" ht="15" customHeight="1">
      <c r="A16" s="543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 t="s">
        <v>686</v>
      </c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544"/>
    </row>
    <row r="17" spans="1:37" s="542" customFormat="1" ht="15" customHeight="1">
      <c r="A17" s="543"/>
      <c r="B17" s="26"/>
      <c r="C17" s="26"/>
      <c r="D17" s="26"/>
      <c r="E17" s="26"/>
      <c r="F17" s="26"/>
      <c r="G17" s="26"/>
      <c r="H17" s="26"/>
      <c r="I17" s="26" t="s">
        <v>687</v>
      </c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 t="s">
        <v>688</v>
      </c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544"/>
    </row>
    <row r="18" spans="1:37" s="542" customFormat="1" ht="15" customHeight="1">
      <c r="A18" s="543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544"/>
    </row>
    <row r="19" spans="1:37" s="542" customFormat="1" ht="15" customHeight="1">
      <c r="A19" s="543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544"/>
    </row>
    <row r="20" spans="1:37" s="542" customFormat="1" ht="15" customHeight="1">
      <c r="A20" s="543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544"/>
    </row>
    <row r="21" spans="1:37" s="542" customFormat="1" ht="15" customHeight="1">
      <c r="A21" s="543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544"/>
    </row>
    <row r="22" spans="1:37" s="542" customFormat="1" ht="15" customHeight="1">
      <c r="A22" s="543"/>
      <c r="B22" s="26"/>
      <c r="C22" s="26"/>
      <c r="D22" s="26"/>
      <c r="E22" s="26" t="s">
        <v>689</v>
      </c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544"/>
    </row>
    <row r="23" spans="1:37" s="542" customFormat="1" ht="15" customHeight="1">
      <c r="A23" s="543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544"/>
    </row>
    <row r="24" spans="1:37" s="542" customFormat="1" ht="15" customHeight="1">
      <c r="A24" s="543"/>
      <c r="B24" s="26"/>
      <c r="C24" s="733" t="s">
        <v>690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 t="s">
        <v>691</v>
      </c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544"/>
    </row>
    <row r="25" spans="1:37" s="542" customFormat="1" ht="15" customHeight="1">
      <c r="A25" s="543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733" t="s">
        <v>692</v>
      </c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544"/>
    </row>
    <row r="26" spans="1:37" s="542" customFormat="1" ht="15" customHeight="1">
      <c r="A26" s="543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544"/>
    </row>
    <row r="27" spans="1:37" s="542" customFormat="1" ht="15" customHeight="1">
      <c r="A27" s="543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544"/>
    </row>
    <row r="28" spans="1:37" s="542" customFormat="1" ht="15" customHeight="1">
      <c r="A28" s="543"/>
      <c r="B28" s="26"/>
      <c r="C28" s="26"/>
      <c r="D28" s="26"/>
      <c r="E28" s="26"/>
      <c r="F28" s="26"/>
      <c r="G28" s="26" t="s">
        <v>685</v>
      </c>
      <c r="H28" s="26"/>
      <c r="I28" s="26"/>
      <c r="J28" s="1772" t="s">
        <v>681</v>
      </c>
      <c r="K28" s="1772"/>
      <c r="L28" s="26"/>
      <c r="M28" s="26"/>
      <c r="N28" s="26" t="s">
        <v>685</v>
      </c>
      <c r="O28" s="26"/>
      <c r="P28" s="26"/>
      <c r="Q28" s="26"/>
      <c r="R28" s="26"/>
      <c r="S28" s="26"/>
      <c r="T28" s="26"/>
      <c r="U28" s="26"/>
      <c r="V28" s="26"/>
      <c r="W28" s="26" t="s">
        <v>685</v>
      </c>
      <c r="X28" s="26"/>
      <c r="Y28" s="26"/>
      <c r="Z28" s="1772" t="s">
        <v>681</v>
      </c>
      <c r="AA28" s="1772"/>
      <c r="AB28" s="26"/>
      <c r="AC28" s="26"/>
      <c r="AD28" s="26" t="s">
        <v>685</v>
      </c>
      <c r="AE28" s="26"/>
      <c r="AF28" s="26"/>
      <c r="AG28" s="26"/>
      <c r="AH28" s="26"/>
      <c r="AI28" s="26"/>
      <c r="AJ28" s="26"/>
      <c r="AK28" s="544"/>
    </row>
    <row r="29" spans="1:37" s="542" customFormat="1" ht="15" customHeight="1">
      <c r="A29" s="543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544"/>
    </row>
    <row r="30" spans="1:37" s="545" customFormat="1" ht="15.95" customHeight="1">
      <c r="A30" s="546"/>
      <c r="B30" s="733"/>
      <c r="C30" s="733"/>
      <c r="D30" s="733" t="s">
        <v>693</v>
      </c>
      <c r="E30" s="733"/>
      <c r="F30" s="733"/>
      <c r="G30" s="733"/>
      <c r="H30" s="733"/>
      <c r="I30" s="733"/>
      <c r="J30" s="733"/>
      <c r="K30" s="733"/>
      <c r="L30" s="733"/>
      <c r="M30" s="733"/>
      <c r="N30" s="733"/>
      <c r="O30" s="733"/>
      <c r="P30" s="733"/>
      <c r="Q30" s="733"/>
      <c r="R30" s="733"/>
      <c r="S30" s="733"/>
      <c r="T30" s="733"/>
      <c r="U30" s="733"/>
      <c r="V30" s="733"/>
      <c r="W30" s="733"/>
      <c r="X30" s="733"/>
      <c r="Y30" s="733"/>
      <c r="Z30" s="733"/>
      <c r="AA30" s="733"/>
      <c r="AB30" s="733"/>
      <c r="AC30" s="733"/>
      <c r="AD30" s="733"/>
      <c r="AE30" s="733"/>
      <c r="AF30" s="733"/>
      <c r="AG30" s="733"/>
      <c r="AH30" s="733"/>
      <c r="AI30" s="733"/>
      <c r="AJ30" s="733"/>
      <c r="AK30" s="547"/>
    </row>
    <row r="31" spans="1:37" s="545" customFormat="1" ht="15.95" customHeight="1">
      <c r="A31" s="546"/>
      <c r="B31" s="733"/>
      <c r="C31" s="733"/>
      <c r="D31" s="733" t="s">
        <v>694</v>
      </c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733" t="s">
        <v>695</v>
      </c>
      <c r="P31" s="26"/>
      <c r="Q31" s="26"/>
      <c r="R31" s="26"/>
      <c r="S31" s="26"/>
      <c r="T31" s="26"/>
      <c r="U31" s="26"/>
      <c r="V31" s="26"/>
      <c r="W31" s="26"/>
      <c r="X31" s="733"/>
      <c r="Y31" s="733"/>
      <c r="Z31" s="733"/>
      <c r="AA31" s="733"/>
      <c r="AB31" s="733"/>
      <c r="AC31" s="733"/>
      <c r="AD31" s="733"/>
      <c r="AE31" s="733"/>
      <c r="AF31" s="733"/>
      <c r="AG31" s="733"/>
      <c r="AH31" s="733"/>
      <c r="AI31" s="733"/>
      <c r="AJ31" s="733"/>
      <c r="AK31" s="547"/>
    </row>
    <row r="32" spans="1:37" s="545" customFormat="1" ht="15.95" customHeight="1">
      <c r="A32" s="546"/>
      <c r="B32" s="733"/>
      <c r="C32" s="733"/>
      <c r="D32" s="733" t="s">
        <v>696</v>
      </c>
      <c r="E32" s="733"/>
      <c r="F32" s="733"/>
      <c r="G32" s="733"/>
      <c r="H32" s="733"/>
      <c r="I32" s="733"/>
      <c r="J32" s="733"/>
      <c r="K32" s="733"/>
      <c r="L32" s="733"/>
      <c r="M32" s="733"/>
      <c r="N32" s="733"/>
      <c r="O32" s="733"/>
      <c r="P32" s="733"/>
      <c r="Q32" s="733"/>
      <c r="R32" s="733"/>
      <c r="S32" s="733"/>
      <c r="T32" s="733"/>
      <c r="U32" s="733"/>
      <c r="V32" s="733"/>
      <c r="W32" s="733"/>
      <c r="X32" s="733"/>
      <c r="Y32" s="733"/>
      <c r="Z32" s="733"/>
      <c r="AA32" s="733"/>
      <c r="AB32" s="733"/>
      <c r="AC32" s="733"/>
      <c r="AD32" s="733"/>
      <c r="AE32" s="733"/>
      <c r="AF32" s="733"/>
      <c r="AG32" s="733"/>
      <c r="AH32" s="733" t="s">
        <v>697</v>
      </c>
      <c r="AI32" s="733"/>
      <c r="AJ32" s="733"/>
      <c r="AK32" s="547"/>
    </row>
    <row r="33" spans="1:37" s="745" customFormat="1" ht="15.95" hidden="1" customHeight="1">
      <c r="A33" s="742"/>
      <c r="B33" s="742"/>
      <c r="C33" s="742"/>
      <c r="E33" s="746" t="s">
        <v>698</v>
      </c>
      <c r="F33" s="742"/>
      <c r="G33" s="742"/>
      <c r="H33" s="742"/>
      <c r="I33" s="742"/>
      <c r="J33" s="742"/>
      <c r="K33" s="742"/>
      <c r="L33" s="742"/>
      <c r="M33" s="742"/>
      <c r="N33" s="742"/>
      <c r="O33" s="742"/>
      <c r="P33" s="742"/>
      <c r="Q33" s="742"/>
      <c r="R33" s="742"/>
      <c r="S33" s="742"/>
      <c r="T33" s="742"/>
      <c r="U33" s="742"/>
      <c r="V33" s="742"/>
      <c r="W33" s="742"/>
      <c r="X33" s="742"/>
      <c r="Y33" s="742"/>
      <c r="Z33" s="742"/>
      <c r="AA33" s="742"/>
      <c r="AB33" s="742"/>
      <c r="AC33" s="742"/>
      <c r="AD33" s="742"/>
      <c r="AE33" s="742"/>
      <c r="AF33" s="742"/>
      <c r="AG33" s="742"/>
      <c r="AH33" s="742" t="s">
        <v>699</v>
      </c>
      <c r="AI33" s="742"/>
    </row>
    <row r="34" spans="1:37" s="545" customFormat="1" ht="15.95" customHeight="1">
      <c r="A34" s="546"/>
      <c r="B34" s="733"/>
      <c r="C34" s="733"/>
      <c r="D34" s="734"/>
      <c r="E34" s="733"/>
      <c r="F34" s="733"/>
      <c r="G34" s="733"/>
      <c r="H34" s="733"/>
      <c r="I34" s="733"/>
      <c r="J34" s="733"/>
      <c r="K34" s="733"/>
      <c r="L34" s="733"/>
      <c r="M34" s="733"/>
      <c r="N34" s="733"/>
      <c r="O34" s="733"/>
      <c r="P34" s="733"/>
      <c r="Q34" s="733"/>
      <c r="R34" s="733"/>
      <c r="S34" s="733"/>
      <c r="T34" s="733"/>
      <c r="U34" s="733"/>
      <c r="V34" s="733"/>
      <c r="W34" s="733"/>
      <c r="X34" s="733"/>
      <c r="Y34" s="733"/>
      <c r="Z34" s="733"/>
      <c r="AA34" s="733"/>
      <c r="AB34" s="733"/>
      <c r="AC34" s="733"/>
      <c r="AD34" s="733" t="s">
        <v>700</v>
      </c>
      <c r="AE34" s="733"/>
      <c r="AF34" s="733"/>
      <c r="AG34" s="733"/>
      <c r="AH34" s="733"/>
      <c r="AI34" s="733"/>
      <c r="AJ34" s="733"/>
      <c r="AK34" s="547"/>
    </row>
    <row r="35" spans="1:37" s="545" customFormat="1" ht="15.95" customHeight="1">
      <c r="A35" s="546"/>
      <c r="B35" s="733"/>
      <c r="C35" s="733"/>
      <c r="D35" s="548"/>
      <c r="E35" s="549"/>
      <c r="F35" s="549"/>
      <c r="G35" s="1773" t="s">
        <v>701</v>
      </c>
      <c r="H35" s="1773"/>
      <c r="I35" s="1773"/>
      <c r="J35" s="1774"/>
      <c r="K35" s="601" t="s">
        <v>702</v>
      </c>
      <c r="L35" s="1775">
        <v>150</v>
      </c>
      <c r="M35" s="1776"/>
      <c r="N35" s="601" t="s">
        <v>702</v>
      </c>
      <c r="O35" s="1775">
        <v>200</v>
      </c>
      <c r="P35" s="1776"/>
      <c r="Q35" s="602" t="s">
        <v>702</v>
      </c>
      <c r="R35" s="1775">
        <v>300</v>
      </c>
      <c r="S35" s="1776"/>
      <c r="T35" s="602" t="s">
        <v>702</v>
      </c>
      <c r="U35" s="1775">
        <v>400</v>
      </c>
      <c r="V35" s="1776"/>
      <c r="W35" s="602" t="s">
        <v>702</v>
      </c>
      <c r="X35" s="1775">
        <v>500</v>
      </c>
      <c r="Y35" s="1776"/>
      <c r="Z35" s="602" t="s">
        <v>702</v>
      </c>
      <c r="AA35" s="1775">
        <v>600</v>
      </c>
      <c r="AB35" s="1776"/>
      <c r="AC35" s="550"/>
      <c r="AD35" s="1777"/>
      <c r="AE35" s="1778"/>
      <c r="AF35" s="735"/>
      <c r="AG35" s="1779"/>
      <c r="AH35" s="1779"/>
      <c r="AI35" s="735"/>
      <c r="AJ35" s="1779"/>
      <c r="AK35" s="1780"/>
    </row>
    <row r="36" spans="1:37" s="545" customFormat="1" ht="15.95" customHeight="1">
      <c r="A36" s="546"/>
      <c r="B36" s="733"/>
      <c r="C36" s="733"/>
      <c r="D36" s="546"/>
      <c r="E36" s="733"/>
      <c r="F36" s="733"/>
      <c r="G36" s="733"/>
      <c r="H36" s="1762" t="s">
        <v>703</v>
      </c>
      <c r="I36" s="1762"/>
      <c r="J36" s="1762"/>
      <c r="K36" s="1763">
        <f>인버트몰탈!K36</f>
        <v>7.0000000000000001E-3</v>
      </c>
      <c r="L36" s="1764"/>
      <c r="M36" s="1765"/>
      <c r="N36" s="1763">
        <f>인버트몰탈!N36</f>
        <v>0.01</v>
      </c>
      <c r="O36" s="1764"/>
      <c r="P36" s="1765"/>
      <c r="Q36" s="1763">
        <f>인버트몰탈!Q36</f>
        <v>1.7000000000000001E-2</v>
      </c>
      <c r="R36" s="1764"/>
      <c r="S36" s="1765"/>
      <c r="T36" s="1763">
        <f>인버트몰탈!T36</f>
        <v>1.9E-2</v>
      </c>
      <c r="U36" s="1764"/>
      <c r="V36" s="1765"/>
      <c r="W36" s="1763">
        <f>인버트몰탈!W36</f>
        <v>2.1999999999999999E-2</v>
      </c>
      <c r="X36" s="1764"/>
      <c r="Y36" s="1765"/>
      <c r="Z36" s="1763">
        <f>인버트몰탈!Z36</f>
        <v>2.5999999999999999E-2</v>
      </c>
      <c r="AA36" s="1764"/>
      <c r="AB36" s="1765"/>
      <c r="AC36" s="1766"/>
      <c r="AD36" s="1767"/>
      <c r="AE36" s="1768"/>
      <c r="AF36" s="1762"/>
      <c r="AG36" s="1762"/>
      <c r="AH36" s="1762"/>
      <c r="AI36" s="1762"/>
      <c r="AJ36" s="1762"/>
      <c r="AK36" s="1769"/>
    </row>
    <row r="37" spans="1:37" s="545" customFormat="1" ht="15.95" customHeight="1">
      <c r="A37" s="546"/>
      <c r="B37" s="733"/>
      <c r="C37" s="733"/>
      <c r="D37" s="1770" t="s">
        <v>704</v>
      </c>
      <c r="E37" s="1771"/>
      <c r="F37" s="1771"/>
      <c r="G37" s="1771"/>
      <c r="H37" s="731"/>
      <c r="I37" s="731" t="s">
        <v>692</v>
      </c>
      <c r="J37" s="736"/>
      <c r="K37" s="1751">
        <f>(L$35/1000+(K$36*2))/2</f>
        <v>8.2000000000000003E-2</v>
      </c>
      <c r="L37" s="1752"/>
      <c r="M37" s="1753"/>
      <c r="N37" s="1751">
        <f>(O$35/1000+(N$36*2))/2</f>
        <v>0.11</v>
      </c>
      <c r="O37" s="1752"/>
      <c r="P37" s="1753"/>
      <c r="Q37" s="1751">
        <f>(R$35/1000+(Q$36*2))/2</f>
        <v>0.16699999999999998</v>
      </c>
      <c r="R37" s="1752"/>
      <c r="S37" s="1753"/>
      <c r="T37" s="1751">
        <f>(U$35/1000+(T$36*2))/2</f>
        <v>0.219</v>
      </c>
      <c r="U37" s="1752"/>
      <c r="V37" s="1753"/>
      <c r="W37" s="1751">
        <f>(X$35/1000+(W$36*2))/2</f>
        <v>0.27200000000000002</v>
      </c>
      <c r="X37" s="1752"/>
      <c r="Y37" s="1753"/>
      <c r="Z37" s="1751">
        <f>(AA$35/1000+(Z$36*2))/2</f>
        <v>0.32600000000000001</v>
      </c>
      <c r="AA37" s="1752"/>
      <c r="AB37" s="1753"/>
      <c r="AC37" s="1751"/>
      <c r="AD37" s="1752"/>
      <c r="AE37" s="1753"/>
      <c r="AF37" s="1757"/>
      <c r="AG37" s="1757"/>
      <c r="AH37" s="1757"/>
      <c r="AI37" s="1757"/>
      <c r="AJ37" s="1757"/>
      <c r="AK37" s="1758"/>
    </row>
    <row r="38" spans="1:37" s="545" customFormat="1" ht="15.95" customHeight="1">
      <c r="A38" s="546"/>
      <c r="B38" s="733"/>
      <c r="C38" s="733"/>
      <c r="D38" s="1759" t="s">
        <v>705</v>
      </c>
      <c r="E38" s="1760"/>
      <c r="F38" s="1760"/>
      <c r="G38" s="1761"/>
      <c r="H38" s="732"/>
      <c r="I38" s="732" t="s">
        <v>690</v>
      </c>
      <c r="J38" s="551"/>
      <c r="K38" s="1751">
        <f>(K$37+$E39*0.04)</f>
        <v>0.11800000000000001</v>
      </c>
      <c r="L38" s="1752"/>
      <c r="M38" s="1753"/>
      <c r="N38" s="1751">
        <f>(N$37+$E39*0.04)</f>
        <v>0.14600000000000002</v>
      </c>
      <c r="O38" s="1752"/>
      <c r="P38" s="1753"/>
      <c r="Q38" s="1751">
        <f>(Q$37+$E39*0.04)</f>
        <v>0.20299999999999999</v>
      </c>
      <c r="R38" s="1752"/>
      <c r="S38" s="1753"/>
      <c r="T38" s="1751">
        <f>(T$37+$E39*0.04)</f>
        <v>0.255</v>
      </c>
      <c r="U38" s="1752"/>
      <c r="V38" s="1753"/>
      <c r="W38" s="1751">
        <f>(W$37+$E39*0.04)</f>
        <v>0.30800000000000005</v>
      </c>
      <c r="X38" s="1752"/>
      <c r="Y38" s="1753"/>
      <c r="Z38" s="1751">
        <f>(Z$37+$E39*0.04)</f>
        <v>0.36199999999999999</v>
      </c>
      <c r="AA38" s="1752"/>
      <c r="AB38" s="1753"/>
      <c r="AC38" s="1751"/>
      <c r="AD38" s="1752"/>
      <c r="AE38" s="1753"/>
      <c r="AF38" s="1757"/>
      <c r="AG38" s="1757"/>
      <c r="AH38" s="1757"/>
      <c r="AI38" s="1757"/>
      <c r="AJ38" s="1757"/>
      <c r="AK38" s="1758"/>
    </row>
    <row r="39" spans="1:37" s="545" customFormat="1" ht="15.95" customHeight="1">
      <c r="A39" s="546"/>
      <c r="B39" s="733"/>
      <c r="C39" s="733"/>
      <c r="D39" s="552" t="s">
        <v>681</v>
      </c>
      <c r="E39" s="1754">
        <v>0.9</v>
      </c>
      <c r="F39" s="1754"/>
      <c r="G39" s="553" t="s">
        <v>706</v>
      </c>
      <c r="H39" s="1755" t="s">
        <v>707</v>
      </c>
      <c r="I39" s="1755"/>
      <c r="J39" s="1756"/>
      <c r="K39" s="1751">
        <f>INT((PI()*$E39^2/4*(K$37+K38)/2-PI()*(L$35/1000)^2/4/2*$E39)*1000)/1000</f>
        <v>5.5E-2</v>
      </c>
      <c r="L39" s="1752"/>
      <c r="M39" s="1753"/>
      <c r="N39" s="1751">
        <f>INT((PI()*$E39^2/4*(N$37+N38)/2-PI()*(O$35/1000)^2/4/2*$E39)*1000)/1000</f>
        <v>6.7000000000000004E-2</v>
      </c>
      <c r="O39" s="1752"/>
      <c r="P39" s="1753"/>
      <c r="Q39" s="1751">
        <f>INT((PI()*$E39^2/4*(Q$37+Q38)/2-PI()*(R$35/1000)^2/4/2*$E39)*1000)/1000</f>
        <v>8.5000000000000006E-2</v>
      </c>
      <c r="R39" s="1752"/>
      <c r="S39" s="1753"/>
      <c r="T39" s="1751">
        <f>INT((PI()*$E39^2/4*(T$37+T38)/2-PI()*(U$35/1000)^2/4/2*$E39)*1000)/1000</f>
        <v>9.4E-2</v>
      </c>
      <c r="U39" s="1752"/>
      <c r="V39" s="1753"/>
      <c r="W39" s="1751">
        <f>INT((PI()*$E39^2/4*(W$37+W38)/2-PI()*(X$35/1000)^2/4/2*$E39)*1000)/1000</f>
        <v>9.6000000000000002E-2</v>
      </c>
      <c r="X39" s="1752"/>
      <c r="Y39" s="1753"/>
      <c r="Z39" s="1751">
        <f>INT((PI()*$E39^2/4*(Z$37+Z38)/2-PI()*(AA$35/1000)^2/4/2*$E39)*1000)/1000</f>
        <v>9.0999999999999998E-2</v>
      </c>
      <c r="AA39" s="1752"/>
      <c r="AB39" s="1753"/>
      <c r="AC39" s="1751"/>
      <c r="AD39" s="1752"/>
      <c r="AE39" s="1753"/>
      <c r="AF39" s="1757"/>
      <c r="AG39" s="1757"/>
      <c r="AH39" s="1757"/>
      <c r="AI39" s="1757"/>
      <c r="AJ39" s="1757"/>
      <c r="AK39" s="1758"/>
    </row>
    <row r="40" spans="1:37" s="545" customFormat="1" ht="15.95" customHeight="1">
      <c r="A40" s="546"/>
      <c r="B40" s="733"/>
      <c r="C40" s="733"/>
      <c r="D40" s="1759" t="s">
        <v>708</v>
      </c>
      <c r="E40" s="1760"/>
      <c r="F40" s="1760"/>
      <c r="G40" s="1761"/>
      <c r="H40" s="732"/>
      <c r="I40" s="732" t="s">
        <v>690</v>
      </c>
      <c r="J40" s="551"/>
      <c r="K40" s="1751">
        <f>(K$37+$E41*0.04)</f>
        <v>0.13</v>
      </c>
      <c r="L40" s="1752"/>
      <c r="M40" s="1753"/>
      <c r="N40" s="1751">
        <f>(N$37+$E41*0.04)</f>
        <v>0.158</v>
      </c>
      <c r="O40" s="1752"/>
      <c r="P40" s="1753"/>
      <c r="Q40" s="1751">
        <f>(Q$37+$E41*0.04)</f>
        <v>0.21499999999999997</v>
      </c>
      <c r="R40" s="1752"/>
      <c r="S40" s="1753"/>
      <c r="T40" s="1751">
        <f>(T$37+$E41*0.04)</f>
        <v>0.26700000000000002</v>
      </c>
      <c r="U40" s="1752"/>
      <c r="V40" s="1753"/>
      <c r="W40" s="1751">
        <f>(W$37+$E41*0.04)</f>
        <v>0.32</v>
      </c>
      <c r="X40" s="1752"/>
      <c r="Y40" s="1753"/>
      <c r="Z40" s="1751">
        <f>(Z$37+$E41*0.04)</f>
        <v>0.374</v>
      </c>
      <c r="AA40" s="1752"/>
      <c r="AB40" s="1753"/>
      <c r="AC40" s="1751"/>
      <c r="AD40" s="1752"/>
      <c r="AE40" s="1753"/>
      <c r="AF40" s="1757"/>
      <c r="AG40" s="1757"/>
      <c r="AH40" s="1757"/>
      <c r="AI40" s="1757"/>
      <c r="AJ40" s="1757"/>
      <c r="AK40" s="1758"/>
    </row>
    <row r="41" spans="1:37" s="545" customFormat="1" ht="15.95" customHeight="1">
      <c r="A41" s="546"/>
      <c r="B41" s="733"/>
      <c r="C41" s="733"/>
      <c r="D41" s="552" t="s">
        <v>681</v>
      </c>
      <c r="E41" s="1754">
        <v>1.2</v>
      </c>
      <c r="F41" s="1754"/>
      <c r="G41" s="553" t="s">
        <v>706</v>
      </c>
      <c r="H41" s="1755" t="s">
        <v>707</v>
      </c>
      <c r="I41" s="1755"/>
      <c r="J41" s="1756"/>
      <c r="K41" s="1751">
        <f>INT((PI()*$E41^2/4*(K$37+K40)/2-PI()*(L$35/1000)^2/4/2*$E41)*1000)/1000</f>
        <v>0.109</v>
      </c>
      <c r="L41" s="1752"/>
      <c r="M41" s="1753"/>
      <c r="N41" s="1751">
        <f>INT((PI()*$E41^2/4*(N$37+N40)/2-PI()*(O$35/1000)^2/4/2*$E41)*1000)/1000</f>
        <v>0.13200000000000001</v>
      </c>
      <c r="O41" s="1752"/>
      <c r="P41" s="1753"/>
      <c r="Q41" s="1751">
        <f>INT((PI()*$E41^2/4*(Q$37+Q40)/2-PI()*(R$35/1000)^2/4/2*$E41)*1000)/1000</f>
        <v>0.17299999999999999</v>
      </c>
      <c r="R41" s="1752"/>
      <c r="S41" s="1753"/>
      <c r="T41" s="1751">
        <f>INT((PI()*$E41^2/4*(T$37+T40)/2-PI()*(U$35/1000)^2/4/2*$E41)*1000)/1000</f>
        <v>0.19900000000000001</v>
      </c>
      <c r="U41" s="1752"/>
      <c r="V41" s="1753"/>
      <c r="W41" s="1751">
        <f>INT((PI()*$E41^2/4*(W$37+W40)/2-PI()*(X$35/1000)^2/4/2*$E41)*1000)/1000</f>
        <v>0.216</v>
      </c>
      <c r="X41" s="1752"/>
      <c r="Y41" s="1753"/>
      <c r="Z41" s="1751">
        <f>INT((PI()*$E41^2/4*(Z$37+Z40)/2-PI()*(AA$35/1000)^2/4/2*$E41)*1000)/1000</f>
        <v>0.22600000000000001</v>
      </c>
      <c r="AA41" s="1752"/>
      <c r="AB41" s="1753"/>
      <c r="AC41" s="1751"/>
      <c r="AD41" s="1752"/>
      <c r="AE41" s="1753"/>
      <c r="AF41" s="1757"/>
      <c r="AG41" s="1757"/>
      <c r="AH41" s="1757"/>
      <c r="AI41" s="1757"/>
      <c r="AJ41" s="1757"/>
      <c r="AK41" s="1758"/>
    </row>
    <row r="42" spans="1:37" s="542" customFormat="1" ht="11.25">
      <c r="A42" s="554"/>
      <c r="B42" s="555"/>
      <c r="C42" s="555"/>
      <c r="D42" s="555"/>
      <c r="E42" s="555"/>
      <c r="F42" s="555"/>
      <c r="G42" s="555"/>
      <c r="H42" s="555"/>
      <c r="I42" s="555"/>
      <c r="J42" s="555"/>
      <c r="K42" s="555"/>
      <c r="L42" s="555"/>
      <c r="M42" s="555"/>
      <c r="N42" s="555"/>
      <c r="O42" s="555"/>
      <c r="P42" s="555"/>
      <c r="Q42" s="555"/>
      <c r="R42" s="555"/>
      <c r="S42" s="555"/>
      <c r="T42" s="555"/>
      <c r="U42" s="555"/>
      <c r="V42" s="555"/>
      <c r="W42" s="555"/>
      <c r="X42" s="555"/>
      <c r="Y42" s="555"/>
      <c r="Z42" s="555"/>
      <c r="AA42" s="555"/>
      <c r="AB42" s="555"/>
      <c r="AC42" s="555"/>
      <c r="AD42" s="555"/>
      <c r="AE42" s="555"/>
      <c r="AF42" s="555"/>
      <c r="AG42" s="555"/>
      <c r="AH42" s="555"/>
      <c r="AI42" s="555"/>
      <c r="AJ42" s="555"/>
      <c r="AK42" s="556"/>
    </row>
  </sheetData>
  <mergeCells count="76">
    <mergeCell ref="A1:AK1"/>
    <mergeCell ref="R15:S15"/>
    <mergeCell ref="J28:K28"/>
    <mergeCell ref="Z28:AA28"/>
    <mergeCell ref="G35:J35"/>
    <mergeCell ref="O35:P35"/>
    <mergeCell ref="R35:S35"/>
    <mergeCell ref="U35:V35"/>
    <mergeCell ref="X35:Y35"/>
    <mergeCell ref="AA35:AB35"/>
    <mergeCell ref="AD35:AE35"/>
    <mergeCell ref="AG35:AH35"/>
    <mergeCell ref="AJ35:AK35"/>
    <mergeCell ref="L35:M35"/>
    <mergeCell ref="D37:G37"/>
    <mergeCell ref="N37:P37"/>
    <mergeCell ref="Q37:S37"/>
    <mergeCell ref="T37:V37"/>
    <mergeCell ref="W37:Y37"/>
    <mergeCell ref="K37:M37"/>
    <mergeCell ref="Z37:AB37"/>
    <mergeCell ref="AC37:AE37"/>
    <mergeCell ref="AF37:AH37"/>
    <mergeCell ref="AI37:AK37"/>
    <mergeCell ref="H36:J36"/>
    <mergeCell ref="N36:P36"/>
    <mergeCell ref="Q36:S36"/>
    <mergeCell ref="T36:V36"/>
    <mergeCell ref="W36:Y36"/>
    <mergeCell ref="Z36:AB36"/>
    <mergeCell ref="AC36:AE36"/>
    <mergeCell ref="AF36:AH36"/>
    <mergeCell ref="AI36:AK36"/>
    <mergeCell ref="K36:M36"/>
    <mergeCell ref="D38:G38"/>
    <mergeCell ref="N38:P38"/>
    <mergeCell ref="Q38:S38"/>
    <mergeCell ref="T38:V38"/>
    <mergeCell ref="W38:Y38"/>
    <mergeCell ref="K38:M38"/>
    <mergeCell ref="Z38:AB38"/>
    <mergeCell ref="AC38:AE38"/>
    <mergeCell ref="AF38:AH38"/>
    <mergeCell ref="AI38:AK38"/>
    <mergeCell ref="AI39:AK39"/>
    <mergeCell ref="Z39:AB39"/>
    <mergeCell ref="AC39:AE39"/>
    <mergeCell ref="AF39:AH39"/>
    <mergeCell ref="W39:Y39"/>
    <mergeCell ref="D40:G40"/>
    <mergeCell ref="N40:P40"/>
    <mergeCell ref="Q40:S40"/>
    <mergeCell ref="T40:V40"/>
    <mergeCell ref="W40:Y40"/>
    <mergeCell ref="E39:F39"/>
    <mergeCell ref="H39:J39"/>
    <mergeCell ref="N39:P39"/>
    <mergeCell ref="Q39:S39"/>
    <mergeCell ref="T39:V39"/>
    <mergeCell ref="K39:M39"/>
    <mergeCell ref="K40:M40"/>
    <mergeCell ref="AC41:AE41"/>
    <mergeCell ref="AF41:AH41"/>
    <mergeCell ref="Z40:AB40"/>
    <mergeCell ref="AI41:AK41"/>
    <mergeCell ref="AC40:AE40"/>
    <mergeCell ref="AF40:AH40"/>
    <mergeCell ref="AI40:AK40"/>
    <mergeCell ref="W41:Y41"/>
    <mergeCell ref="Z41:AB41"/>
    <mergeCell ref="E41:F41"/>
    <mergeCell ref="H41:J41"/>
    <mergeCell ref="N41:P41"/>
    <mergeCell ref="Q41:S41"/>
    <mergeCell ref="T41:V41"/>
    <mergeCell ref="K41:M41"/>
  </mergeCells>
  <phoneticPr fontId="19" type="noConversion"/>
  <printOptions horizontalCentered="1"/>
  <pageMargins left="0.47244094488188981" right="0.47244094488188981" top="0.98425196850393704" bottom="0.74803149606299213" header="0.51181102362204722" footer="0.27559055118110237"/>
  <pageSetup paperSize="9" scale="95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>
    <tabColor rgb="FFFFC000"/>
  </sheetPr>
  <dimension ref="A1:AK39"/>
  <sheetViews>
    <sheetView workbookViewId="0">
      <selection sqref="A1:AK1"/>
    </sheetView>
  </sheetViews>
  <sheetFormatPr defaultColWidth="2.109375" defaultRowHeight="14.25"/>
  <cols>
    <col min="1" max="1" width="0.88671875" style="558" customWidth="1"/>
    <col min="2" max="23" width="2.109375" style="558"/>
    <col min="24" max="24" width="3.21875" style="558" bestFit="1" customWidth="1"/>
    <col min="25" max="35" width="2.109375" style="558"/>
    <col min="36" max="36" width="0.88671875" style="558" customWidth="1"/>
    <col min="37" max="37" width="0.5546875" style="558" customWidth="1"/>
    <col min="38" max="16384" width="2.109375" style="558"/>
  </cols>
  <sheetData>
    <row r="1" spans="1:37" ht="30" customHeight="1">
      <c r="A1" s="1742" t="s">
        <v>743</v>
      </c>
      <c r="B1" s="1742"/>
      <c r="C1" s="1742"/>
      <c r="D1" s="1742"/>
      <c r="E1" s="1742"/>
      <c r="F1" s="1742"/>
      <c r="G1" s="1742"/>
      <c r="H1" s="1742"/>
      <c r="I1" s="1742"/>
      <c r="J1" s="1742"/>
      <c r="K1" s="1742"/>
      <c r="L1" s="1742"/>
      <c r="M1" s="1742"/>
      <c r="N1" s="1742"/>
      <c r="O1" s="1742"/>
      <c r="P1" s="1742"/>
      <c r="Q1" s="1742"/>
      <c r="R1" s="1742"/>
      <c r="S1" s="1742"/>
      <c r="T1" s="1742"/>
      <c r="U1" s="1742"/>
      <c r="V1" s="1742"/>
      <c r="W1" s="1742"/>
      <c r="X1" s="1742"/>
      <c r="Y1" s="1742"/>
      <c r="Z1" s="1742"/>
      <c r="AA1" s="1742"/>
      <c r="AB1" s="1742"/>
      <c r="AC1" s="1742"/>
      <c r="AD1" s="1742"/>
      <c r="AE1" s="1742"/>
      <c r="AF1" s="1742"/>
      <c r="AG1" s="1742"/>
      <c r="AH1" s="1742"/>
      <c r="AI1" s="1742"/>
      <c r="AJ1" s="1742"/>
      <c r="AK1" s="1742"/>
    </row>
    <row r="2" spans="1:37">
      <c r="A2" s="559"/>
      <c r="B2" s="560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1"/>
      <c r="W2" s="561"/>
      <c r="X2" s="561"/>
      <c r="Y2" s="561"/>
      <c r="Z2" s="561"/>
      <c r="AA2" s="561"/>
      <c r="AB2" s="561"/>
      <c r="AC2" s="561"/>
      <c r="AD2" s="561"/>
      <c r="AE2" s="561"/>
      <c r="AF2" s="561"/>
      <c r="AG2" s="561"/>
      <c r="AH2" s="561"/>
      <c r="AI2" s="561"/>
      <c r="AJ2" s="561"/>
      <c r="AK2" s="562"/>
    </row>
    <row r="3" spans="1:37">
      <c r="A3" s="563"/>
      <c r="B3" s="737"/>
      <c r="C3" s="737"/>
      <c r="D3" s="737"/>
      <c r="E3" s="737"/>
      <c r="F3" s="737"/>
      <c r="G3" s="737"/>
      <c r="H3" s="737"/>
      <c r="I3" s="737"/>
      <c r="J3" s="737"/>
      <c r="K3" s="737"/>
      <c r="L3" s="737"/>
      <c r="M3" s="737"/>
      <c r="N3" s="737"/>
      <c r="O3" s="737"/>
      <c r="P3" s="737"/>
      <c r="Q3" s="1803" t="s">
        <v>709</v>
      </c>
      <c r="R3" s="1803"/>
      <c r="S3" s="1803"/>
      <c r="T3" s="1803"/>
      <c r="U3" s="737"/>
      <c r="V3" s="737"/>
      <c r="W3" s="737"/>
      <c r="X3" s="737"/>
      <c r="Y3" s="737"/>
      <c r="Z3" s="737"/>
      <c r="AA3" s="737"/>
      <c r="AB3" s="737"/>
      <c r="AC3" s="737"/>
      <c r="AD3" s="737"/>
      <c r="AE3" s="737"/>
      <c r="AF3" s="737"/>
      <c r="AG3" s="737"/>
      <c r="AH3" s="737"/>
      <c r="AI3" s="737"/>
      <c r="AJ3" s="737"/>
      <c r="AK3" s="564"/>
    </row>
    <row r="4" spans="1:37">
      <c r="A4" s="563"/>
      <c r="B4" s="737"/>
      <c r="C4" s="737"/>
      <c r="D4" s="737"/>
      <c r="E4" s="737"/>
      <c r="F4" s="737"/>
      <c r="G4" s="737"/>
      <c r="H4" s="737"/>
      <c r="I4" s="737"/>
      <c r="J4" s="73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737"/>
      <c r="X4" s="737"/>
      <c r="Y4" s="737"/>
      <c r="Z4" s="737"/>
      <c r="AA4" s="737"/>
      <c r="AB4" s="737"/>
      <c r="AC4" s="737"/>
      <c r="AD4" s="737"/>
      <c r="AE4" s="737"/>
      <c r="AF4" s="737"/>
      <c r="AG4" s="737"/>
      <c r="AH4" s="737"/>
      <c r="AI4" s="737"/>
      <c r="AJ4" s="737"/>
      <c r="AK4" s="564"/>
    </row>
    <row r="5" spans="1:37">
      <c r="A5" s="563"/>
      <c r="B5" s="737"/>
      <c r="C5" s="737"/>
      <c r="D5" s="737"/>
      <c r="E5" s="737"/>
      <c r="F5" s="737"/>
      <c r="G5" s="737"/>
      <c r="H5" s="737"/>
      <c r="I5" s="737"/>
      <c r="J5" s="737"/>
      <c r="K5" s="737"/>
      <c r="L5" s="737"/>
      <c r="M5" s="737"/>
      <c r="N5" s="737"/>
      <c r="O5" s="737"/>
      <c r="P5" s="737"/>
      <c r="Q5" s="737"/>
      <c r="R5" s="737"/>
      <c r="S5" s="737"/>
      <c r="T5" s="737"/>
      <c r="U5" s="737"/>
      <c r="V5" s="737"/>
      <c r="W5" s="737"/>
      <c r="X5" s="737"/>
      <c r="Y5" s="737"/>
      <c r="Z5" s="737"/>
      <c r="AA5" s="737"/>
      <c r="AB5" s="737"/>
      <c r="AC5" s="737"/>
      <c r="AD5" s="737"/>
      <c r="AE5" s="737"/>
      <c r="AF5" s="737"/>
      <c r="AG5" s="737"/>
      <c r="AH5" s="737"/>
      <c r="AI5" s="737"/>
      <c r="AJ5" s="737"/>
      <c r="AK5" s="564"/>
    </row>
    <row r="6" spans="1:37">
      <c r="A6" s="563"/>
      <c r="B6" s="737"/>
      <c r="C6" s="737"/>
      <c r="D6" s="737"/>
      <c r="E6" s="737"/>
      <c r="F6" s="737"/>
      <c r="G6" s="737"/>
      <c r="H6" s="737"/>
      <c r="I6" s="737"/>
      <c r="J6" s="737"/>
      <c r="K6" s="737"/>
      <c r="L6" s="737"/>
      <c r="M6" s="737"/>
      <c r="N6" s="737"/>
      <c r="O6" s="737"/>
      <c r="P6" s="737"/>
      <c r="Q6" s="737"/>
      <c r="R6" s="737"/>
      <c r="S6" s="737"/>
      <c r="T6" s="737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737"/>
      <c r="AF6" s="737"/>
      <c r="AG6" s="737"/>
      <c r="AH6" s="737"/>
      <c r="AI6" s="737"/>
      <c r="AJ6" s="737"/>
      <c r="AK6" s="564"/>
    </row>
    <row r="7" spans="1:37">
      <c r="A7" s="563"/>
      <c r="B7" s="737"/>
      <c r="C7" s="737"/>
      <c r="D7" s="737"/>
      <c r="E7" s="737"/>
      <c r="F7" s="737"/>
      <c r="G7" s="737"/>
      <c r="H7" s="737"/>
      <c r="I7" s="738" t="s">
        <v>682</v>
      </c>
      <c r="J7" s="737"/>
      <c r="K7" s="737"/>
      <c r="L7" s="737"/>
      <c r="M7" s="737"/>
      <c r="N7" s="737"/>
      <c r="O7" s="737"/>
      <c r="P7" s="737"/>
      <c r="Q7" s="737"/>
      <c r="R7" s="737"/>
      <c r="S7" s="737"/>
      <c r="T7" s="737"/>
      <c r="U7" s="737"/>
      <c r="V7" s="737"/>
      <c r="W7" s="737"/>
      <c r="X7" s="737"/>
      <c r="Y7" s="737"/>
      <c r="Z7" s="737"/>
      <c r="AA7" s="737"/>
      <c r="AB7" s="737"/>
      <c r="AC7" s="738"/>
      <c r="AD7" s="737"/>
      <c r="AE7" s="737"/>
      <c r="AF7" s="737"/>
      <c r="AG7" s="737"/>
      <c r="AH7" s="737"/>
      <c r="AI7" s="737"/>
      <c r="AJ7" s="737"/>
      <c r="AK7" s="564"/>
    </row>
    <row r="8" spans="1:37">
      <c r="A8" s="563"/>
      <c r="B8" s="737"/>
      <c r="C8" s="737"/>
      <c r="D8" s="737"/>
      <c r="E8" s="737"/>
      <c r="F8" s="737"/>
      <c r="G8" s="737"/>
      <c r="H8" s="737"/>
      <c r="I8" s="737"/>
      <c r="J8" s="737"/>
      <c r="K8" s="737"/>
      <c r="L8" s="737"/>
      <c r="M8" s="737"/>
      <c r="N8" s="737"/>
      <c r="O8" s="737"/>
      <c r="P8" s="737"/>
      <c r="Q8" s="737"/>
      <c r="R8" s="737"/>
      <c r="S8" s="737"/>
      <c r="T8" s="737"/>
      <c r="U8" s="737"/>
      <c r="V8" s="737"/>
      <c r="W8" s="737"/>
      <c r="X8" s="737"/>
      <c r="Y8" s="737"/>
      <c r="Z8" s="737"/>
      <c r="AA8" s="737"/>
      <c r="AB8" s="737"/>
      <c r="AC8" s="737"/>
      <c r="AD8" s="737"/>
      <c r="AE8" s="737"/>
      <c r="AF8" s="737"/>
      <c r="AG8" s="737"/>
      <c r="AH8" s="737"/>
      <c r="AI8" s="737"/>
      <c r="AJ8" s="737"/>
      <c r="AK8" s="564"/>
    </row>
    <row r="9" spans="1:37">
      <c r="A9" s="563"/>
      <c r="B9" s="737"/>
      <c r="C9" s="737"/>
      <c r="D9" s="737"/>
      <c r="E9" s="737"/>
      <c r="F9" s="737"/>
      <c r="G9" s="737"/>
      <c r="H9" s="737"/>
      <c r="I9" s="737"/>
      <c r="J9" s="737"/>
      <c r="K9" s="737"/>
      <c r="L9" s="737"/>
      <c r="M9" s="737"/>
      <c r="N9" s="737"/>
      <c r="O9" s="737"/>
      <c r="P9" s="737"/>
      <c r="Q9" s="737"/>
      <c r="R9" s="737"/>
      <c r="S9" s="737"/>
      <c r="T9" s="737"/>
      <c r="U9" s="737"/>
      <c r="V9" s="737"/>
      <c r="W9" s="737"/>
      <c r="X9" s="737"/>
      <c r="Y9" s="737"/>
      <c r="Z9" s="737"/>
      <c r="AA9" s="737"/>
      <c r="AB9" s="737"/>
      <c r="AC9" s="737"/>
      <c r="AD9" s="737"/>
      <c r="AE9" s="737"/>
      <c r="AF9" s="737"/>
      <c r="AG9" s="737"/>
      <c r="AH9" s="737"/>
      <c r="AI9" s="737"/>
      <c r="AJ9" s="737"/>
      <c r="AK9" s="564"/>
    </row>
    <row r="10" spans="1:37">
      <c r="A10" s="563"/>
      <c r="B10" s="737"/>
      <c r="C10" s="737"/>
      <c r="D10" s="737"/>
      <c r="E10" s="737"/>
      <c r="F10" s="737"/>
      <c r="G10" s="737"/>
      <c r="H10" s="737"/>
      <c r="I10" s="737"/>
      <c r="J10" s="737"/>
      <c r="K10" s="737"/>
      <c r="L10" s="737"/>
      <c r="M10" s="737"/>
      <c r="N10" s="737"/>
      <c r="O10" s="737"/>
      <c r="P10" s="737"/>
      <c r="Q10" s="737"/>
      <c r="R10" s="737"/>
      <c r="S10" s="737"/>
      <c r="T10" s="737"/>
      <c r="U10" s="737"/>
      <c r="V10" s="737"/>
      <c r="W10" s="737"/>
      <c r="X10" s="737"/>
      <c r="Y10" s="737"/>
      <c r="Z10" s="737"/>
      <c r="AA10" s="737"/>
      <c r="AB10" s="737"/>
      <c r="AC10" s="737"/>
      <c r="AD10" s="737"/>
      <c r="AE10" s="737"/>
      <c r="AF10" s="737"/>
      <c r="AG10" s="737"/>
      <c r="AH10" s="737"/>
      <c r="AI10" s="737"/>
      <c r="AJ10" s="737"/>
      <c r="AK10" s="564"/>
    </row>
    <row r="11" spans="1:37">
      <c r="A11" s="563"/>
      <c r="B11" s="737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737"/>
      <c r="N11" s="737"/>
      <c r="O11" s="737"/>
      <c r="P11" s="737"/>
      <c r="Q11" s="737"/>
      <c r="R11" s="737"/>
      <c r="S11" s="737"/>
      <c r="T11" s="737"/>
      <c r="U11" s="737"/>
      <c r="V11" s="737"/>
      <c r="W11" s="737"/>
      <c r="X11" s="737"/>
      <c r="Y11" s="737"/>
      <c r="Z11" s="737"/>
      <c r="AA11" s="737"/>
      <c r="AB11" s="737"/>
      <c r="AC11" s="737"/>
      <c r="AD11" s="737"/>
      <c r="AE11" s="737"/>
      <c r="AF11" s="737"/>
      <c r="AG11" s="737"/>
      <c r="AH11" s="737"/>
      <c r="AI11" s="737"/>
      <c r="AJ11" s="737"/>
      <c r="AK11" s="564"/>
    </row>
    <row r="12" spans="1:37">
      <c r="A12" s="563"/>
      <c r="B12" s="737"/>
      <c r="C12" s="737"/>
      <c r="D12" s="737"/>
      <c r="E12" s="737"/>
      <c r="F12" s="737"/>
      <c r="G12" s="737"/>
      <c r="H12" s="737"/>
      <c r="I12" s="737"/>
      <c r="J12" s="737"/>
      <c r="K12" s="737"/>
      <c r="L12" s="737"/>
      <c r="M12" s="737"/>
      <c r="N12" s="737"/>
      <c r="O12" s="737"/>
      <c r="P12" s="737"/>
      <c r="Q12" s="737"/>
      <c r="R12" s="737"/>
      <c r="S12" s="737"/>
      <c r="T12" s="737"/>
      <c r="U12" s="737"/>
      <c r="V12" s="737"/>
      <c r="W12" s="739" t="s">
        <v>710</v>
      </c>
      <c r="X12" s="737"/>
      <c r="Y12" s="737"/>
      <c r="Z12" s="737"/>
      <c r="AA12" s="737"/>
      <c r="AB12" s="737"/>
      <c r="AC12" s="737"/>
      <c r="AD12" s="737"/>
      <c r="AE12" s="737"/>
      <c r="AF12" s="737"/>
      <c r="AG12" s="737"/>
      <c r="AH12" s="737"/>
      <c r="AI12" s="737"/>
      <c r="AJ12" s="737"/>
      <c r="AK12" s="564"/>
    </row>
    <row r="13" spans="1:37">
      <c r="A13" s="563"/>
      <c r="B13" s="737"/>
      <c r="C13" s="737"/>
      <c r="D13" s="737"/>
      <c r="E13" s="737"/>
      <c r="F13" s="737"/>
      <c r="G13" s="737"/>
      <c r="H13" s="737"/>
      <c r="I13" s="737"/>
      <c r="J13" s="737"/>
      <c r="K13" s="737"/>
      <c r="L13" s="737"/>
      <c r="M13" s="737"/>
      <c r="N13" s="737"/>
      <c r="O13" s="737"/>
      <c r="P13" s="737"/>
      <c r="Q13" s="737"/>
      <c r="R13" s="737"/>
      <c r="S13" s="737"/>
      <c r="T13" s="737"/>
      <c r="U13" s="737"/>
      <c r="V13" s="737"/>
      <c r="W13" s="1807" t="s">
        <v>711</v>
      </c>
      <c r="X13" s="1807"/>
      <c r="Y13" s="1807"/>
      <c r="Z13" s="737"/>
      <c r="AA13" s="737"/>
      <c r="AB13" s="737"/>
      <c r="AC13" s="737"/>
      <c r="AD13" s="737"/>
      <c r="AE13" s="737"/>
      <c r="AF13" s="737"/>
      <c r="AG13" s="737"/>
      <c r="AH13" s="737"/>
      <c r="AI13" s="737"/>
      <c r="AJ13" s="737"/>
      <c r="AK13" s="564"/>
    </row>
    <row r="14" spans="1:37">
      <c r="A14" s="563"/>
      <c r="B14" s="737"/>
      <c r="C14" s="737"/>
      <c r="D14" s="737"/>
      <c r="E14" s="737"/>
      <c r="F14" s="737"/>
      <c r="G14" s="737"/>
      <c r="H14" s="737"/>
      <c r="I14" s="737"/>
      <c r="J14" s="737"/>
      <c r="K14" s="737"/>
      <c r="L14" s="737"/>
      <c r="M14" s="737"/>
      <c r="N14" s="737"/>
      <c r="O14" s="737"/>
      <c r="P14" s="737"/>
      <c r="Q14" s="737"/>
      <c r="R14" s="737"/>
      <c r="S14" s="737"/>
      <c r="T14" s="738"/>
      <c r="U14" s="737"/>
      <c r="V14" s="737"/>
      <c r="W14" s="737"/>
      <c r="X14" s="737"/>
      <c r="Y14" s="737"/>
      <c r="Z14" s="737"/>
      <c r="AA14" s="737"/>
      <c r="AB14" s="737"/>
      <c r="AC14" s="737"/>
      <c r="AD14" s="737"/>
      <c r="AE14" s="737"/>
      <c r="AF14" s="737"/>
      <c r="AG14" s="737"/>
      <c r="AH14" s="737"/>
      <c r="AI14" s="737"/>
      <c r="AJ14" s="737"/>
      <c r="AK14" s="564"/>
    </row>
    <row r="15" spans="1:37">
      <c r="A15" s="563"/>
      <c r="B15" s="737"/>
      <c r="C15" s="737"/>
      <c r="D15" s="737"/>
      <c r="E15" s="737"/>
      <c r="F15" s="737"/>
      <c r="G15" s="737"/>
      <c r="H15" s="737"/>
      <c r="I15" s="737"/>
      <c r="J15" s="737"/>
      <c r="K15" s="737"/>
      <c r="L15" s="737"/>
      <c r="M15" s="737"/>
      <c r="N15" s="737"/>
      <c r="O15" s="738"/>
      <c r="P15" s="737"/>
      <c r="Q15" s="737"/>
      <c r="R15" s="1803" t="s">
        <v>681</v>
      </c>
      <c r="S15" s="1803"/>
      <c r="T15" s="737"/>
      <c r="U15" s="737"/>
      <c r="V15" s="738"/>
      <c r="W15" s="737"/>
      <c r="X15" s="737"/>
      <c r="Y15" s="737"/>
      <c r="Z15" s="737"/>
      <c r="AA15" s="737"/>
      <c r="AB15" s="737"/>
      <c r="AC15" s="737"/>
      <c r="AD15" s="737"/>
      <c r="AE15" s="737"/>
      <c r="AF15" s="737"/>
      <c r="AG15" s="737"/>
      <c r="AH15" s="737"/>
      <c r="AI15" s="737"/>
      <c r="AJ15" s="737"/>
      <c r="AK15" s="564"/>
    </row>
    <row r="16" spans="1:37">
      <c r="A16" s="563"/>
      <c r="B16" s="737"/>
      <c r="C16" s="737"/>
      <c r="D16" s="737"/>
      <c r="E16" s="737"/>
      <c r="F16" s="737"/>
      <c r="G16" s="737"/>
      <c r="H16" s="737"/>
      <c r="I16" s="737"/>
      <c r="J16" s="737"/>
      <c r="K16" s="737"/>
      <c r="L16" s="737"/>
      <c r="M16" s="737"/>
      <c r="N16" s="737"/>
      <c r="O16" s="737"/>
      <c r="P16" s="737"/>
      <c r="Q16" s="737"/>
      <c r="R16" s="738"/>
      <c r="S16" s="737"/>
      <c r="T16" s="737"/>
      <c r="U16" s="737"/>
      <c r="V16" s="737"/>
      <c r="W16" s="737"/>
      <c r="X16" s="737"/>
      <c r="Y16" s="737"/>
      <c r="Z16" s="737"/>
      <c r="AA16" s="737"/>
      <c r="AB16" s="737"/>
      <c r="AC16" s="737"/>
      <c r="AD16" s="737"/>
      <c r="AE16" s="737"/>
      <c r="AF16" s="737"/>
      <c r="AG16" s="737"/>
      <c r="AH16" s="737"/>
      <c r="AI16" s="737"/>
      <c r="AJ16" s="737"/>
      <c r="AK16" s="564"/>
    </row>
    <row r="17" spans="1:37">
      <c r="A17" s="563"/>
      <c r="B17" s="737"/>
      <c r="C17" s="737"/>
      <c r="D17" s="737"/>
      <c r="E17" s="737"/>
      <c r="F17" s="737"/>
      <c r="G17" s="737"/>
      <c r="H17" s="737"/>
      <c r="I17" s="738"/>
      <c r="J17" s="737"/>
      <c r="K17" s="737"/>
      <c r="L17" s="737"/>
      <c r="M17" s="737"/>
      <c r="N17" s="737"/>
      <c r="O17" s="737"/>
      <c r="P17" s="737"/>
      <c r="Q17" s="1803" t="s">
        <v>712</v>
      </c>
      <c r="R17" s="1803"/>
      <c r="S17" s="1803"/>
      <c r="T17" s="1803"/>
      <c r="U17" s="737"/>
      <c r="V17" s="737"/>
      <c r="W17" s="737"/>
      <c r="X17" s="737"/>
      <c r="Y17" s="737"/>
      <c r="Z17" s="737"/>
      <c r="AA17" s="737"/>
      <c r="AB17" s="737"/>
      <c r="AC17" s="737"/>
      <c r="AD17" s="737"/>
      <c r="AE17" s="737"/>
      <c r="AF17" s="737"/>
      <c r="AG17" s="737"/>
      <c r="AH17" s="737"/>
      <c r="AI17" s="737"/>
      <c r="AJ17" s="737"/>
      <c r="AK17" s="564"/>
    </row>
    <row r="18" spans="1:37">
      <c r="A18" s="563"/>
      <c r="B18" s="737"/>
      <c r="C18" s="737"/>
      <c r="D18" s="737"/>
      <c r="E18" s="737"/>
      <c r="F18" s="737"/>
      <c r="G18" s="737"/>
      <c r="H18" s="737"/>
      <c r="I18" s="737"/>
      <c r="J18" s="737"/>
      <c r="K18" s="737"/>
      <c r="L18" s="737"/>
      <c r="M18" s="737"/>
      <c r="N18" s="737"/>
      <c r="O18" s="737"/>
      <c r="P18" s="737"/>
      <c r="Q18" s="737"/>
      <c r="R18" s="737"/>
      <c r="S18" s="737"/>
      <c r="T18" s="737"/>
      <c r="U18" s="737"/>
      <c r="V18" s="737"/>
      <c r="W18" s="737"/>
      <c r="X18" s="737"/>
      <c r="Y18" s="737"/>
      <c r="Z18" s="737"/>
      <c r="AA18" s="737"/>
      <c r="AB18" s="737"/>
      <c r="AC18" s="737"/>
      <c r="AD18" s="737"/>
      <c r="AE18" s="737"/>
      <c r="AF18" s="737"/>
      <c r="AG18" s="737"/>
      <c r="AH18" s="737"/>
      <c r="AI18" s="737"/>
      <c r="AJ18" s="737"/>
      <c r="AK18" s="564"/>
    </row>
    <row r="19" spans="1:37">
      <c r="A19" s="563"/>
      <c r="B19" s="737"/>
      <c r="C19" s="737"/>
      <c r="D19" s="737"/>
      <c r="E19" s="737"/>
      <c r="F19" s="737"/>
      <c r="G19" s="737"/>
      <c r="H19" s="737"/>
      <c r="I19" s="737"/>
      <c r="J19" s="737"/>
      <c r="K19" s="737"/>
      <c r="L19" s="737"/>
      <c r="M19" s="737"/>
      <c r="N19" s="737"/>
      <c r="O19" s="737"/>
      <c r="P19" s="737"/>
      <c r="Q19" s="737"/>
      <c r="R19" s="737"/>
      <c r="S19" s="737"/>
      <c r="T19" s="737"/>
      <c r="U19" s="737"/>
      <c r="V19" s="737"/>
      <c r="W19" s="737"/>
      <c r="X19" s="737"/>
      <c r="Y19" s="737"/>
      <c r="Z19" s="737"/>
      <c r="AA19" s="737"/>
      <c r="AB19" s="737"/>
      <c r="AC19" s="737"/>
      <c r="AD19" s="737"/>
      <c r="AE19" s="737"/>
      <c r="AF19" s="737"/>
      <c r="AG19" s="737"/>
      <c r="AH19" s="737"/>
      <c r="AI19" s="737"/>
      <c r="AJ19" s="737"/>
      <c r="AK19" s="564"/>
    </row>
    <row r="20" spans="1:37">
      <c r="A20" s="563"/>
      <c r="B20" s="737"/>
      <c r="C20" s="737"/>
      <c r="D20" s="737"/>
      <c r="E20" s="737"/>
      <c r="F20" s="737"/>
      <c r="G20" s="737"/>
      <c r="H20" s="737"/>
      <c r="I20" s="737"/>
      <c r="J20" s="737"/>
      <c r="K20" s="737"/>
      <c r="L20" s="737"/>
      <c r="M20" s="737"/>
      <c r="N20" s="737"/>
      <c r="O20" s="737"/>
      <c r="P20" s="737"/>
      <c r="Q20" s="737"/>
      <c r="R20" s="737"/>
      <c r="S20" s="737"/>
      <c r="T20" s="737"/>
      <c r="U20" s="737"/>
      <c r="V20" s="737"/>
      <c r="W20" s="737"/>
      <c r="X20" s="737"/>
      <c r="Y20" s="737"/>
      <c r="Z20" s="737"/>
      <c r="AA20" s="737"/>
      <c r="AB20" s="737"/>
      <c r="AC20" s="737"/>
      <c r="AD20" s="737"/>
      <c r="AE20" s="737"/>
      <c r="AF20" s="737"/>
      <c r="AG20" s="737"/>
      <c r="AH20" s="737"/>
      <c r="AI20" s="737"/>
      <c r="AJ20" s="737"/>
      <c r="AK20" s="564"/>
    </row>
    <row r="21" spans="1:37">
      <c r="A21" s="563"/>
      <c r="B21" s="737"/>
      <c r="C21" s="737"/>
      <c r="D21" s="737"/>
      <c r="E21" s="737"/>
      <c r="F21" s="737"/>
      <c r="G21" s="737"/>
      <c r="H21" s="737"/>
      <c r="I21" s="737"/>
      <c r="J21" s="737"/>
      <c r="K21" s="737"/>
      <c r="L21" s="737"/>
      <c r="M21" s="737"/>
      <c r="N21" s="737"/>
      <c r="O21" s="737"/>
      <c r="P21" s="737"/>
      <c r="Q21" s="737"/>
      <c r="R21" s="737"/>
      <c r="S21" s="737"/>
      <c r="T21" s="737"/>
      <c r="U21" s="737"/>
      <c r="V21" s="737"/>
      <c r="W21" s="737"/>
      <c r="X21" s="737"/>
      <c r="Y21" s="737"/>
      <c r="Z21" s="737"/>
      <c r="AA21" s="737"/>
      <c r="AB21" s="737"/>
      <c r="AC21" s="737"/>
      <c r="AD21" s="737"/>
      <c r="AE21" s="737"/>
      <c r="AF21" s="737"/>
      <c r="AG21" s="737"/>
      <c r="AH21" s="737"/>
      <c r="AI21" s="737"/>
      <c r="AJ21" s="737"/>
      <c r="AK21" s="564"/>
    </row>
    <row r="22" spans="1:37" ht="14.25" customHeight="1">
      <c r="A22" s="563"/>
      <c r="B22" s="737"/>
      <c r="C22" s="737"/>
      <c r="D22" s="737"/>
      <c r="E22" s="738"/>
      <c r="F22" s="737"/>
      <c r="G22" s="737"/>
      <c r="H22" s="737"/>
      <c r="I22" s="737"/>
      <c r="J22" s="737"/>
      <c r="K22" s="737"/>
      <c r="L22" s="737"/>
      <c r="M22" s="737"/>
      <c r="N22" s="737"/>
      <c r="O22" s="737"/>
      <c r="P22" s="737"/>
      <c r="Q22" s="737"/>
      <c r="R22" s="737"/>
      <c r="S22" s="737"/>
      <c r="T22" s="737"/>
      <c r="U22" s="737"/>
      <c r="V22" s="737"/>
      <c r="W22" s="737"/>
      <c r="X22" s="1806">
        <v>0.02</v>
      </c>
      <c r="Y22" s="737"/>
      <c r="Z22" s="737"/>
      <c r="AA22" s="737"/>
      <c r="AB22" s="737"/>
      <c r="AC22" s="737"/>
      <c r="AD22" s="737"/>
      <c r="AE22" s="737"/>
      <c r="AF22" s="737"/>
      <c r="AG22" s="737"/>
      <c r="AH22" s="737"/>
      <c r="AI22" s="737"/>
      <c r="AJ22" s="737"/>
      <c r="AK22" s="564"/>
    </row>
    <row r="23" spans="1:37">
      <c r="A23" s="563"/>
      <c r="B23" s="737"/>
      <c r="C23" s="737"/>
      <c r="D23" s="737"/>
      <c r="E23" s="737"/>
      <c r="F23" s="737"/>
      <c r="G23" s="737"/>
      <c r="H23" s="737"/>
      <c r="I23" s="737"/>
      <c r="J23" s="737"/>
      <c r="K23" s="737"/>
      <c r="L23" s="737"/>
      <c r="M23" s="737"/>
      <c r="N23" s="737"/>
      <c r="O23" s="737"/>
      <c r="P23" s="737"/>
      <c r="Q23" s="737"/>
      <c r="R23" s="737"/>
      <c r="S23" s="737"/>
      <c r="T23" s="737"/>
      <c r="U23" s="737"/>
      <c r="V23" s="737"/>
      <c r="W23" s="737"/>
      <c r="X23" s="1806"/>
      <c r="Y23" s="737"/>
      <c r="Z23" s="737"/>
      <c r="AA23" s="737"/>
      <c r="AB23" s="737"/>
      <c r="AC23" s="737"/>
      <c r="AD23" s="737"/>
      <c r="AE23" s="737"/>
      <c r="AF23" s="737"/>
      <c r="AG23" s="737"/>
      <c r="AH23" s="737"/>
      <c r="AI23" s="737"/>
      <c r="AJ23" s="737"/>
      <c r="AK23" s="564"/>
    </row>
    <row r="24" spans="1:37">
      <c r="A24" s="563"/>
      <c r="B24" s="737"/>
      <c r="C24" s="740"/>
      <c r="D24" s="737"/>
      <c r="E24" s="737"/>
      <c r="F24" s="737"/>
      <c r="G24" s="737"/>
      <c r="H24" s="737"/>
      <c r="I24" s="737"/>
      <c r="J24" s="737"/>
      <c r="K24" s="737"/>
      <c r="L24" s="737"/>
      <c r="M24" s="737"/>
      <c r="N24" s="737"/>
      <c r="O24" s="737"/>
      <c r="P24" s="737"/>
      <c r="Q24" s="737"/>
      <c r="R24" s="737"/>
      <c r="S24" s="737"/>
      <c r="T24" s="737"/>
      <c r="U24" s="737"/>
      <c r="V24" s="737"/>
      <c r="W24" s="737"/>
      <c r="X24" s="737"/>
      <c r="Y24" s="737"/>
      <c r="Z24" s="737"/>
      <c r="AA24" s="737"/>
      <c r="AB24" s="737"/>
      <c r="AC24" s="737"/>
      <c r="AD24" s="737"/>
      <c r="AE24" s="737"/>
      <c r="AF24" s="737"/>
      <c r="AG24" s="737"/>
      <c r="AH24" s="737"/>
      <c r="AI24" s="737"/>
      <c r="AJ24" s="737"/>
      <c r="AK24" s="564"/>
    </row>
    <row r="25" spans="1:37">
      <c r="A25" s="563"/>
      <c r="B25" s="737"/>
      <c r="C25" s="737"/>
      <c r="D25" s="737"/>
      <c r="E25" s="737"/>
      <c r="F25" s="737"/>
      <c r="G25" s="737"/>
      <c r="H25" s="737"/>
      <c r="I25" s="737"/>
      <c r="J25" s="737"/>
      <c r="K25" s="737"/>
      <c r="L25" s="737"/>
      <c r="M25" s="737"/>
      <c r="N25" s="737"/>
      <c r="O25" s="737"/>
      <c r="P25" s="737"/>
      <c r="Q25" s="737"/>
      <c r="R25" s="737"/>
      <c r="S25" s="737"/>
      <c r="T25" s="737"/>
      <c r="U25" s="737"/>
      <c r="V25" s="737"/>
      <c r="W25" s="737"/>
      <c r="X25" s="737"/>
      <c r="Y25" s="737"/>
      <c r="Z25" s="737"/>
      <c r="AA25" s="737"/>
      <c r="AB25" s="737"/>
      <c r="AC25" s="737"/>
      <c r="AD25" s="737"/>
      <c r="AE25" s="737"/>
      <c r="AF25" s="737"/>
      <c r="AG25" s="737"/>
      <c r="AH25" s="737"/>
      <c r="AI25" s="737"/>
      <c r="AJ25" s="737"/>
      <c r="AK25" s="564"/>
    </row>
    <row r="26" spans="1:37">
      <c r="A26" s="563"/>
      <c r="B26" s="737"/>
      <c r="C26" s="737"/>
      <c r="D26" s="737"/>
      <c r="E26" s="737"/>
      <c r="F26" s="737"/>
      <c r="G26" s="737"/>
      <c r="H26" s="737"/>
      <c r="I26" s="737"/>
      <c r="J26" s="737"/>
      <c r="K26" s="737"/>
      <c r="L26" s="737"/>
      <c r="M26" s="737"/>
      <c r="N26" s="737"/>
      <c r="O26" s="737"/>
      <c r="P26" s="737"/>
      <c r="Q26" s="737"/>
      <c r="R26" s="737"/>
      <c r="S26" s="737"/>
      <c r="T26" s="737"/>
      <c r="U26" s="737"/>
      <c r="V26" s="737"/>
      <c r="W26" s="737"/>
      <c r="X26" s="737"/>
      <c r="Y26" s="737"/>
      <c r="Z26" s="737"/>
      <c r="AA26" s="737"/>
      <c r="AB26" s="737"/>
      <c r="AC26" s="737"/>
      <c r="AD26" s="737"/>
      <c r="AE26" s="737"/>
      <c r="AF26" s="737"/>
      <c r="AG26" s="737"/>
      <c r="AH26" s="737"/>
      <c r="AI26" s="737"/>
      <c r="AJ26" s="737"/>
      <c r="AK26" s="564"/>
    </row>
    <row r="27" spans="1:37">
      <c r="A27" s="563"/>
      <c r="B27" s="737"/>
      <c r="C27" s="737"/>
      <c r="D27" s="737"/>
      <c r="E27" s="737"/>
      <c r="F27" s="737"/>
      <c r="G27" s="737"/>
      <c r="H27" s="737"/>
      <c r="I27" s="737"/>
      <c r="J27" s="737"/>
      <c r="K27" s="737"/>
      <c r="L27" s="738"/>
      <c r="M27" s="737"/>
      <c r="N27" s="737"/>
      <c r="O27" s="737"/>
      <c r="P27" s="737"/>
      <c r="Q27" s="737"/>
      <c r="R27" s="737"/>
      <c r="S27" s="737"/>
      <c r="T27" s="738"/>
      <c r="U27" s="737"/>
      <c r="V27" s="737"/>
      <c r="W27" s="737"/>
      <c r="X27" s="737"/>
      <c r="Y27" s="737"/>
      <c r="Z27" s="737"/>
      <c r="AA27" s="737"/>
      <c r="AB27" s="737"/>
      <c r="AC27" s="737"/>
      <c r="AD27" s="737"/>
      <c r="AE27" s="737"/>
      <c r="AF27" s="737"/>
      <c r="AG27" s="737"/>
      <c r="AH27" s="737"/>
      <c r="AI27" s="737"/>
      <c r="AJ27" s="737"/>
      <c r="AK27" s="564"/>
    </row>
    <row r="28" spans="1:37">
      <c r="A28" s="563"/>
      <c r="B28" s="737"/>
      <c r="C28" s="737"/>
      <c r="D28" s="737"/>
      <c r="E28" s="737"/>
      <c r="F28" s="737"/>
      <c r="G28" s="738"/>
      <c r="H28" s="737"/>
      <c r="I28" s="737"/>
      <c r="J28" s="1803"/>
      <c r="K28" s="1803"/>
      <c r="L28" s="737"/>
      <c r="M28" s="737"/>
      <c r="N28" s="737"/>
      <c r="O28" s="738"/>
      <c r="P28" s="737"/>
      <c r="Q28" s="737"/>
      <c r="R28" s="1803" t="s">
        <v>681</v>
      </c>
      <c r="S28" s="1803"/>
      <c r="T28" s="737"/>
      <c r="U28" s="737"/>
      <c r="V28" s="738"/>
      <c r="W28" s="737"/>
      <c r="X28" s="737"/>
      <c r="Y28" s="737"/>
      <c r="Z28" s="737"/>
      <c r="AA28" s="737"/>
      <c r="AB28" s="737"/>
      <c r="AC28" s="737"/>
      <c r="AD28" s="737"/>
      <c r="AE28" s="737"/>
      <c r="AF28" s="737"/>
      <c r="AG28" s="737"/>
      <c r="AH28" s="737"/>
      <c r="AI28" s="737"/>
      <c r="AJ28" s="737"/>
      <c r="AK28" s="564"/>
    </row>
    <row r="29" spans="1:37">
      <c r="A29" s="563"/>
      <c r="B29" s="737"/>
      <c r="C29" s="737"/>
      <c r="D29" s="737"/>
      <c r="E29" s="737"/>
      <c r="F29" s="737"/>
      <c r="G29" s="737"/>
      <c r="H29" s="737"/>
      <c r="I29" s="737"/>
      <c r="J29" s="738"/>
      <c r="K29" s="737"/>
      <c r="L29" s="737"/>
      <c r="M29" s="737"/>
      <c r="N29" s="737"/>
      <c r="O29" s="737"/>
      <c r="P29" s="737"/>
      <c r="Q29" s="737"/>
      <c r="R29" s="738"/>
      <c r="S29" s="737"/>
      <c r="T29" s="737"/>
      <c r="U29" s="737"/>
      <c r="V29" s="737"/>
      <c r="W29" s="737"/>
      <c r="X29" s="737"/>
      <c r="Y29" s="737"/>
      <c r="Z29" s="737"/>
      <c r="AA29" s="737"/>
      <c r="AB29" s="737"/>
      <c r="AC29" s="737"/>
      <c r="AD29" s="737"/>
      <c r="AE29" s="737"/>
      <c r="AF29" s="737"/>
      <c r="AG29" s="737"/>
      <c r="AH29" s="737"/>
      <c r="AI29" s="737"/>
      <c r="AJ29" s="737"/>
      <c r="AK29" s="564"/>
    </row>
    <row r="30" spans="1:37" s="566" customFormat="1" ht="20.25" customHeight="1">
      <c r="A30" s="565"/>
      <c r="B30" s="613"/>
      <c r="C30" s="613"/>
      <c r="D30" s="613" t="s">
        <v>713</v>
      </c>
      <c r="E30" s="613"/>
      <c r="F30" s="613"/>
      <c r="G30" s="613"/>
      <c r="H30" s="613"/>
      <c r="I30" s="613"/>
      <c r="J30" s="613"/>
      <c r="K30" s="613"/>
      <c r="L30" s="613"/>
      <c r="M30" s="613"/>
      <c r="N30" s="613"/>
      <c r="O30" s="613"/>
      <c r="P30" s="613"/>
      <c r="Q30" s="613"/>
      <c r="R30" s="613"/>
      <c r="S30" s="613"/>
      <c r="T30" s="613"/>
      <c r="U30" s="613"/>
      <c r="V30" s="613"/>
      <c r="W30" s="613"/>
      <c r="X30" s="613"/>
      <c r="Y30" s="613"/>
      <c r="Z30" s="613"/>
      <c r="AA30" s="613"/>
      <c r="AB30" s="613"/>
      <c r="AC30" s="613"/>
      <c r="AD30" s="613"/>
      <c r="AE30" s="613"/>
      <c r="AF30" s="613"/>
      <c r="AG30" s="613"/>
      <c r="AH30" s="613"/>
      <c r="AI30" s="613"/>
      <c r="AJ30" s="613"/>
      <c r="AK30" s="567"/>
    </row>
    <row r="31" spans="1:37" s="566" customFormat="1" ht="20.25" customHeight="1">
      <c r="A31" s="565"/>
      <c r="B31" s="613"/>
      <c r="C31" s="613"/>
      <c r="D31" s="613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613"/>
      <c r="P31" s="128"/>
      <c r="Q31" s="128"/>
      <c r="R31" s="128"/>
      <c r="S31" s="128"/>
      <c r="T31" s="128"/>
      <c r="U31" s="128"/>
      <c r="V31" s="128"/>
      <c r="W31" s="128"/>
      <c r="X31" s="613"/>
      <c r="Y31" s="613"/>
      <c r="Z31" s="613"/>
      <c r="AA31" s="613"/>
      <c r="AB31" s="613"/>
      <c r="AC31" s="613"/>
      <c r="AD31" s="613"/>
      <c r="AE31" s="613"/>
      <c r="AF31" s="613"/>
      <c r="AG31" s="613"/>
      <c r="AH31" s="613"/>
      <c r="AI31" s="613"/>
      <c r="AJ31" s="613"/>
      <c r="AK31" s="567"/>
    </row>
    <row r="32" spans="1:37" s="566" customFormat="1" ht="20.25" customHeight="1">
      <c r="A32" s="565"/>
      <c r="B32" s="613"/>
      <c r="C32" s="613" t="s">
        <v>714</v>
      </c>
      <c r="D32" s="613"/>
      <c r="E32" s="613"/>
      <c r="F32" s="613"/>
      <c r="G32" s="613"/>
      <c r="H32" s="613"/>
      <c r="I32" s="613"/>
      <c r="J32" s="613"/>
      <c r="K32" s="613"/>
      <c r="L32" s="613"/>
      <c r="M32" s="613"/>
      <c r="N32" s="613"/>
      <c r="O32" s="613"/>
      <c r="P32" s="613"/>
      <c r="Q32" s="613"/>
      <c r="R32" s="613"/>
      <c r="S32" s="613"/>
      <c r="T32" s="613"/>
      <c r="U32" s="613"/>
      <c r="V32" s="613"/>
      <c r="W32" s="613"/>
      <c r="X32" s="613"/>
      <c r="Y32" s="613"/>
      <c r="Z32" s="613"/>
      <c r="AA32" s="613"/>
      <c r="AB32" s="613"/>
      <c r="AC32" s="613"/>
      <c r="AD32" s="613"/>
      <c r="AE32" s="613"/>
      <c r="AF32" s="613"/>
      <c r="AG32" s="613"/>
      <c r="AH32" s="613" t="s">
        <v>697</v>
      </c>
      <c r="AI32" s="613"/>
      <c r="AJ32" s="613"/>
      <c r="AK32" s="567"/>
    </row>
    <row r="33" spans="1:37" s="566" customFormat="1" ht="20.25" hidden="1" customHeight="1">
      <c r="A33" s="565"/>
      <c r="B33" s="613"/>
      <c r="C33" s="613" t="s">
        <v>715</v>
      </c>
      <c r="D33" s="613"/>
      <c r="E33" s="613"/>
      <c r="F33" s="613"/>
      <c r="G33" s="613"/>
      <c r="H33" s="613"/>
      <c r="I33" s="613"/>
      <c r="J33" s="613"/>
      <c r="K33" s="613"/>
      <c r="L33" s="613"/>
      <c r="M33" s="613"/>
      <c r="N33" s="613"/>
      <c r="O33" s="613"/>
      <c r="P33" s="613"/>
      <c r="Q33" s="613"/>
      <c r="R33" s="613"/>
      <c r="S33" s="613"/>
      <c r="T33" s="613"/>
      <c r="U33" s="613"/>
      <c r="V33" s="613"/>
      <c r="W33" s="613"/>
      <c r="X33" s="613"/>
      <c r="Y33" s="613"/>
      <c r="Z33" s="613"/>
      <c r="AA33" s="613"/>
      <c r="AB33" s="613"/>
      <c r="AC33" s="613"/>
      <c r="AD33" s="613"/>
      <c r="AE33" s="613"/>
      <c r="AF33" s="613"/>
      <c r="AG33" s="613"/>
      <c r="AH33" s="613" t="s">
        <v>699</v>
      </c>
      <c r="AI33" s="613"/>
      <c r="AJ33" s="613"/>
      <c r="AK33" s="567"/>
    </row>
    <row r="34" spans="1:37" s="566" customFormat="1" ht="15" customHeight="1">
      <c r="A34" s="565"/>
      <c r="B34" s="613"/>
      <c r="C34" s="613"/>
      <c r="D34" s="741"/>
      <c r="E34" s="613"/>
      <c r="F34" s="613"/>
      <c r="G34" s="613"/>
      <c r="H34" s="613"/>
      <c r="I34" s="613"/>
      <c r="J34" s="613"/>
      <c r="K34" s="613"/>
      <c r="L34" s="613"/>
      <c r="M34" s="613"/>
      <c r="N34" s="613"/>
      <c r="O34" s="613"/>
      <c r="P34" s="613"/>
      <c r="Q34" s="613"/>
      <c r="R34" s="613"/>
      <c r="S34" s="613"/>
      <c r="T34" s="613"/>
      <c r="U34" s="613"/>
      <c r="V34" s="613"/>
      <c r="W34" s="613"/>
      <c r="X34" s="613"/>
      <c r="Y34" s="613"/>
      <c r="Z34" s="613"/>
      <c r="AA34" s="613"/>
      <c r="AB34" s="613"/>
      <c r="AC34" s="613"/>
      <c r="AD34" s="613" t="s">
        <v>700</v>
      </c>
      <c r="AE34" s="613"/>
      <c r="AF34" s="613"/>
      <c r="AG34" s="613"/>
      <c r="AH34" s="613"/>
      <c r="AI34" s="613"/>
      <c r="AJ34" s="613"/>
      <c r="AK34" s="567"/>
    </row>
    <row r="35" spans="1:37" s="566" customFormat="1" ht="32.25" customHeight="1">
      <c r="A35" s="565"/>
      <c r="B35" s="613"/>
      <c r="C35" s="613"/>
      <c r="D35" s="517"/>
      <c r="E35" s="568"/>
      <c r="F35" s="568"/>
      <c r="G35" s="1804" t="s">
        <v>701</v>
      </c>
      <c r="H35" s="1804"/>
      <c r="I35" s="1804"/>
      <c r="J35" s="1805"/>
      <c r="K35" s="599" t="s">
        <v>702</v>
      </c>
      <c r="L35" s="1795">
        <v>150</v>
      </c>
      <c r="M35" s="1796"/>
      <c r="N35" s="599" t="s">
        <v>702</v>
      </c>
      <c r="O35" s="1795">
        <v>200</v>
      </c>
      <c r="P35" s="1796"/>
      <c r="Q35" s="600" t="s">
        <v>702</v>
      </c>
      <c r="R35" s="1795">
        <v>300</v>
      </c>
      <c r="S35" s="1796"/>
      <c r="T35" s="599" t="s">
        <v>702</v>
      </c>
      <c r="U35" s="1795">
        <v>400</v>
      </c>
      <c r="V35" s="1796"/>
      <c r="W35" s="599" t="s">
        <v>702</v>
      </c>
      <c r="X35" s="1795">
        <v>500</v>
      </c>
      <c r="Y35" s="1796"/>
      <c r="Z35" s="599" t="s">
        <v>702</v>
      </c>
      <c r="AA35" s="1795">
        <v>600</v>
      </c>
      <c r="AB35" s="1796"/>
      <c r="AC35" s="569"/>
      <c r="AD35" s="1797"/>
      <c r="AE35" s="1798"/>
      <c r="AF35" s="570"/>
      <c r="AG35" s="1799"/>
      <c r="AH35" s="1799"/>
      <c r="AI35" s="614"/>
      <c r="AJ35" s="1799"/>
      <c r="AK35" s="1800"/>
    </row>
    <row r="36" spans="1:37" s="566" customFormat="1" ht="18" customHeight="1">
      <c r="A36" s="565"/>
      <c r="B36" s="613"/>
      <c r="C36" s="613"/>
      <c r="D36" s="1801" t="s">
        <v>704</v>
      </c>
      <c r="E36" s="1802"/>
      <c r="F36" s="1802"/>
      <c r="G36" s="1802"/>
      <c r="H36" s="1787" t="s">
        <v>703</v>
      </c>
      <c r="I36" s="1787"/>
      <c r="J36" s="1787"/>
      <c r="K36" s="1763">
        <f>'오수관 맨홀이음부 몰탈 수량집계'!C44/1000</f>
        <v>7.0000000000000001E-3</v>
      </c>
      <c r="L36" s="1764"/>
      <c r="M36" s="1765"/>
      <c r="N36" s="1763">
        <f>'오수관 맨홀이음부 몰탈 수량집계'!C45/1000</f>
        <v>0.01</v>
      </c>
      <c r="O36" s="1764"/>
      <c r="P36" s="1765"/>
      <c r="Q36" s="1763">
        <f>'오수관 맨홀이음부 몰탈 수량집계'!C46/1000</f>
        <v>1.7000000000000001E-2</v>
      </c>
      <c r="R36" s="1764"/>
      <c r="S36" s="1765"/>
      <c r="T36" s="1763">
        <f>'오수관 맨홀이음부 몰탈 수량집계'!C47/1000</f>
        <v>1.9E-2</v>
      </c>
      <c r="U36" s="1764"/>
      <c r="V36" s="1765"/>
      <c r="W36" s="1763">
        <f>'오수관 맨홀이음부 몰탈 수량집계'!C48/1000</f>
        <v>2.1999999999999999E-2</v>
      </c>
      <c r="X36" s="1764"/>
      <c r="Y36" s="1765"/>
      <c r="Z36" s="1763">
        <f>'오수관 맨홀이음부 몰탈 수량집계'!C49/1000</f>
        <v>2.5999999999999999E-2</v>
      </c>
      <c r="AA36" s="1764"/>
      <c r="AB36" s="1765"/>
      <c r="AC36" s="1766"/>
      <c r="AD36" s="1767"/>
      <c r="AE36" s="1768"/>
      <c r="AF36" s="1781"/>
      <c r="AG36" s="1782"/>
      <c r="AH36" s="1782"/>
      <c r="AI36" s="1787"/>
      <c r="AJ36" s="1787"/>
      <c r="AK36" s="1788"/>
    </row>
    <row r="37" spans="1:37" s="566" customFormat="1" ht="32.25" customHeight="1">
      <c r="A37" s="565"/>
      <c r="B37" s="1784" t="s">
        <v>716</v>
      </c>
      <c r="C37" s="1785"/>
      <c r="D37" s="572" t="s">
        <v>681</v>
      </c>
      <c r="E37" s="1786">
        <v>0.9</v>
      </c>
      <c r="F37" s="1786"/>
      <c r="G37" s="573" t="s">
        <v>706</v>
      </c>
      <c r="H37" s="1789" t="s">
        <v>717</v>
      </c>
      <c r="I37" s="1790"/>
      <c r="J37" s="1791"/>
      <c r="K37" s="1766">
        <f>INT((PI()*$E37^2/4-(L$35/1000+2*K$36)*$E37+PI()*(L$35/1000+2*K$36)/2*$E37)*0.02*1000)/1000</f>
        <v>1.4E-2</v>
      </c>
      <c r="L37" s="1767"/>
      <c r="M37" s="1768"/>
      <c r="N37" s="1766">
        <f>INT((PI()*$E37^2/4-(O$35/1000+2*N$36)*$E37+PI()*(O$35/1000+2*N$36)/2*$E37)*0.02*1000)/1000</f>
        <v>1.4E-2</v>
      </c>
      <c r="O37" s="1767"/>
      <c r="P37" s="1768"/>
      <c r="Q37" s="1766">
        <f>INT((PI()*$E37^2/4-(R$35/1000+2*Q$36)*$E37+PI()*(R$35/1000+2*Q$36)/2*$E37)*0.02*1000)/1000</f>
        <v>1.6E-2</v>
      </c>
      <c r="R37" s="1767"/>
      <c r="S37" s="1768"/>
      <c r="T37" s="1766">
        <f>INT((PI()*$E37^2/4-(U$35/1000+2*T$36)*$E37+PI()*(U$35/1000+2*T$36)/2*$E37)*0.02*1000)/1000</f>
        <v>1.7000000000000001E-2</v>
      </c>
      <c r="U37" s="1767"/>
      <c r="V37" s="1768"/>
      <c r="W37" s="1766">
        <f>INT((PI()*$E37^2/4-(X$35/1000+2*W$36)*$E37+PI()*(X$35/1000+2*W$36)/2*$E37)*0.02*1000)/1000</f>
        <v>1.7999999999999999E-2</v>
      </c>
      <c r="X37" s="1767"/>
      <c r="Y37" s="1768"/>
      <c r="Z37" s="1766">
        <f>INT((PI()*$E37^2/4-(AA$35/1000+2*Z$36)*$E37+PI()*(AA$35/1000+2*Z$36)/2*$E37)*0.02*1000)/1000</f>
        <v>1.9E-2</v>
      </c>
      <c r="AA37" s="1767"/>
      <c r="AB37" s="1768"/>
      <c r="AC37" s="1766"/>
      <c r="AD37" s="1767"/>
      <c r="AE37" s="1768"/>
      <c r="AF37" s="1781"/>
      <c r="AG37" s="1782"/>
      <c r="AH37" s="1782"/>
      <c r="AI37" s="1782"/>
      <c r="AJ37" s="1782"/>
      <c r="AK37" s="1783"/>
    </row>
    <row r="38" spans="1:37" s="566" customFormat="1" ht="32.25" customHeight="1">
      <c r="A38" s="565"/>
      <c r="B38" s="1784" t="s">
        <v>716</v>
      </c>
      <c r="C38" s="1785"/>
      <c r="D38" s="572" t="s">
        <v>681</v>
      </c>
      <c r="E38" s="1786">
        <v>1.2</v>
      </c>
      <c r="F38" s="1786"/>
      <c r="G38" s="573" t="s">
        <v>706</v>
      </c>
      <c r="H38" s="1792"/>
      <c r="I38" s="1793"/>
      <c r="J38" s="1794"/>
      <c r="K38" s="1766">
        <f>INT((PI()*$E38^2/4-(L$35/1000+2*K$36)*$E38+PI()*(L$35/1000+2*K$36)/2*$E38)*0.02*1000)/1000</f>
        <v>2.4E-2</v>
      </c>
      <c r="L38" s="1767"/>
      <c r="M38" s="1768"/>
      <c r="N38" s="1766">
        <f>INT((PI()*$E38^2/4-(O$35/1000+2*N$36)*$E38+PI()*(O$35/1000+2*N$36)/2*$E38)*0.02*1000)/1000</f>
        <v>2.5000000000000001E-2</v>
      </c>
      <c r="O38" s="1767"/>
      <c r="P38" s="1768"/>
      <c r="Q38" s="1766">
        <f>INT((PI()*$E38^2/4-(R$35/1000+2*Q$36)*$E38+PI()*(R$35/1000+2*Q$36)/2*$E38)*0.02*1000)/1000</f>
        <v>2.7E-2</v>
      </c>
      <c r="R38" s="1767"/>
      <c r="S38" s="1768"/>
      <c r="T38" s="1766">
        <f>INT((PI()*$E38^2/4-(U$35/1000+2*T$36)*$E38+PI()*(U$35/1000+2*T$36)/2*$E38)*0.02*1000)/1000</f>
        <v>2.8000000000000001E-2</v>
      </c>
      <c r="U38" s="1767"/>
      <c r="V38" s="1768"/>
      <c r="W38" s="1766">
        <f>INT((PI()*$E38^2/4-(X$35/1000+2*W$36)*$E38+PI()*(X$35/1000+2*W$36)/2*$E38)*0.02*1000)/1000</f>
        <v>0.03</v>
      </c>
      <c r="X38" s="1767"/>
      <c r="Y38" s="1768"/>
      <c r="Z38" s="1766">
        <f>INT((PI()*$E38^2/4-(AA$35/1000+2*Z$36)*$E38+PI()*(AA$35/1000+2*Z$36)/2*$E38)*0.02*1000)/1000</f>
        <v>3.1E-2</v>
      </c>
      <c r="AA38" s="1767"/>
      <c r="AB38" s="1768"/>
      <c r="AC38" s="1766"/>
      <c r="AD38" s="1767"/>
      <c r="AE38" s="1768"/>
      <c r="AF38" s="1781"/>
      <c r="AG38" s="1782"/>
      <c r="AH38" s="1782"/>
      <c r="AI38" s="1782"/>
      <c r="AJ38" s="1782"/>
      <c r="AK38" s="1783"/>
    </row>
    <row r="39" spans="1:37" s="507" customFormat="1" ht="30" customHeight="1">
      <c r="A39" s="574"/>
      <c r="B39" s="575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6"/>
    </row>
  </sheetData>
  <mergeCells count="52">
    <mergeCell ref="X22:X23"/>
    <mergeCell ref="A1:AK1"/>
    <mergeCell ref="Q3:T3"/>
    <mergeCell ref="W13:Y13"/>
    <mergeCell ref="R15:S15"/>
    <mergeCell ref="Q17:T17"/>
    <mergeCell ref="J28:K28"/>
    <mergeCell ref="R28:S28"/>
    <mergeCell ref="G35:J35"/>
    <mergeCell ref="O35:P35"/>
    <mergeCell ref="R35:S35"/>
    <mergeCell ref="U35:V35"/>
    <mergeCell ref="L35:M35"/>
    <mergeCell ref="D36:G36"/>
    <mergeCell ref="H36:J36"/>
    <mergeCell ref="N36:P36"/>
    <mergeCell ref="Q36:S36"/>
    <mergeCell ref="T36:V36"/>
    <mergeCell ref="K36:M36"/>
    <mergeCell ref="X35:Y35"/>
    <mergeCell ref="AA35:AB35"/>
    <mergeCell ref="AD35:AE35"/>
    <mergeCell ref="AG35:AH35"/>
    <mergeCell ref="AJ35:AK35"/>
    <mergeCell ref="B37:C37"/>
    <mergeCell ref="E37:F37"/>
    <mergeCell ref="H37:J38"/>
    <mergeCell ref="N37:P37"/>
    <mergeCell ref="Q37:S37"/>
    <mergeCell ref="K37:M37"/>
    <mergeCell ref="K38:M38"/>
    <mergeCell ref="AI37:AK37"/>
    <mergeCell ref="W36:Y36"/>
    <mergeCell ref="Z36:AB36"/>
    <mergeCell ref="AC36:AE36"/>
    <mergeCell ref="AF36:AH36"/>
    <mergeCell ref="AI36:AK36"/>
    <mergeCell ref="T37:V37"/>
    <mergeCell ref="W37:Y37"/>
    <mergeCell ref="Z37:AB37"/>
    <mergeCell ref="AC37:AE37"/>
    <mergeCell ref="AF37:AH37"/>
    <mergeCell ref="Z38:AB38"/>
    <mergeCell ref="AC38:AE38"/>
    <mergeCell ref="AF38:AH38"/>
    <mergeCell ref="AI38:AK38"/>
    <mergeCell ref="B38:C38"/>
    <mergeCell ref="E38:F38"/>
    <mergeCell ref="N38:P38"/>
    <mergeCell ref="Q38:S38"/>
    <mergeCell ref="T38:V38"/>
    <mergeCell ref="W38:Y38"/>
  </mergeCells>
  <phoneticPr fontId="13" type="noConversion"/>
  <printOptions horizontalCentered="1"/>
  <pageMargins left="0.70866141732283472" right="0.70866141732283472" top="0.98425196850393704" bottom="0.78740157480314965" header="0.35433070866141736" footer="0.27559055118110237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>
    <tabColor rgb="FFFFC000"/>
  </sheetPr>
  <dimension ref="A1:P30"/>
  <sheetViews>
    <sheetView workbookViewId="0">
      <selection sqref="A1:H1"/>
    </sheetView>
  </sheetViews>
  <sheetFormatPr defaultRowHeight="21" customHeight="1"/>
  <cols>
    <col min="1" max="8" width="8.88671875" style="506" customWidth="1"/>
    <col min="9" max="16384" width="8.88671875" style="506"/>
  </cols>
  <sheetData>
    <row r="1" spans="1:16" ht="50.1" customHeight="1">
      <c r="A1" s="1742" t="s">
        <v>744</v>
      </c>
      <c r="B1" s="1742"/>
      <c r="C1" s="1742"/>
      <c r="D1" s="1742"/>
      <c r="E1" s="1742"/>
      <c r="F1" s="1742"/>
      <c r="G1" s="1742"/>
      <c r="H1" s="1742"/>
      <c r="I1" s="1742" t="s">
        <v>745</v>
      </c>
      <c r="J1" s="1742"/>
      <c r="K1" s="1742"/>
      <c r="L1" s="1742"/>
      <c r="M1" s="1742"/>
      <c r="N1" s="1742"/>
      <c r="O1" s="1742"/>
      <c r="P1" s="1742"/>
    </row>
    <row r="2" spans="1:16" ht="21" customHeight="1">
      <c r="A2" s="516"/>
      <c r="B2" s="592"/>
      <c r="C2" s="592"/>
      <c r="D2" s="592"/>
      <c r="E2" s="592"/>
      <c r="F2" s="592"/>
      <c r="G2" s="592"/>
      <c r="H2" s="589"/>
      <c r="I2" s="516"/>
      <c r="J2" s="592"/>
      <c r="K2" s="592"/>
      <c r="L2" s="592"/>
      <c r="M2" s="592"/>
      <c r="N2" s="592"/>
      <c r="O2" s="592"/>
      <c r="P2" s="589"/>
    </row>
    <row r="3" spans="1:16" ht="21" customHeight="1">
      <c r="A3" s="579"/>
      <c r="H3" s="586"/>
      <c r="I3" s="579"/>
      <c r="P3" s="586"/>
    </row>
    <row r="4" spans="1:16" ht="21" customHeight="1">
      <c r="A4" s="579"/>
      <c r="H4" s="586"/>
      <c r="I4" s="579"/>
      <c r="P4" s="586"/>
    </row>
    <row r="5" spans="1:16" ht="21" customHeight="1">
      <c r="A5" s="579"/>
      <c r="H5" s="586"/>
      <c r="I5" s="579"/>
      <c r="P5" s="586"/>
    </row>
    <row r="6" spans="1:16" ht="21" customHeight="1">
      <c r="A6" s="579"/>
      <c r="H6" s="586"/>
      <c r="I6" s="579"/>
      <c r="P6" s="586"/>
    </row>
    <row r="7" spans="1:16" ht="21" customHeight="1">
      <c r="A7" s="579"/>
      <c r="H7" s="586"/>
      <c r="I7" s="579"/>
      <c r="P7" s="586"/>
    </row>
    <row r="8" spans="1:16" ht="21" customHeight="1">
      <c r="A8" s="579"/>
      <c r="H8" s="586"/>
      <c r="I8" s="579"/>
      <c r="P8" s="586"/>
    </row>
    <row r="9" spans="1:16" ht="21" customHeight="1">
      <c r="A9" s="579"/>
      <c r="H9" s="586"/>
      <c r="I9" s="579"/>
      <c r="P9" s="586"/>
    </row>
    <row r="10" spans="1:16" ht="21" customHeight="1">
      <c r="A10" s="579"/>
      <c r="H10" s="586"/>
      <c r="I10" s="579"/>
      <c r="P10" s="586"/>
    </row>
    <row r="11" spans="1:16" ht="21" customHeight="1">
      <c r="A11" s="579"/>
      <c r="H11" s="586"/>
      <c r="I11" s="579"/>
      <c r="P11" s="586"/>
    </row>
    <row r="12" spans="1:16" ht="21" customHeight="1">
      <c r="A12" s="579"/>
      <c r="H12" s="586"/>
      <c r="I12" s="579"/>
      <c r="P12" s="586"/>
    </row>
    <row r="13" spans="1:16" ht="21" customHeight="1">
      <c r="A13" s="579"/>
      <c r="H13" s="586"/>
      <c r="I13" s="579"/>
      <c r="P13" s="586"/>
    </row>
    <row r="14" spans="1:16" ht="21" customHeight="1">
      <c r="A14" s="579"/>
      <c r="H14" s="586"/>
      <c r="I14" s="579"/>
      <c r="P14" s="586"/>
    </row>
    <row r="15" spans="1:16" ht="21" customHeight="1">
      <c r="A15" s="579"/>
      <c r="H15" s="586"/>
      <c r="I15" s="579"/>
      <c r="P15" s="586"/>
    </row>
    <row r="16" spans="1:16" ht="21" customHeight="1">
      <c r="A16" s="579"/>
      <c r="H16" s="586"/>
      <c r="I16" s="579"/>
      <c r="P16" s="586"/>
    </row>
    <row r="17" spans="1:16" ht="21" customHeight="1">
      <c r="A17" s="579"/>
      <c r="H17" s="586"/>
      <c r="I17" s="579"/>
      <c r="P17" s="586"/>
    </row>
    <row r="18" spans="1:16" ht="21" customHeight="1">
      <c r="A18" s="579"/>
      <c r="H18" s="586"/>
      <c r="I18" s="579"/>
      <c r="P18" s="586"/>
    </row>
    <row r="19" spans="1:16" ht="21" customHeight="1">
      <c r="A19" s="579"/>
      <c r="H19" s="586"/>
      <c r="I19" s="579"/>
      <c r="P19" s="586"/>
    </row>
    <row r="20" spans="1:16" ht="21" customHeight="1">
      <c r="A20" s="579"/>
      <c r="H20" s="586"/>
      <c r="I20" s="579"/>
      <c r="P20" s="586"/>
    </row>
    <row r="21" spans="1:16" ht="21" customHeight="1">
      <c r="A21" s="579"/>
      <c r="H21" s="586"/>
      <c r="I21" s="579"/>
      <c r="P21" s="586"/>
    </row>
    <row r="22" spans="1:16" ht="21" customHeight="1">
      <c r="A22" s="579"/>
      <c r="H22" s="586"/>
      <c r="I22" s="579"/>
      <c r="P22" s="586"/>
    </row>
    <row r="23" spans="1:16" ht="21" customHeight="1">
      <c r="A23" s="579"/>
      <c r="H23" s="586"/>
      <c r="I23" s="579"/>
      <c r="P23" s="586"/>
    </row>
    <row r="24" spans="1:16" ht="21" customHeight="1">
      <c r="A24" s="579"/>
      <c r="H24" s="586"/>
      <c r="I24" s="579"/>
      <c r="P24" s="586"/>
    </row>
    <row r="25" spans="1:16" ht="21" customHeight="1">
      <c r="A25" s="579"/>
      <c r="H25" s="586"/>
      <c r="I25" s="579"/>
      <c r="P25" s="586"/>
    </row>
    <row r="26" spans="1:16" ht="21" customHeight="1">
      <c r="A26" s="579"/>
      <c r="H26" s="586"/>
      <c r="I26" s="579"/>
      <c r="P26" s="586"/>
    </row>
    <row r="27" spans="1:16" ht="21" customHeight="1">
      <c r="A27" s="579"/>
      <c r="H27" s="586"/>
      <c r="I27" s="579"/>
      <c r="P27" s="586"/>
    </row>
    <row r="28" spans="1:16" ht="21" customHeight="1">
      <c r="A28" s="579"/>
      <c r="H28" s="586"/>
      <c r="I28" s="579"/>
      <c r="P28" s="586"/>
    </row>
    <row r="29" spans="1:16" ht="21" customHeight="1">
      <c r="A29" s="579"/>
      <c r="H29" s="586"/>
      <c r="I29" s="579"/>
      <c r="P29" s="586"/>
    </row>
    <row r="30" spans="1:16" ht="21" customHeight="1">
      <c r="A30" s="593"/>
      <c r="B30" s="594"/>
      <c r="C30" s="594"/>
      <c r="D30" s="594"/>
      <c r="E30" s="594"/>
      <c r="F30" s="594"/>
      <c r="G30" s="594"/>
      <c r="H30" s="595"/>
      <c r="I30" s="593"/>
      <c r="J30" s="594"/>
      <c r="K30" s="594"/>
      <c r="L30" s="594"/>
      <c r="M30" s="594"/>
      <c r="N30" s="594"/>
      <c r="O30" s="594"/>
      <c r="P30" s="595"/>
    </row>
  </sheetData>
  <mergeCells count="2">
    <mergeCell ref="A1:H1"/>
    <mergeCell ref="I1:P1"/>
  </mergeCells>
  <phoneticPr fontId="13" type="noConversion"/>
  <printOptions horizontalCentered="1"/>
  <pageMargins left="0.74803149606299213" right="0.74803149606299213" top="0.98425196850393704" bottom="0.78740157480314965" header="0.51181102362204722" footer="0.511811023622047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>
    <tabColor rgb="FFFFC000"/>
  </sheetPr>
  <dimension ref="A1:AN29"/>
  <sheetViews>
    <sheetView workbookViewId="0">
      <selection sqref="A1:AN1"/>
    </sheetView>
  </sheetViews>
  <sheetFormatPr defaultColWidth="6.21875" defaultRowHeight="12"/>
  <cols>
    <col min="1" max="1" width="3.21875" style="402" customWidth="1"/>
    <col min="2" max="8" width="1.88671875" style="402" customWidth="1"/>
    <col min="9" max="9" width="2.109375" style="402" customWidth="1"/>
    <col min="10" max="34" width="1.88671875" style="402" customWidth="1"/>
    <col min="35" max="35" width="2.44140625" style="402" customWidth="1"/>
    <col min="36" max="40" width="1.88671875" style="402" customWidth="1"/>
    <col min="41" max="16384" width="6.21875" style="402"/>
  </cols>
  <sheetData>
    <row r="1" spans="1:40" s="398" customFormat="1" ht="24.95" customHeight="1">
      <c r="A1" s="1823" t="s">
        <v>737</v>
      </c>
      <c r="B1" s="1823"/>
      <c r="C1" s="1823"/>
      <c r="D1" s="1823"/>
      <c r="E1" s="1823"/>
      <c r="F1" s="1823"/>
      <c r="G1" s="1823"/>
      <c r="H1" s="1823"/>
      <c r="I1" s="1823"/>
      <c r="J1" s="1823"/>
      <c r="K1" s="1823"/>
      <c r="L1" s="1823"/>
      <c r="M1" s="1823"/>
      <c r="N1" s="1823"/>
      <c r="O1" s="1823"/>
      <c r="P1" s="1823"/>
      <c r="Q1" s="1823"/>
      <c r="R1" s="1823"/>
      <c r="S1" s="1823"/>
      <c r="T1" s="1823"/>
      <c r="U1" s="1823"/>
      <c r="V1" s="1823"/>
      <c r="W1" s="1823"/>
      <c r="X1" s="1823"/>
      <c r="Y1" s="1823"/>
      <c r="Z1" s="1823"/>
      <c r="AA1" s="1823"/>
      <c r="AB1" s="1823"/>
      <c r="AC1" s="1823"/>
      <c r="AD1" s="1823"/>
      <c r="AE1" s="1823"/>
      <c r="AF1" s="1823"/>
      <c r="AG1" s="1823"/>
      <c r="AH1" s="1823"/>
      <c r="AI1" s="1823"/>
      <c r="AJ1" s="1823"/>
      <c r="AK1" s="1823"/>
      <c r="AL1" s="1823"/>
      <c r="AM1" s="1823"/>
      <c r="AN1" s="1823"/>
    </row>
    <row r="2" spans="1:40" ht="24.95" customHeight="1">
      <c r="A2" s="399"/>
      <c r="B2" s="400"/>
      <c r="C2" s="399"/>
      <c r="D2" s="399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399" t="s">
        <v>609</v>
      </c>
      <c r="AK2" s="399"/>
      <c r="AL2" s="399"/>
      <c r="AM2" s="399"/>
      <c r="AN2" s="401"/>
    </row>
    <row r="3" spans="1:40" ht="24" customHeight="1">
      <c r="A3" s="403"/>
      <c r="AN3" s="404"/>
    </row>
    <row r="4" spans="1:40" ht="24" customHeight="1">
      <c r="A4" s="403"/>
      <c r="B4" s="438"/>
      <c r="C4" s="438"/>
      <c r="D4" s="438"/>
      <c r="E4" s="438"/>
      <c r="F4" s="438"/>
      <c r="G4" s="438"/>
      <c r="H4" s="438"/>
      <c r="I4" s="438"/>
      <c r="J4" s="438"/>
      <c r="K4" s="438"/>
      <c r="L4" s="405" t="s">
        <v>610</v>
      </c>
      <c r="M4" s="405"/>
      <c r="N4" s="405"/>
      <c r="O4" s="405"/>
      <c r="P4" s="405"/>
      <c r="Q4" s="438"/>
      <c r="R4" s="438"/>
      <c r="S4" s="438"/>
      <c r="T4" s="438"/>
      <c r="U4" s="438"/>
      <c r="V4" s="438"/>
      <c r="W4" s="438"/>
      <c r="X4" s="438"/>
      <c r="Y4" s="438"/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04"/>
    </row>
    <row r="5" spans="1:40" ht="24" customHeight="1">
      <c r="A5" s="403"/>
      <c r="B5" s="438"/>
      <c r="C5" s="438"/>
      <c r="D5" s="438"/>
      <c r="E5" s="438"/>
      <c r="F5" s="438"/>
      <c r="G5" s="438"/>
      <c r="H5" s="438"/>
      <c r="I5" s="438"/>
      <c r="J5" s="438"/>
      <c r="K5" s="438"/>
      <c r="L5" s="406" t="s">
        <v>611</v>
      </c>
      <c r="M5" s="438"/>
      <c r="N5" s="438"/>
      <c r="O5" s="438"/>
      <c r="P5" s="438"/>
      <c r="Q5" s="438" t="s">
        <v>608</v>
      </c>
      <c r="R5" s="438"/>
      <c r="S5" s="438"/>
      <c r="T5" s="438"/>
      <c r="U5" s="438"/>
      <c r="V5" s="438"/>
      <c r="W5" s="438"/>
      <c r="X5" s="438"/>
      <c r="Y5" s="438"/>
      <c r="Z5" s="438"/>
      <c r="AA5" s="438"/>
      <c r="AB5" s="438"/>
      <c r="AC5" s="438"/>
      <c r="AD5" s="438"/>
      <c r="AE5" s="438"/>
      <c r="AF5" s="438"/>
      <c r="AG5" s="438"/>
      <c r="AH5" s="438"/>
      <c r="AI5" s="438"/>
      <c r="AJ5" s="438"/>
      <c r="AK5" s="438"/>
      <c r="AL5" s="438"/>
      <c r="AM5" s="438"/>
      <c r="AN5" s="404"/>
    </row>
    <row r="6" spans="1:40" ht="32.25" customHeight="1">
      <c r="A6" s="403"/>
      <c r="B6" s="438"/>
      <c r="C6" s="407"/>
      <c r="D6" s="407"/>
      <c r="E6" s="480" t="e">
        <f>ROUND((C7-E7)/2,1)</f>
        <v>#REF!</v>
      </c>
      <c r="F6" s="438"/>
      <c r="G6" s="438"/>
      <c r="H6" s="408" t="s">
        <v>608</v>
      </c>
      <c r="I6" s="438"/>
      <c r="J6" s="438"/>
      <c r="K6" s="438"/>
      <c r="L6" s="438"/>
      <c r="M6" s="438"/>
      <c r="N6" s="438"/>
      <c r="O6" s="438"/>
      <c r="P6" s="438"/>
      <c r="Q6" s="438"/>
      <c r="R6" s="438"/>
      <c r="S6" s="438"/>
      <c r="T6" s="408"/>
      <c r="U6" s="438"/>
      <c r="V6" s="438"/>
      <c r="W6" s="480" t="e">
        <f>ROUND((Y7-W7)/2,1)</f>
        <v>#REF!</v>
      </c>
      <c r="X6" s="438"/>
      <c r="Y6" s="438"/>
      <c r="Z6" s="438"/>
      <c r="AA6" s="438"/>
      <c r="AB6" s="438"/>
      <c r="AC6" s="405" t="s">
        <v>612</v>
      </c>
      <c r="AD6" s="405"/>
      <c r="AE6" s="405"/>
      <c r="AF6" s="405"/>
      <c r="AG6" s="405"/>
      <c r="AH6" s="438"/>
      <c r="AI6" s="438"/>
      <c r="AJ6" s="438"/>
      <c r="AK6" s="438"/>
      <c r="AL6" s="438"/>
      <c r="AM6" s="438"/>
      <c r="AN6" s="404"/>
    </row>
    <row r="7" spans="1:40" ht="24" customHeight="1">
      <c r="A7" s="403"/>
      <c r="B7" s="438"/>
      <c r="C7" s="1824">
        <v>1200</v>
      </c>
      <c r="D7" s="481"/>
      <c r="E7" s="1825" t="e">
        <f>AH11+AH12*2</f>
        <v>#REF!</v>
      </c>
      <c r="F7" s="438"/>
      <c r="G7" s="438"/>
      <c r="H7" s="409" t="s">
        <v>613</v>
      </c>
      <c r="I7" s="482"/>
      <c r="J7" s="438"/>
      <c r="K7" s="438"/>
      <c r="L7" s="438"/>
      <c r="M7" s="438"/>
      <c r="N7" s="438"/>
      <c r="O7" s="438"/>
      <c r="P7" s="438"/>
      <c r="Q7" s="438"/>
      <c r="R7" s="438"/>
      <c r="S7" s="438"/>
      <c r="T7" s="409" t="s">
        <v>613</v>
      </c>
      <c r="U7" s="438"/>
      <c r="V7" s="438"/>
      <c r="W7" s="1825" t="e">
        <f>AH13+AH14*2</f>
        <v>#REF!</v>
      </c>
      <c r="X7" s="438"/>
      <c r="Y7" s="1824">
        <f>C7</f>
        <v>1200</v>
      </c>
      <c r="Z7" s="438"/>
      <c r="AA7" s="438"/>
      <c r="AB7" s="438"/>
      <c r="AC7" s="438"/>
      <c r="AD7" s="438"/>
      <c r="AE7" s="438"/>
      <c r="AF7" s="438"/>
      <c r="AG7" s="438"/>
      <c r="AH7" s="438"/>
      <c r="AI7" s="438"/>
      <c r="AJ7" s="410">
        <f>T16</f>
        <v>50</v>
      </c>
      <c r="AK7" s="438"/>
      <c r="AL7" s="438"/>
      <c r="AM7" s="438"/>
      <c r="AN7" s="404"/>
    </row>
    <row r="8" spans="1:40" ht="24" customHeight="1">
      <c r="A8" s="403"/>
      <c r="B8" s="438"/>
      <c r="C8" s="1824"/>
      <c r="D8" s="481"/>
      <c r="E8" s="1825"/>
      <c r="F8" s="438"/>
      <c r="G8" s="482"/>
      <c r="H8" s="438"/>
      <c r="I8" s="482"/>
      <c r="J8" s="438"/>
      <c r="K8" s="438"/>
      <c r="L8" s="438"/>
      <c r="M8" s="438"/>
      <c r="N8" s="438"/>
      <c r="O8" s="438"/>
      <c r="P8" s="438"/>
      <c r="Q8" s="438"/>
      <c r="R8" s="438"/>
      <c r="S8" s="438"/>
      <c r="T8" s="438"/>
      <c r="U8" s="438"/>
      <c r="V8" s="438"/>
      <c r="W8" s="1825"/>
      <c r="X8" s="438"/>
      <c r="Y8" s="1824"/>
      <c r="Z8" s="438"/>
      <c r="AA8" s="438"/>
      <c r="AB8" s="438"/>
      <c r="AC8" s="438"/>
      <c r="AD8" s="438"/>
      <c r="AE8" s="438"/>
      <c r="AF8" s="438"/>
      <c r="AG8" s="438"/>
      <c r="AH8" s="438"/>
      <c r="AI8" s="438"/>
      <c r="AJ8" s="410" t="e">
        <f>T17-AJ9</f>
        <v>#REF!</v>
      </c>
      <c r="AK8" s="438"/>
      <c r="AL8" s="410" t="e">
        <f>V17</f>
        <v>#REF!</v>
      </c>
      <c r="AM8" s="438"/>
      <c r="AN8" s="404"/>
    </row>
    <row r="9" spans="1:40" ht="37.5" customHeight="1">
      <c r="A9" s="403"/>
      <c r="B9" s="438"/>
      <c r="C9" s="438"/>
      <c r="D9" s="438"/>
      <c r="E9" s="483" t="e">
        <f>ROUND((C7-E7)/2,1)</f>
        <v>#REF!</v>
      </c>
      <c r="F9" s="438"/>
      <c r="G9" s="438"/>
      <c r="H9" s="438"/>
      <c r="I9" s="482"/>
      <c r="J9" s="438" t="s">
        <v>608</v>
      </c>
      <c r="K9" s="438"/>
      <c r="L9" s="438"/>
      <c r="M9" s="438"/>
      <c r="N9" s="438"/>
      <c r="O9" s="438"/>
      <c r="P9" s="438"/>
      <c r="Q9" s="438"/>
      <c r="R9" s="438"/>
      <c r="S9" s="438"/>
      <c r="T9" s="438"/>
      <c r="U9" s="438"/>
      <c r="V9" s="438"/>
      <c r="W9" s="484" t="e">
        <f>ROUND((Y7-W7)/2,1)</f>
        <v>#REF!</v>
      </c>
      <c r="X9" s="438"/>
      <c r="Y9" s="438"/>
      <c r="Z9" s="438"/>
      <c r="AA9" s="438"/>
      <c r="AB9" s="438"/>
      <c r="AC9" s="438"/>
      <c r="AD9" s="438"/>
      <c r="AE9" s="438"/>
      <c r="AF9" s="438"/>
      <c r="AG9" s="438"/>
      <c r="AH9" s="438"/>
      <c r="AI9" s="438"/>
      <c r="AJ9" s="410" t="e">
        <f>(AH12+AH14)/2</f>
        <v>#REF!</v>
      </c>
      <c r="AK9" s="438"/>
      <c r="AL9" s="438"/>
      <c r="AM9" s="438"/>
      <c r="AN9" s="404"/>
    </row>
    <row r="10" spans="1:40" ht="24" customHeight="1">
      <c r="A10" s="403"/>
      <c r="B10" s="438"/>
      <c r="C10" s="438"/>
      <c r="D10" s="438"/>
      <c r="E10" s="438"/>
      <c r="F10" s="438"/>
      <c r="G10" s="438"/>
      <c r="H10" s="438"/>
      <c r="I10" s="438"/>
      <c r="J10" s="438"/>
      <c r="K10" s="438"/>
      <c r="L10" s="406" t="s">
        <v>611</v>
      </c>
      <c r="M10" s="438"/>
      <c r="N10" s="438"/>
      <c r="O10" s="438"/>
      <c r="P10" s="438"/>
      <c r="Q10" s="438"/>
      <c r="R10" s="438"/>
      <c r="S10" s="438"/>
      <c r="T10" s="438"/>
      <c r="U10" s="438"/>
      <c r="V10" s="438"/>
      <c r="W10" s="438"/>
      <c r="X10" s="438"/>
      <c r="Y10" s="438"/>
      <c r="Z10" s="438"/>
      <c r="AA10" s="438"/>
      <c r="AB10" s="438"/>
      <c r="AC10" s="438"/>
      <c r="AD10" s="485">
        <f>C7</f>
        <v>1200</v>
      </c>
      <c r="AE10" s="485"/>
      <c r="AF10" s="485"/>
      <c r="AG10" s="438"/>
      <c r="AH10" s="438"/>
      <c r="AI10" s="438"/>
      <c r="AJ10" s="438"/>
      <c r="AK10" s="438"/>
      <c r="AL10" s="438"/>
      <c r="AM10" s="438"/>
      <c r="AN10" s="404"/>
    </row>
    <row r="11" spans="1:40" ht="24" customHeight="1">
      <c r="A11" s="403"/>
      <c r="B11" s="438"/>
      <c r="C11" s="438"/>
      <c r="D11" s="438"/>
      <c r="E11" s="438"/>
      <c r="F11" s="438"/>
      <c r="G11" s="438"/>
      <c r="H11" s="438"/>
      <c r="I11" s="438"/>
      <c r="J11" s="438"/>
      <c r="K11" s="438"/>
      <c r="L11" s="438"/>
      <c r="M11" s="438"/>
      <c r="N11" s="438"/>
      <c r="O11" s="438"/>
      <c r="P11" s="438"/>
      <c r="Q11" s="438"/>
      <c r="R11" s="438"/>
      <c r="S11" s="438"/>
      <c r="T11" s="438"/>
      <c r="U11" s="438"/>
      <c r="V11" s="438"/>
      <c r="W11" s="438"/>
      <c r="X11" s="438"/>
      <c r="Y11" s="1817" t="s">
        <v>614</v>
      </c>
      <c r="Z11" s="1817"/>
      <c r="AA11" s="1817"/>
      <c r="AB11" s="1817"/>
      <c r="AC11" s="1817" t="s">
        <v>732</v>
      </c>
      <c r="AD11" s="1817"/>
      <c r="AE11" s="1817"/>
      <c r="AF11" s="1817"/>
      <c r="AG11" s="438"/>
      <c r="AH11" s="1822" t="e">
        <f>'평균유입유출관(각형인버트산출용)'!#REF!</f>
        <v>#REF!</v>
      </c>
      <c r="AI11" s="1818"/>
      <c r="AJ11" s="438"/>
      <c r="AK11" s="438"/>
      <c r="AL11" s="438"/>
      <c r="AM11" s="438"/>
      <c r="AN11" s="404"/>
    </row>
    <row r="12" spans="1:40" ht="24" customHeight="1">
      <c r="A12" s="403"/>
      <c r="B12" s="438"/>
      <c r="C12" s="438"/>
      <c r="D12" s="438"/>
      <c r="E12" s="438"/>
      <c r="F12" s="438"/>
      <c r="G12" s="438"/>
      <c r="H12" s="438"/>
      <c r="I12" s="438"/>
      <c r="J12" s="438"/>
      <c r="K12" s="438"/>
      <c r="L12" s="438"/>
      <c r="M12" s="438"/>
      <c r="N12" s="438"/>
      <c r="O12" s="438"/>
      <c r="P12" s="438"/>
      <c r="Q12" s="438"/>
      <c r="R12" s="438"/>
      <c r="S12" s="438"/>
      <c r="T12" s="438"/>
      <c r="U12" s="438"/>
      <c r="V12" s="438"/>
      <c r="W12" s="438"/>
      <c r="X12" s="438"/>
      <c r="Y12" s="438"/>
      <c r="Z12" s="438"/>
      <c r="AA12" s="438"/>
      <c r="AB12" s="438"/>
      <c r="AC12" s="1817" t="s">
        <v>734</v>
      </c>
      <c r="AD12" s="1817"/>
      <c r="AE12" s="1817"/>
      <c r="AF12" s="1817"/>
      <c r="AG12" s="438"/>
      <c r="AH12" s="1818" t="e">
        <f>'평균유입유출관(각형인버트산출용)'!#REF!</f>
        <v>#REF!</v>
      </c>
      <c r="AI12" s="1818"/>
      <c r="AJ12" s="438"/>
      <c r="AK12" s="438"/>
      <c r="AL12" s="438"/>
      <c r="AM12" s="438"/>
      <c r="AN12" s="404"/>
    </row>
    <row r="13" spans="1:40" ht="24" customHeight="1">
      <c r="A13" s="403"/>
      <c r="B13" s="438"/>
      <c r="C13" s="438"/>
      <c r="D13" s="438"/>
      <c r="E13" s="438"/>
      <c r="F13" s="438"/>
      <c r="G13" s="438"/>
      <c r="H13" s="438"/>
      <c r="I13" s="438"/>
      <c r="J13" s="438"/>
      <c r="K13" s="438"/>
      <c r="L13" s="405" t="s">
        <v>615</v>
      </c>
      <c r="M13" s="405"/>
      <c r="N13" s="405"/>
      <c r="O13" s="405"/>
      <c r="P13" s="438"/>
      <c r="Q13" s="438"/>
      <c r="R13" s="438"/>
      <c r="S13" s="438"/>
      <c r="T13" s="438"/>
      <c r="U13" s="438"/>
      <c r="V13" s="438"/>
      <c r="W13" s="438"/>
      <c r="X13" s="438"/>
      <c r="Y13" s="438"/>
      <c r="Z13" s="438"/>
      <c r="AA13" s="438"/>
      <c r="AB13" s="438"/>
      <c r="AC13" s="1817" t="s">
        <v>733</v>
      </c>
      <c r="AD13" s="1817"/>
      <c r="AE13" s="1817"/>
      <c r="AF13" s="1817"/>
      <c r="AG13" s="438"/>
      <c r="AH13" s="1822" t="e">
        <f>'평균유입유출관(각형인버트산출용)'!#REF!</f>
        <v>#REF!</v>
      </c>
      <c r="AI13" s="1818"/>
      <c r="AJ13" s="438"/>
      <c r="AK13" s="438"/>
      <c r="AL13" s="438"/>
      <c r="AM13" s="438"/>
      <c r="AN13" s="404"/>
    </row>
    <row r="14" spans="1:40" ht="24" customHeight="1">
      <c r="A14" s="403"/>
      <c r="B14" s="438"/>
      <c r="C14" s="438"/>
      <c r="D14" s="438"/>
      <c r="E14" s="438"/>
      <c r="F14" s="438"/>
      <c r="G14" s="438"/>
      <c r="H14" s="438"/>
      <c r="I14" s="438"/>
      <c r="J14" s="438"/>
      <c r="K14" s="438"/>
      <c r="L14" s="1816">
        <f>C7</f>
        <v>1200</v>
      </c>
      <c r="M14" s="1816"/>
      <c r="N14" s="1816"/>
      <c r="O14" s="1816"/>
      <c r="P14" s="1816"/>
      <c r="Q14" s="438"/>
      <c r="R14" s="438"/>
      <c r="S14" s="438"/>
      <c r="T14" s="438"/>
      <c r="U14" s="438"/>
      <c r="V14" s="438"/>
      <c r="W14" s="438"/>
      <c r="X14" s="438"/>
      <c r="Y14" s="438"/>
      <c r="Z14" s="438"/>
      <c r="AA14" s="438"/>
      <c r="AB14" s="438"/>
      <c r="AC14" s="1817" t="s">
        <v>735</v>
      </c>
      <c r="AD14" s="1817"/>
      <c r="AE14" s="1817"/>
      <c r="AF14" s="1817"/>
      <c r="AG14" s="438"/>
      <c r="AH14" s="1818" t="e">
        <f>'평균유입유출관(각형인버트산출용)'!#REF!</f>
        <v>#REF!</v>
      </c>
      <c r="AI14" s="1818"/>
      <c r="AJ14" s="438"/>
      <c r="AK14" s="438"/>
      <c r="AL14" s="438"/>
      <c r="AM14" s="438"/>
      <c r="AN14" s="404"/>
    </row>
    <row r="15" spans="1:40" ht="24" customHeight="1">
      <c r="A15" s="403"/>
      <c r="B15" s="438"/>
      <c r="C15" s="438"/>
      <c r="D15" s="438"/>
      <c r="E15" s="438"/>
      <c r="F15" s="438"/>
      <c r="G15" s="438"/>
      <c r="H15" s="438"/>
      <c r="I15" s="1819" t="e">
        <f>(L14-L15)/2</f>
        <v>#REF!</v>
      </c>
      <c r="J15" s="1819"/>
      <c r="K15" s="1819"/>
      <c r="L15" s="1820" t="e">
        <f>(E7+W7)/2</f>
        <v>#REF!</v>
      </c>
      <c r="M15" s="1820"/>
      <c r="N15" s="1820"/>
      <c r="O15" s="1820"/>
      <c r="P15" s="486" t="e">
        <f>I15</f>
        <v>#REF!</v>
      </c>
      <c r="Q15" s="486"/>
      <c r="R15" s="486"/>
      <c r="S15" s="438"/>
      <c r="T15" s="438"/>
      <c r="U15" s="438"/>
      <c r="V15" s="438"/>
      <c r="W15" s="438"/>
      <c r="X15" s="438"/>
      <c r="Y15" s="438"/>
      <c r="Z15" s="438"/>
      <c r="AA15" s="438"/>
      <c r="AB15" s="438"/>
      <c r="AC15" s="438"/>
      <c r="AD15" s="438"/>
      <c r="AE15" s="438"/>
      <c r="AF15" s="438"/>
      <c r="AG15" s="438"/>
      <c r="AH15" s="438"/>
      <c r="AI15" s="438"/>
      <c r="AJ15" s="438"/>
      <c r="AK15" s="438"/>
      <c r="AL15" s="438"/>
      <c r="AM15" s="438"/>
      <c r="AN15" s="404"/>
    </row>
    <row r="16" spans="1:40" ht="24" customHeight="1">
      <c r="A16" s="403"/>
      <c r="B16" s="438"/>
      <c r="C16" s="438"/>
      <c r="D16" s="438"/>
      <c r="E16" s="438"/>
      <c r="F16" s="438"/>
      <c r="G16" s="438"/>
      <c r="H16" s="438"/>
      <c r="I16" s="438"/>
      <c r="J16" s="438"/>
      <c r="K16" s="438"/>
      <c r="L16" s="438"/>
      <c r="M16" s="438"/>
      <c r="N16" s="438"/>
      <c r="O16" s="438"/>
      <c r="P16" s="438"/>
      <c r="Q16" s="438"/>
      <c r="R16" s="438"/>
      <c r="S16" s="438"/>
      <c r="T16" s="410">
        <v>50</v>
      </c>
      <c r="U16" s="438"/>
      <c r="V16" s="438"/>
      <c r="W16" s="438"/>
      <c r="X16" s="438"/>
      <c r="Y16" s="438"/>
      <c r="Z16" s="438"/>
      <c r="AA16" s="438"/>
      <c r="AB16" s="438"/>
      <c r="AC16" s="438"/>
      <c r="AD16" s="438"/>
      <c r="AE16" s="438"/>
      <c r="AF16" s="438"/>
      <c r="AG16" s="438"/>
      <c r="AH16" s="438"/>
      <c r="AI16" s="438"/>
      <c r="AJ16" s="438"/>
      <c r="AK16" s="438"/>
      <c r="AL16" s="438"/>
      <c r="AM16" s="438"/>
      <c r="AN16" s="404"/>
    </row>
    <row r="17" spans="1:40" ht="33.75" customHeight="1">
      <c r="A17" s="403"/>
      <c r="B17" s="438"/>
      <c r="C17" s="438"/>
      <c r="D17" s="438"/>
      <c r="E17" s="438"/>
      <c r="F17" s="438"/>
      <c r="G17" s="438"/>
      <c r="H17" s="438"/>
      <c r="I17" s="438"/>
      <c r="J17" s="438"/>
      <c r="K17" s="438"/>
      <c r="L17" s="438"/>
      <c r="M17" s="438"/>
      <c r="N17" s="438"/>
      <c r="O17" s="438"/>
      <c r="P17" s="438"/>
      <c r="Q17" s="438"/>
      <c r="R17" s="438"/>
      <c r="S17" s="438"/>
      <c r="T17" s="1821" t="e">
        <f>L15/2</f>
        <v>#REF!</v>
      </c>
      <c r="U17" s="438"/>
      <c r="V17" s="410" t="e">
        <f>T17+T16</f>
        <v>#REF!</v>
      </c>
      <c r="W17" s="438"/>
      <c r="X17" s="438"/>
      <c r="Y17" s="438"/>
      <c r="Z17" s="438"/>
      <c r="AA17" s="438"/>
      <c r="AB17" s="438"/>
      <c r="AC17" s="438"/>
      <c r="AD17" s="438"/>
      <c r="AE17" s="438"/>
      <c r="AF17" s="438"/>
      <c r="AG17" s="438"/>
      <c r="AH17" s="438"/>
      <c r="AI17" s="438"/>
      <c r="AJ17" s="438"/>
      <c r="AK17" s="438"/>
      <c r="AL17" s="438"/>
      <c r="AM17" s="438"/>
      <c r="AN17" s="404"/>
    </row>
    <row r="18" spans="1:40" ht="24" customHeight="1">
      <c r="A18" s="403"/>
      <c r="B18" s="438"/>
      <c r="C18" s="438"/>
      <c r="D18" s="438"/>
      <c r="E18" s="438"/>
      <c r="F18" s="438"/>
      <c r="G18" s="438"/>
      <c r="H18" s="438"/>
      <c r="I18" s="438"/>
      <c r="J18" s="438"/>
      <c r="K18" s="438"/>
      <c r="L18" s="438"/>
      <c r="M18" s="438"/>
      <c r="N18" s="438"/>
      <c r="O18" s="438"/>
      <c r="P18" s="438"/>
      <c r="Q18" s="438"/>
      <c r="R18" s="438"/>
      <c r="S18" s="438"/>
      <c r="T18" s="1821"/>
      <c r="U18" s="438"/>
      <c r="V18" s="438"/>
      <c r="W18" s="438"/>
      <c r="X18" s="438"/>
      <c r="Y18" s="438"/>
      <c r="Z18" s="438"/>
      <c r="AA18" s="438"/>
      <c r="AB18" s="438"/>
      <c r="AC18" s="438"/>
      <c r="AD18" s="438"/>
      <c r="AE18" s="438"/>
      <c r="AF18" s="438"/>
      <c r="AG18" s="438"/>
      <c r="AH18" s="438"/>
      <c r="AI18" s="438"/>
      <c r="AJ18" s="438"/>
      <c r="AK18" s="438"/>
      <c r="AL18" s="438"/>
      <c r="AM18" s="438"/>
      <c r="AN18" s="404"/>
    </row>
    <row r="19" spans="1:40" ht="24" customHeight="1">
      <c r="A19" s="403"/>
      <c r="B19" s="438"/>
      <c r="C19" s="438"/>
      <c r="D19" s="438"/>
      <c r="E19" s="438"/>
      <c r="F19" s="438"/>
      <c r="G19" s="438"/>
      <c r="H19" s="438"/>
      <c r="I19" s="438"/>
      <c r="J19" s="438"/>
      <c r="K19" s="438"/>
      <c r="L19" s="485">
        <f>C7</f>
        <v>1200</v>
      </c>
      <c r="M19" s="411"/>
      <c r="N19" s="485"/>
      <c r="O19" s="411"/>
      <c r="P19" s="438"/>
      <c r="Q19" s="438"/>
      <c r="R19" s="438"/>
      <c r="S19" s="438"/>
      <c r="T19" s="438"/>
      <c r="U19" s="438"/>
      <c r="V19" s="438"/>
      <c r="W19" s="438"/>
      <c r="X19" s="438"/>
      <c r="Y19" s="438"/>
      <c r="Z19" s="438"/>
      <c r="AA19" s="438"/>
      <c r="AB19" s="438"/>
      <c r="AC19" s="438"/>
      <c r="AD19" s="438"/>
      <c r="AE19" s="438"/>
      <c r="AF19" s="438"/>
      <c r="AG19" s="438"/>
      <c r="AH19" s="438"/>
      <c r="AI19" s="438"/>
      <c r="AJ19" s="438"/>
      <c r="AK19" s="438"/>
      <c r="AL19" s="438"/>
      <c r="AM19" s="438"/>
      <c r="AN19" s="404"/>
    </row>
    <row r="20" spans="1:40" ht="21" customHeight="1">
      <c r="A20" s="403"/>
      <c r="AN20" s="404"/>
    </row>
    <row r="21" spans="1:40" ht="21" customHeight="1">
      <c r="A21" s="403"/>
      <c r="AN21" s="404"/>
    </row>
    <row r="22" spans="1:40" ht="35.1" customHeight="1">
      <c r="A22" s="412" t="s">
        <v>616</v>
      </c>
      <c r="B22" s="413"/>
      <c r="C22" s="413"/>
      <c r="D22" s="413"/>
      <c r="E22" s="413"/>
      <c r="F22" s="414"/>
      <c r="G22" s="413" t="s">
        <v>617</v>
      </c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  <c r="AA22" s="413"/>
      <c r="AB22" s="413"/>
      <c r="AC22" s="413"/>
      <c r="AD22" s="413"/>
      <c r="AE22" s="413"/>
      <c r="AF22" s="413"/>
      <c r="AG22" s="413"/>
      <c r="AH22" s="413"/>
      <c r="AI22" s="413"/>
      <c r="AJ22" s="415" t="s">
        <v>100</v>
      </c>
      <c r="AK22" s="413"/>
      <c r="AL22" s="413"/>
      <c r="AM22" s="413"/>
      <c r="AN22" s="416"/>
    </row>
    <row r="23" spans="1:40" ht="35.1" customHeight="1">
      <c r="A23" s="417" t="s">
        <v>618</v>
      </c>
      <c r="B23" s="405"/>
      <c r="C23" s="405"/>
      <c r="D23" s="405"/>
      <c r="E23" s="405"/>
      <c r="F23" s="405"/>
      <c r="G23" s="418"/>
      <c r="H23" s="438" t="e">
        <f>CONCATENATE("( ",C7/1000," )² × ",T17/1000," - ( ",L15/1000," )² × π/8 × ",C7/1000)</f>
        <v>#REF!</v>
      </c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  <c r="V23" s="438"/>
      <c r="W23" s="438"/>
      <c r="X23" s="438"/>
      <c r="Y23" s="438"/>
      <c r="Z23" s="438"/>
      <c r="AA23" s="438"/>
      <c r="AB23" s="438"/>
      <c r="AC23" s="438"/>
      <c r="AD23" s="406"/>
      <c r="AE23" s="406" t="s">
        <v>17</v>
      </c>
      <c r="AF23" s="405" t="e">
        <f>ROUND((C7/1000)^2*T17/1000-(L15/1000)^2*PI()/8*C7/1000,3)</f>
        <v>#REF!</v>
      </c>
      <c r="AG23" s="405"/>
      <c r="AH23" s="405"/>
      <c r="AI23" s="419"/>
      <c r="AJ23" s="438"/>
      <c r="AK23" s="438"/>
      <c r="AL23" s="438"/>
      <c r="AN23" s="404"/>
    </row>
    <row r="24" spans="1:40" ht="35.1" customHeight="1">
      <c r="A24" s="417" t="s">
        <v>469</v>
      </c>
      <c r="B24" s="405"/>
      <c r="C24" s="405"/>
      <c r="D24" s="405"/>
      <c r="E24" s="405"/>
      <c r="F24" s="405"/>
      <c r="G24" s="418"/>
      <c r="H24" s="438" t="e">
        <f>CONCATENATE((L15+P15)/1000," × π × ",P15/1000," × ",T16/1000," × ½")</f>
        <v>#REF!</v>
      </c>
      <c r="I24" s="438"/>
      <c r="J24" s="438"/>
      <c r="K24" s="438"/>
      <c r="L24" s="438"/>
      <c r="M24" s="438"/>
      <c r="N24" s="438"/>
      <c r="O24" s="438"/>
      <c r="P24" s="438"/>
      <c r="Q24" s="438"/>
      <c r="R24" s="438"/>
      <c r="S24" s="438"/>
      <c r="T24" s="438"/>
      <c r="U24" s="438"/>
      <c r="V24" s="438"/>
      <c r="W24" s="438"/>
      <c r="X24" s="438"/>
      <c r="Y24" s="438"/>
      <c r="Z24" s="438"/>
      <c r="AA24" s="438"/>
      <c r="AB24" s="438"/>
      <c r="AC24" s="438"/>
      <c r="AD24" s="406"/>
      <c r="AE24" s="406" t="s">
        <v>17</v>
      </c>
      <c r="AF24" s="487" t="e">
        <f>ROUND((L15+P15)/1000*P15/1000*PI()*T16/1000/2,3)</f>
        <v>#REF!</v>
      </c>
      <c r="AG24" s="405"/>
      <c r="AH24" s="405"/>
      <c r="AI24" s="419"/>
      <c r="AJ24" s="438"/>
      <c r="AK24" s="438"/>
      <c r="AL24" s="438"/>
      <c r="AN24" s="404"/>
    </row>
    <row r="25" spans="1:40" ht="35.1" customHeight="1">
      <c r="A25" s="403"/>
      <c r="B25" s="438"/>
      <c r="C25" s="438"/>
      <c r="D25" s="438"/>
      <c r="E25" s="438"/>
      <c r="F25" s="438"/>
      <c r="G25" s="418"/>
      <c r="H25" s="438"/>
      <c r="I25" s="438"/>
      <c r="J25" s="438"/>
      <c r="K25" s="438"/>
      <c r="L25" s="438"/>
      <c r="M25" s="438"/>
      <c r="N25" s="438"/>
      <c r="O25" s="438"/>
      <c r="P25" s="438"/>
      <c r="Q25" s="438"/>
      <c r="R25" s="438"/>
      <c r="S25" s="438"/>
      <c r="T25" s="438"/>
      <c r="U25" s="438"/>
      <c r="V25" s="438"/>
      <c r="W25" s="438"/>
      <c r="X25" s="438"/>
      <c r="Y25" s="438"/>
      <c r="Z25" s="438"/>
      <c r="AA25" s="438"/>
      <c r="AB25" s="438"/>
      <c r="AC25" s="438"/>
      <c r="AD25" s="438"/>
      <c r="AE25" s="438"/>
      <c r="AF25" s="438"/>
      <c r="AG25" s="438"/>
      <c r="AH25" s="438"/>
      <c r="AI25" s="419"/>
      <c r="AJ25" s="438"/>
      <c r="AK25" s="438"/>
      <c r="AL25" s="438"/>
      <c r="AN25" s="404"/>
    </row>
    <row r="26" spans="1:40" ht="35.1" customHeight="1">
      <c r="A26" s="403"/>
      <c r="B26" s="438"/>
      <c r="C26" s="438"/>
      <c r="D26" s="438"/>
      <c r="E26" s="438"/>
      <c r="F26" s="438"/>
      <c r="G26" s="418"/>
      <c r="H26" s="438"/>
      <c r="I26" s="438"/>
      <c r="J26" s="438"/>
      <c r="K26" s="438"/>
      <c r="L26" s="438"/>
      <c r="M26" s="438"/>
      <c r="N26" s="438"/>
      <c r="O26" s="438"/>
      <c r="P26" s="438"/>
      <c r="Q26" s="438"/>
      <c r="R26" s="438"/>
      <c r="S26" s="438"/>
      <c r="T26" s="438"/>
      <c r="U26" s="438"/>
      <c r="V26" s="438"/>
      <c r="W26" s="438"/>
      <c r="X26" s="438"/>
      <c r="Y26" s="438"/>
      <c r="Z26" s="438"/>
      <c r="AA26" s="438"/>
      <c r="AB26" s="438"/>
      <c r="AC26" s="438"/>
      <c r="AD26" s="438"/>
      <c r="AE26" s="438"/>
      <c r="AF26" s="438"/>
      <c r="AG26" s="438"/>
      <c r="AH26" s="438"/>
      <c r="AI26" s="419"/>
      <c r="AJ26" s="1808" t="e">
        <f>AF23+AF24</f>
        <v>#REF!</v>
      </c>
      <c r="AK26" s="1809"/>
      <c r="AL26" s="1809"/>
      <c r="AM26" s="1810" t="s">
        <v>626</v>
      </c>
      <c r="AN26" s="1811"/>
    </row>
    <row r="27" spans="1:40" ht="35.1" customHeight="1">
      <c r="A27" s="420" t="s">
        <v>619</v>
      </c>
      <c r="B27" s="421"/>
      <c r="C27" s="421"/>
      <c r="D27" s="421"/>
      <c r="E27" s="421"/>
      <c r="F27" s="421"/>
      <c r="G27" s="422"/>
      <c r="H27" s="423" t="e">
        <f>CONCATENATE("( ",L15/1000," × π × ½ × ",C7/1000," + ",(L15+P15)/1000," × π × ",P15/1000," ) × 0.02")</f>
        <v>#REF!</v>
      </c>
      <c r="I27" s="423"/>
      <c r="J27" s="423"/>
      <c r="K27" s="423"/>
      <c r="L27" s="423"/>
      <c r="M27" s="423"/>
      <c r="N27" s="423"/>
      <c r="O27" s="423"/>
      <c r="P27" s="423"/>
      <c r="Q27" s="423"/>
      <c r="R27" s="423"/>
      <c r="S27" s="423"/>
      <c r="T27" s="423"/>
      <c r="U27" s="423"/>
      <c r="V27" s="423"/>
      <c r="W27" s="423"/>
      <c r="X27" s="423"/>
      <c r="Y27" s="423"/>
      <c r="Z27" s="423"/>
      <c r="AA27" s="423"/>
      <c r="AB27" s="423"/>
      <c r="AC27" s="423"/>
      <c r="AD27" s="424"/>
      <c r="AE27" s="424" t="s">
        <v>17</v>
      </c>
      <c r="AF27" s="421" t="e">
        <f>ROUND((L15/1000*PI()/2*C7/1000+(L15+P15)/1000*PI()*P15/1000)*0.02,3)</f>
        <v>#REF!</v>
      </c>
      <c r="AG27" s="421"/>
      <c r="AH27" s="421"/>
      <c r="AI27" s="425"/>
      <c r="AJ27" s="423"/>
      <c r="AK27" s="423"/>
      <c r="AL27" s="423"/>
      <c r="AM27" s="426"/>
      <c r="AN27" s="427"/>
    </row>
    <row r="28" spans="1:40" ht="35.1" customHeight="1">
      <c r="A28" s="417" t="s">
        <v>620</v>
      </c>
      <c r="B28" s="405"/>
      <c r="C28" s="405"/>
      <c r="D28" s="405"/>
      <c r="E28" s="405"/>
      <c r="F28" s="405"/>
      <c r="G28" s="418"/>
      <c r="H28" s="438"/>
      <c r="I28" s="438"/>
      <c r="J28" s="438"/>
      <c r="K28" s="438"/>
      <c r="L28" s="438"/>
      <c r="M28" s="438"/>
      <c r="N28" s="438"/>
      <c r="O28" s="438"/>
      <c r="P28" s="438"/>
      <c r="Q28" s="438"/>
      <c r="R28" s="438"/>
      <c r="S28" s="438"/>
      <c r="T28" s="438"/>
      <c r="U28" s="438"/>
      <c r="V28" s="438"/>
      <c r="W28" s="438"/>
      <c r="X28" s="438"/>
      <c r="Y28" s="438"/>
      <c r="Z28" s="438"/>
      <c r="AA28" s="438"/>
      <c r="AB28" s="438"/>
      <c r="AC28" s="438"/>
      <c r="AD28" s="438"/>
      <c r="AE28" s="438"/>
      <c r="AF28" s="438"/>
      <c r="AG28" s="438"/>
      <c r="AH28" s="438"/>
      <c r="AI28" s="419"/>
      <c r="AJ28" s="438"/>
      <c r="AK28" s="438"/>
      <c r="AL28" s="438"/>
      <c r="AM28" s="428"/>
      <c r="AN28" s="429"/>
    </row>
    <row r="29" spans="1:40" ht="35.1" customHeight="1">
      <c r="A29" s="430"/>
      <c r="B29" s="401"/>
      <c r="C29" s="401"/>
      <c r="D29" s="401"/>
      <c r="E29" s="401"/>
      <c r="F29" s="401"/>
      <c r="G29" s="431"/>
      <c r="H29" s="401"/>
      <c r="I29" s="401"/>
      <c r="J29" s="401"/>
      <c r="K29" s="401"/>
      <c r="L29" s="401"/>
      <c r="M29" s="401"/>
      <c r="N29" s="401"/>
      <c r="O29" s="401"/>
      <c r="P29" s="401"/>
      <c r="Q29" s="401"/>
      <c r="R29" s="401"/>
      <c r="S29" s="401"/>
      <c r="T29" s="401"/>
      <c r="U29" s="401"/>
      <c r="V29" s="401"/>
      <c r="W29" s="401"/>
      <c r="X29" s="401"/>
      <c r="Y29" s="401"/>
      <c r="Z29" s="401"/>
      <c r="AA29" s="401"/>
      <c r="AB29" s="401"/>
      <c r="AC29" s="401"/>
      <c r="AD29" s="401"/>
      <c r="AE29" s="401"/>
      <c r="AF29" s="401"/>
      <c r="AG29" s="401"/>
      <c r="AH29" s="401"/>
      <c r="AI29" s="432"/>
      <c r="AJ29" s="1812" t="e">
        <f>AF27</f>
        <v>#REF!</v>
      </c>
      <c r="AK29" s="1813"/>
      <c r="AL29" s="1813"/>
      <c r="AM29" s="1814" t="s">
        <v>626</v>
      </c>
      <c r="AN29" s="1815"/>
    </row>
  </sheetData>
  <mergeCells count="22">
    <mergeCell ref="A1:AN1"/>
    <mergeCell ref="C7:C8"/>
    <mergeCell ref="E7:E8"/>
    <mergeCell ref="W7:W8"/>
    <mergeCell ref="Y7:Y8"/>
    <mergeCell ref="AH11:AI11"/>
    <mergeCell ref="AC12:AF12"/>
    <mergeCell ref="AH12:AI12"/>
    <mergeCell ref="AC13:AF13"/>
    <mergeCell ref="AH13:AI13"/>
    <mergeCell ref="I15:K15"/>
    <mergeCell ref="L15:O15"/>
    <mergeCell ref="T17:T18"/>
    <mergeCell ref="Y11:AB11"/>
    <mergeCell ref="AC11:AF11"/>
    <mergeCell ref="AJ26:AL26"/>
    <mergeCell ref="AM26:AN26"/>
    <mergeCell ref="AJ29:AL29"/>
    <mergeCell ref="AM29:AN29"/>
    <mergeCell ref="L14:P14"/>
    <mergeCell ref="AC14:AF14"/>
    <mergeCell ref="AH14:AI14"/>
  </mergeCells>
  <phoneticPr fontId="13" type="noConversion"/>
  <printOptions horizontalCentered="1" verticalCentered="1"/>
  <pageMargins left="0.34" right="0.36" top="0.59055118110236227" bottom="0.78740157480314965" header="0.51181102362204722" footer="0.51181102362204722"/>
  <pageSetup paperSize="9" scale="90" orientation="portrait" blackAndWhite="1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>
    <tabColor rgb="FFFFC000"/>
  </sheetPr>
  <dimension ref="A1:AN29"/>
  <sheetViews>
    <sheetView workbookViewId="0">
      <selection sqref="A1:AN1"/>
    </sheetView>
  </sheetViews>
  <sheetFormatPr defaultColWidth="6.21875" defaultRowHeight="12"/>
  <cols>
    <col min="1" max="1" width="3.21875" style="508" customWidth="1"/>
    <col min="2" max="8" width="1.88671875" style="508" customWidth="1"/>
    <col min="9" max="9" width="2.109375" style="508" customWidth="1"/>
    <col min="10" max="33" width="1.88671875" style="508" customWidth="1"/>
    <col min="34" max="34" width="3.33203125" style="508" customWidth="1"/>
    <col min="35" max="40" width="1.88671875" style="508" customWidth="1"/>
    <col min="41" max="16384" width="6.21875" style="508"/>
  </cols>
  <sheetData>
    <row r="1" spans="1:40" s="398" customFormat="1" ht="24.95" customHeight="1">
      <c r="A1" s="1823" t="s">
        <v>800</v>
      </c>
      <c r="B1" s="1823"/>
      <c r="C1" s="1823"/>
      <c r="D1" s="1823"/>
      <c r="E1" s="1823"/>
      <c r="F1" s="1823"/>
      <c r="G1" s="1823"/>
      <c r="H1" s="1823"/>
      <c r="I1" s="1823"/>
      <c r="J1" s="1823"/>
      <c r="K1" s="1823"/>
      <c r="L1" s="1823"/>
      <c r="M1" s="1823"/>
      <c r="N1" s="1823"/>
      <c r="O1" s="1823"/>
      <c r="P1" s="1823"/>
      <c r="Q1" s="1823"/>
      <c r="R1" s="1823"/>
      <c r="S1" s="1823"/>
      <c r="T1" s="1823"/>
      <c r="U1" s="1823"/>
      <c r="V1" s="1823"/>
      <c r="W1" s="1823"/>
      <c r="X1" s="1823"/>
      <c r="Y1" s="1823"/>
      <c r="Z1" s="1823"/>
      <c r="AA1" s="1823"/>
      <c r="AB1" s="1823"/>
      <c r="AC1" s="1823"/>
      <c r="AD1" s="1823"/>
      <c r="AE1" s="1823"/>
      <c r="AF1" s="1823"/>
      <c r="AG1" s="1823"/>
      <c r="AH1" s="1823"/>
      <c r="AI1" s="1823"/>
      <c r="AJ1" s="1823"/>
      <c r="AK1" s="1823"/>
      <c r="AL1" s="1823"/>
      <c r="AM1" s="1823"/>
      <c r="AN1" s="1823"/>
    </row>
    <row r="2" spans="1:40" ht="24.95" customHeight="1">
      <c r="A2" s="399"/>
      <c r="B2" s="400"/>
      <c r="C2" s="399"/>
      <c r="D2" s="399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  <c r="Z2" s="401"/>
      <c r="AA2" s="401"/>
      <c r="AB2" s="401"/>
      <c r="AC2" s="401"/>
      <c r="AD2" s="401"/>
      <c r="AE2" s="401"/>
      <c r="AF2" s="401"/>
      <c r="AG2" s="401"/>
      <c r="AH2" s="401"/>
      <c r="AI2" s="401"/>
      <c r="AJ2" s="399" t="s">
        <v>609</v>
      </c>
      <c r="AK2" s="399"/>
      <c r="AL2" s="399"/>
      <c r="AM2" s="399"/>
      <c r="AN2" s="401"/>
    </row>
    <row r="3" spans="1:40" ht="24" customHeight="1">
      <c r="A3" s="403"/>
      <c r="AN3" s="404"/>
    </row>
    <row r="4" spans="1:40" ht="24" customHeight="1">
      <c r="A4" s="403"/>
      <c r="L4" s="405" t="s">
        <v>610</v>
      </c>
      <c r="M4" s="405"/>
      <c r="N4" s="405"/>
      <c r="O4" s="405"/>
      <c r="P4" s="405"/>
      <c r="AN4" s="404"/>
    </row>
    <row r="5" spans="1:40" ht="24" customHeight="1">
      <c r="A5" s="403"/>
      <c r="L5" s="406" t="s">
        <v>611</v>
      </c>
      <c r="Q5" s="508" t="s">
        <v>608</v>
      </c>
      <c r="AN5" s="404"/>
    </row>
    <row r="6" spans="1:40" ht="32.25" customHeight="1">
      <c r="A6" s="403"/>
      <c r="C6" s="407"/>
      <c r="D6" s="407"/>
      <c r="E6" s="480" t="e">
        <f>ROUND((C7-E7)/2,1)</f>
        <v>#REF!</v>
      </c>
      <c r="H6" s="408" t="s">
        <v>608</v>
      </c>
      <c r="T6" s="408"/>
      <c r="W6" s="480" t="e">
        <f>ROUND((Y7-W7)/2,1)</f>
        <v>#REF!</v>
      </c>
      <c r="AC6" s="405" t="s">
        <v>612</v>
      </c>
      <c r="AD6" s="405"/>
      <c r="AE6" s="405"/>
      <c r="AF6" s="405"/>
      <c r="AG6" s="405"/>
      <c r="AN6" s="404"/>
    </row>
    <row r="7" spans="1:40" ht="24" customHeight="1">
      <c r="A7" s="403"/>
      <c r="C7" s="1824">
        <v>1200</v>
      </c>
      <c r="D7" s="481"/>
      <c r="E7" s="1825" t="e">
        <f>AH11+AH12*2</f>
        <v>#REF!</v>
      </c>
      <c r="H7" s="409" t="s">
        <v>613</v>
      </c>
      <c r="I7" s="482"/>
      <c r="T7" s="409" t="s">
        <v>613</v>
      </c>
      <c r="W7" s="1825" t="e">
        <f>AH13+AH14*2</f>
        <v>#REF!</v>
      </c>
      <c r="Y7" s="1824">
        <f>C7</f>
        <v>1200</v>
      </c>
      <c r="AJ7" s="410">
        <f>T16</f>
        <v>50</v>
      </c>
      <c r="AN7" s="404"/>
    </row>
    <row r="8" spans="1:40" ht="24" customHeight="1">
      <c r="A8" s="403"/>
      <c r="C8" s="1824"/>
      <c r="D8" s="481"/>
      <c r="E8" s="1825"/>
      <c r="G8" s="482"/>
      <c r="I8" s="482"/>
      <c r="W8" s="1825"/>
      <c r="Y8" s="1824"/>
      <c r="AJ8" s="410" t="e">
        <f>T17-AJ9</f>
        <v>#REF!</v>
      </c>
      <c r="AL8" s="410" t="e">
        <f>V17</f>
        <v>#REF!</v>
      </c>
      <c r="AN8" s="404"/>
    </row>
    <row r="9" spans="1:40" ht="37.5" customHeight="1">
      <c r="A9" s="403"/>
      <c r="E9" s="483" t="e">
        <f>ROUND((C7-E7)/2,1)</f>
        <v>#REF!</v>
      </c>
      <c r="I9" s="482"/>
      <c r="J9" s="508" t="s">
        <v>608</v>
      </c>
      <c r="W9" s="484" t="e">
        <f>ROUND((Y7-W7)/2,1)</f>
        <v>#REF!</v>
      </c>
      <c r="AJ9" s="410" t="e">
        <f>(AH12+AH14)/2</f>
        <v>#REF!</v>
      </c>
      <c r="AN9" s="404"/>
    </row>
    <row r="10" spans="1:40" ht="24" customHeight="1">
      <c r="A10" s="403"/>
      <c r="L10" s="406" t="s">
        <v>611</v>
      </c>
      <c r="AD10" s="485">
        <f>C7</f>
        <v>1200</v>
      </c>
      <c r="AE10" s="485"/>
      <c r="AF10" s="485"/>
      <c r="AN10" s="404"/>
    </row>
    <row r="11" spans="1:40" ht="24" customHeight="1">
      <c r="A11" s="403"/>
      <c r="Y11" s="1817" t="s">
        <v>614</v>
      </c>
      <c r="Z11" s="1817"/>
      <c r="AA11" s="1817"/>
      <c r="AB11" s="1817"/>
      <c r="AC11" s="1817" t="s">
        <v>732</v>
      </c>
      <c r="AD11" s="1817"/>
      <c r="AE11" s="1817"/>
      <c r="AF11" s="1817"/>
      <c r="AH11" s="1822" t="e">
        <f>'평균유입유출관(각형인버트산출용)'!#REF!</f>
        <v>#REF!</v>
      </c>
      <c r="AI11" s="1818"/>
      <c r="AN11" s="404"/>
    </row>
    <row r="12" spans="1:40" ht="24" customHeight="1">
      <c r="A12" s="403"/>
      <c r="AC12" s="1817" t="s">
        <v>734</v>
      </c>
      <c r="AD12" s="1817"/>
      <c r="AE12" s="1817"/>
      <c r="AF12" s="1817"/>
      <c r="AH12" s="1818" t="e">
        <f>'평균유입유출관(각형인버트산출용)'!#REF!</f>
        <v>#REF!</v>
      </c>
      <c r="AI12" s="1818"/>
      <c r="AN12" s="404"/>
    </row>
    <row r="13" spans="1:40" ht="24" customHeight="1">
      <c r="A13" s="403"/>
      <c r="L13" s="405" t="s">
        <v>615</v>
      </c>
      <c r="M13" s="405"/>
      <c r="N13" s="405"/>
      <c r="O13" s="405"/>
      <c r="AC13" s="1817" t="s">
        <v>733</v>
      </c>
      <c r="AD13" s="1817"/>
      <c r="AE13" s="1817"/>
      <c r="AF13" s="1817"/>
      <c r="AH13" s="1822" t="e">
        <f>'평균유입유출관(각형인버트산출용)'!#REF!</f>
        <v>#REF!</v>
      </c>
      <c r="AI13" s="1818"/>
      <c r="AN13" s="404"/>
    </row>
    <row r="14" spans="1:40" ht="24" customHeight="1">
      <c r="A14" s="403"/>
      <c r="L14" s="1816">
        <v>1400</v>
      </c>
      <c r="M14" s="1816"/>
      <c r="N14" s="1816"/>
      <c r="O14" s="1816"/>
      <c r="P14" s="1816"/>
      <c r="AC14" s="1817" t="s">
        <v>735</v>
      </c>
      <c r="AD14" s="1817"/>
      <c r="AE14" s="1817"/>
      <c r="AF14" s="1817"/>
      <c r="AH14" s="1818" t="e">
        <f>'평균유입유출관(각형인버트산출용)'!#REF!</f>
        <v>#REF!</v>
      </c>
      <c r="AI14" s="1818"/>
      <c r="AN14" s="404"/>
    </row>
    <row r="15" spans="1:40" ht="24" customHeight="1">
      <c r="A15" s="403"/>
      <c r="I15" s="1819" t="e">
        <f>(L14-L15)/2</f>
        <v>#REF!</v>
      </c>
      <c r="J15" s="1819"/>
      <c r="K15" s="1819"/>
      <c r="L15" s="1820" t="e">
        <f>(E7+W7)/2</f>
        <v>#REF!</v>
      </c>
      <c r="M15" s="1820"/>
      <c r="N15" s="1820"/>
      <c r="O15" s="1820"/>
      <c r="P15" s="486" t="e">
        <f>I15</f>
        <v>#REF!</v>
      </c>
      <c r="Q15" s="486"/>
      <c r="R15" s="486"/>
      <c r="AN15" s="404"/>
    </row>
    <row r="16" spans="1:40" ht="24" customHeight="1">
      <c r="A16" s="403"/>
      <c r="T16" s="410">
        <v>50</v>
      </c>
      <c r="AN16" s="404"/>
    </row>
    <row r="17" spans="1:40" ht="33.75" customHeight="1">
      <c r="A17" s="403"/>
      <c r="T17" s="1821" t="e">
        <f>L15/2</f>
        <v>#REF!</v>
      </c>
      <c r="V17" s="410" t="e">
        <f>T17+T16</f>
        <v>#REF!</v>
      </c>
      <c r="AN17" s="404"/>
    </row>
    <row r="18" spans="1:40" ht="24" customHeight="1">
      <c r="A18" s="403"/>
      <c r="T18" s="1821"/>
      <c r="AN18" s="404"/>
    </row>
    <row r="19" spans="1:40" ht="24" customHeight="1">
      <c r="A19" s="403"/>
      <c r="L19" s="485">
        <f>L14</f>
        <v>1400</v>
      </c>
      <c r="M19" s="411"/>
      <c r="N19" s="485"/>
      <c r="O19" s="411"/>
      <c r="AN19" s="404"/>
    </row>
    <row r="20" spans="1:40" ht="21" customHeight="1">
      <c r="A20" s="403"/>
      <c r="AN20" s="404"/>
    </row>
    <row r="21" spans="1:40" ht="21" customHeight="1">
      <c r="A21" s="403"/>
      <c r="AN21" s="404"/>
    </row>
    <row r="22" spans="1:40" ht="35.1" customHeight="1">
      <c r="A22" s="412" t="s">
        <v>616</v>
      </c>
      <c r="B22" s="413"/>
      <c r="C22" s="413"/>
      <c r="D22" s="413"/>
      <c r="E22" s="413"/>
      <c r="F22" s="414"/>
      <c r="G22" s="413" t="s">
        <v>617</v>
      </c>
      <c r="H22" s="413"/>
      <c r="I22" s="413"/>
      <c r="J22" s="413"/>
      <c r="K22" s="413"/>
      <c r="L22" s="413"/>
      <c r="M22" s="413"/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  <c r="AA22" s="413"/>
      <c r="AB22" s="413"/>
      <c r="AC22" s="413"/>
      <c r="AD22" s="413"/>
      <c r="AE22" s="413"/>
      <c r="AF22" s="413"/>
      <c r="AG22" s="413"/>
      <c r="AH22" s="413"/>
      <c r="AI22" s="413"/>
      <c r="AJ22" s="415" t="s">
        <v>100</v>
      </c>
      <c r="AK22" s="413"/>
      <c r="AL22" s="413"/>
      <c r="AM22" s="413"/>
      <c r="AN22" s="416"/>
    </row>
    <row r="23" spans="1:40" ht="35.1" customHeight="1">
      <c r="A23" s="417" t="s">
        <v>618</v>
      </c>
      <c r="B23" s="405"/>
      <c r="C23" s="405"/>
      <c r="D23" s="405"/>
      <c r="E23" s="405"/>
      <c r="F23" s="405"/>
      <c r="G23" s="418"/>
      <c r="H23" s="508" t="e">
        <f>CONCATENATE("( ",C7/1000," )² × ",T17/1000," - ( ",L15/1000," )² × π/8 × ",C7/1000)</f>
        <v>#REF!</v>
      </c>
      <c r="AD23" s="406"/>
      <c r="AE23" s="406" t="s">
        <v>17</v>
      </c>
      <c r="AF23" s="405" t="e">
        <f>ROUND((C7/1000)^2*T17/1000-(L15/1000)^2*PI()/8*C7/1000,3)</f>
        <v>#REF!</v>
      </c>
      <c r="AG23" s="405"/>
      <c r="AH23" s="405"/>
      <c r="AI23" s="419"/>
      <c r="AN23" s="404"/>
    </row>
    <row r="24" spans="1:40" ht="35.1" customHeight="1">
      <c r="A24" s="417" t="s">
        <v>469</v>
      </c>
      <c r="B24" s="405"/>
      <c r="C24" s="405"/>
      <c r="D24" s="405"/>
      <c r="E24" s="405"/>
      <c r="F24" s="405"/>
      <c r="G24" s="418"/>
      <c r="H24" s="508" t="e">
        <f>CONCATENATE((L15+P15)/1000," × π × ",P15/1000," × ",T16/1000," × ½")</f>
        <v>#REF!</v>
      </c>
      <c r="AD24" s="406"/>
      <c r="AE24" s="406" t="s">
        <v>17</v>
      </c>
      <c r="AF24" s="487" t="e">
        <f>ROUND((L15+P15)/1000*P15/1000*PI()*T16/1000/2,3)</f>
        <v>#REF!</v>
      </c>
      <c r="AG24" s="405"/>
      <c r="AH24" s="405"/>
      <c r="AI24" s="419"/>
      <c r="AN24" s="404"/>
    </row>
    <row r="25" spans="1:40" ht="35.1" customHeight="1">
      <c r="A25" s="403"/>
      <c r="G25" s="418"/>
      <c r="AI25" s="419"/>
      <c r="AN25" s="404"/>
    </row>
    <row r="26" spans="1:40" ht="35.1" customHeight="1">
      <c r="A26" s="403"/>
      <c r="G26" s="418"/>
      <c r="AI26" s="419"/>
      <c r="AJ26" s="1808" t="e">
        <f>AF23+AF24</f>
        <v>#REF!</v>
      </c>
      <c r="AK26" s="1809"/>
      <c r="AL26" s="1809"/>
      <c r="AM26" s="1810" t="s">
        <v>626</v>
      </c>
      <c r="AN26" s="1811"/>
    </row>
    <row r="27" spans="1:40" ht="35.1" customHeight="1">
      <c r="A27" s="420" t="s">
        <v>619</v>
      </c>
      <c r="B27" s="421"/>
      <c r="C27" s="421"/>
      <c r="D27" s="421"/>
      <c r="E27" s="421"/>
      <c r="F27" s="421"/>
      <c r="G27" s="422"/>
      <c r="H27" s="423" t="e">
        <f>CONCATENATE("( ",L15/1000," × π × ½ × ",C7/1000," + ",(L15+P15)/1000," × π × ",P15/1000," ) × 0.02")</f>
        <v>#REF!</v>
      </c>
      <c r="I27" s="423"/>
      <c r="J27" s="423"/>
      <c r="K27" s="423"/>
      <c r="L27" s="423"/>
      <c r="M27" s="423"/>
      <c r="N27" s="423"/>
      <c r="O27" s="423"/>
      <c r="P27" s="423"/>
      <c r="Q27" s="423"/>
      <c r="R27" s="423"/>
      <c r="S27" s="423"/>
      <c r="T27" s="423"/>
      <c r="U27" s="423"/>
      <c r="V27" s="423"/>
      <c r="W27" s="423"/>
      <c r="X27" s="423"/>
      <c r="Y27" s="423"/>
      <c r="Z27" s="423"/>
      <c r="AA27" s="423"/>
      <c r="AB27" s="423"/>
      <c r="AC27" s="423"/>
      <c r="AD27" s="424"/>
      <c r="AE27" s="424" t="s">
        <v>17</v>
      </c>
      <c r="AF27" s="421" t="e">
        <f>ROUND((L15/1000*PI()/2*C7/1000+(L15+P15)/1000*PI()*P15/1000)*0.02,3)</f>
        <v>#REF!</v>
      </c>
      <c r="AG27" s="421"/>
      <c r="AH27" s="421"/>
      <c r="AI27" s="425"/>
      <c r="AJ27" s="423"/>
      <c r="AK27" s="423"/>
      <c r="AL27" s="423"/>
      <c r="AM27" s="426"/>
      <c r="AN27" s="427"/>
    </row>
    <row r="28" spans="1:40" ht="35.1" customHeight="1">
      <c r="A28" s="417" t="s">
        <v>620</v>
      </c>
      <c r="B28" s="405"/>
      <c r="C28" s="405"/>
      <c r="D28" s="405"/>
      <c r="E28" s="405"/>
      <c r="F28" s="405"/>
      <c r="G28" s="418"/>
      <c r="AI28" s="419"/>
      <c r="AM28" s="428"/>
      <c r="AN28" s="429"/>
    </row>
    <row r="29" spans="1:40" ht="35.1" customHeight="1">
      <c r="A29" s="430"/>
      <c r="B29" s="401"/>
      <c r="C29" s="401"/>
      <c r="D29" s="401"/>
      <c r="E29" s="401"/>
      <c r="F29" s="401"/>
      <c r="G29" s="431"/>
      <c r="H29" s="401"/>
      <c r="I29" s="401"/>
      <c r="J29" s="401"/>
      <c r="K29" s="401"/>
      <c r="L29" s="401"/>
      <c r="M29" s="401"/>
      <c r="N29" s="401"/>
      <c r="O29" s="401"/>
      <c r="P29" s="401"/>
      <c r="Q29" s="401"/>
      <c r="R29" s="401"/>
      <c r="S29" s="401"/>
      <c r="T29" s="401"/>
      <c r="U29" s="401"/>
      <c r="V29" s="401"/>
      <c r="W29" s="401"/>
      <c r="X29" s="401"/>
      <c r="Y29" s="401"/>
      <c r="Z29" s="401"/>
      <c r="AA29" s="401"/>
      <c r="AB29" s="401"/>
      <c r="AC29" s="401"/>
      <c r="AD29" s="401"/>
      <c r="AE29" s="401"/>
      <c r="AF29" s="401"/>
      <c r="AG29" s="401"/>
      <c r="AH29" s="401"/>
      <c r="AI29" s="432"/>
      <c r="AJ29" s="1812" t="e">
        <f>AF27</f>
        <v>#REF!</v>
      </c>
      <c r="AK29" s="1813"/>
      <c r="AL29" s="1813"/>
      <c r="AM29" s="1814" t="s">
        <v>626</v>
      </c>
      <c r="AN29" s="1815"/>
    </row>
  </sheetData>
  <mergeCells count="22">
    <mergeCell ref="L14:P14"/>
    <mergeCell ref="AC14:AF14"/>
    <mergeCell ref="AH14:AI14"/>
    <mergeCell ref="A1:AN1"/>
    <mergeCell ref="C7:C8"/>
    <mergeCell ref="E7:E8"/>
    <mergeCell ref="W7:W8"/>
    <mergeCell ref="Y7:Y8"/>
    <mergeCell ref="Y11:AB11"/>
    <mergeCell ref="AC11:AF11"/>
    <mergeCell ref="AH11:AI11"/>
    <mergeCell ref="AJ29:AL29"/>
    <mergeCell ref="AM29:AN29"/>
    <mergeCell ref="AC12:AF12"/>
    <mergeCell ref="AH12:AI12"/>
    <mergeCell ref="AC13:AF13"/>
    <mergeCell ref="AH13:AI13"/>
    <mergeCell ref="I15:K15"/>
    <mergeCell ref="L15:O15"/>
    <mergeCell ref="T17:T18"/>
    <mergeCell ref="AJ26:AL26"/>
    <mergeCell ref="AM26:AN26"/>
  </mergeCells>
  <phoneticPr fontId="13" type="noConversion"/>
  <printOptions horizontalCentered="1" verticalCentered="1"/>
  <pageMargins left="0.34" right="0.36" top="0.59055118110236227" bottom="0.78740157480314965" header="0.51181102362204722" footer="0.51181102362204722"/>
  <pageSetup paperSize="9" scale="88" orientation="portrait" blackAndWhite="1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>
    <tabColor rgb="FFFFC000"/>
  </sheetPr>
  <dimension ref="A1:N51"/>
  <sheetViews>
    <sheetView workbookViewId="0">
      <selection sqref="A1:G1"/>
    </sheetView>
  </sheetViews>
  <sheetFormatPr defaultColWidth="6.21875" defaultRowHeight="24.95" customHeight="1"/>
  <cols>
    <col min="1" max="3" width="9.44140625" style="591" customWidth="1"/>
    <col min="4" max="7" width="10.77734375" style="591" customWidth="1"/>
    <col min="8" max="16384" width="6.21875" style="591"/>
  </cols>
  <sheetData>
    <row r="1" spans="1:14" s="577" customFormat="1" ht="30" customHeight="1">
      <c r="A1" s="1826" t="s">
        <v>807</v>
      </c>
      <c r="B1" s="1826"/>
      <c r="C1" s="1826"/>
      <c r="D1" s="1826"/>
      <c r="E1" s="1826"/>
      <c r="F1" s="1826"/>
      <c r="G1" s="1826"/>
      <c r="H1" s="610"/>
      <c r="I1" s="610"/>
      <c r="J1" s="610"/>
      <c r="K1" s="610"/>
      <c r="L1" s="610"/>
      <c r="M1" s="610"/>
      <c r="N1" s="610"/>
    </row>
    <row r="2" spans="1:14" s="566" customFormat="1" ht="22.35" customHeight="1">
      <c r="A2" s="615" t="s">
        <v>47</v>
      </c>
      <c r="B2" s="744"/>
      <c r="G2" s="567"/>
    </row>
    <row r="3" spans="1:14" s="566" customFormat="1" ht="22.35" customHeight="1">
      <c r="A3" s="579" t="s">
        <v>718</v>
      </c>
      <c r="D3" s="571" t="s">
        <v>488</v>
      </c>
      <c r="E3" s="580" t="e">
        <f>D13</f>
        <v>#REF!</v>
      </c>
      <c r="F3" s="581" t="s">
        <v>719</v>
      </c>
      <c r="G3" s="567"/>
    </row>
    <row r="4" spans="1:14" s="566" customFormat="1" ht="22.35" customHeight="1">
      <c r="A4" s="509" t="s">
        <v>720</v>
      </c>
      <c r="B4" s="510" t="s">
        <v>721</v>
      </c>
      <c r="C4" s="510" t="s">
        <v>722</v>
      </c>
      <c r="D4" s="510" t="s">
        <v>723</v>
      </c>
      <c r="E4" s="510" t="s">
        <v>731</v>
      </c>
      <c r="F4" s="510" t="s">
        <v>724</v>
      </c>
      <c r="G4" s="513" t="s">
        <v>725</v>
      </c>
    </row>
    <row r="5" spans="1:14" s="566" customFormat="1" ht="22.35" customHeight="1">
      <c r="A5" s="582">
        <v>300</v>
      </c>
      <c r="B5" s="583">
        <v>15</v>
      </c>
      <c r="C5" s="583">
        <f t="shared" ref="C5:C12" si="0">A5+B5*2</f>
        <v>330</v>
      </c>
      <c r="D5" s="584">
        <f>'오수관 맨홀이음부 몰탈 수량집계'!H4</f>
        <v>13</v>
      </c>
      <c r="E5" s="584">
        <f>ROUND(A5*D5,3)</f>
        <v>3900</v>
      </c>
      <c r="F5" s="583">
        <f t="shared" ref="F5:F12" si="1">ROUND(B5*D5,1)</f>
        <v>195</v>
      </c>
      <c r="G5" s="585"/>
    </row>
    <row r="6" spans="1:14" s="566" customFormat="1" ht="22.35" customHeight="1">
      <c r="A6" s="582">
        <v>400</v>
      </c>
      <c r="B6" s="583">
        <v>17</v>
      </c>
      <c r="C6" s="583">
        <f t="shared" si="0"/>
        <v>434</v>
      </c>
      <c r="D6" s="584">
        <f>'오수관 맨홀이음부 몰탈 수량집계'!J4</f>
        <v>0</v>
      </c>
      <c r="E6" s="584">
        <f t="shared" ref="E6:E12" si="2">ROUND(A6*D6,3)</f>
        <v>0</v>
      </c>
      <c r="F6" s="583">
        <f t="shared" si="1"/>
        <v>0</v>
      </c>
      <c r="G6" s="585"/>
    </row>
    <row r="7" spans="1:14" s="566" customFormat="1" ht="22.35" customHeight="1">
      <c r="A7" s="582">
        <v>500</v>
      </c>
      <c r="B7" s="583">
        <v>21</v>
      </c>
      <c r="C7" s="583">
        <f t="shared" si="0"/>
        <v>542</v>
      </c>
      <c r="D7" s="584" t="e">
        <f>'오수관 맨홀이음부 몰탈 수량집계'!#REF!</f>
        <v>#REF!</v>
      </c>
      <c r="E7" s="584" t="e">
        <f t="shared" si="2"/>
        <v>#REF!</v>
      </c>
      <c r="F7" s="583" t="e">
        <f t="shared" si="1"/>
        <v>#REF!</v>
      </c>
      <c r="G7" s="585"/>
    </row>
    <row r="8" spans="1:14" s="566" customFormat="1" ht="22.35" customHeight="1">
      <c r="A8" s="582">
        <v>600</v>
      </c>
      <c r="B8" s="583">
        <v>25</v>
      </c>
      <c r="C8" s="583">
        <f t="shared" si="0"/>
        <v>650</v>
      </c>
      <c r="D8" s="584" t="e">
        <f>'오수관 맨홀이음부 몰탈 수량집계'!#REF!</f>
        <v>#REF!</v>
      </c>
      <c r="E8" s="584" t="e">
        <f t="shared" si="2"/>
        <v>#REF!</v>
      </c>
      <c r="F8" s="583" t="e">
        <f t="shared" si="1"/>
        <v>#REF!</v>
      </c>
      <c r="G8" s="585"/>
    </row>
    <row r="9" spans="1:14" s="566" customFormat="1" ht="22.35" customHeight="1">
      <c r="A9" s="582">
        <v>700</v>
      </c>
      <c r="B9" s="583">
        <v>29</v>
      </c>
      <c r="C9" s="583">
        <f t="shared" si="0"/>
        <v>758</v>
      </c>
      <c r="D9" s="584" t="e">
        <f>'오수관 맨홀이음부 몰탈 수량집계'!#REF!</f>
        <v>#REF!</v>
      </c>
      <c r="E9" s="584" t="e">
        <f t="shared" si="2"/>
        <v>#REF!</v>
      </c>
      <c r="F9" s="583" t="e">
        <f t="shared" si="1"/>
        <v>#REF!</v>
      </c>
      <c r="G9" s="585"/>
    </row>
    <row r="10" spans="1:14" s="566" customFormat="1" ht="22.35" customHeight="1">
      <c r="A10" s="582">
        <v>800</v>
      </c>
      <c r="B10" s="583">
        <v>33</v>
      </c>
      <c r="C10" s="583">
        <f t="shared" si="0"/>
        <v>866</v>
      </c>
      <c r="D10" s="584" t="e">
        <f>'오수관 맨홀이음부 몰탈 수량집계'!#REF!</f>
        <v>#REF!</v>
      </c>
      <c r="E10" s="584" t="e">
        <f t="shared" si="2"/>
        <v>#REF!</v>
      </c>
      <c r="F10" s="583" t="e">
        <f t="shared" si="1"/>
        <v>#REF!</v>
      </c>
      <c r="G10" s="585"/>
    </row>
    <row r="11" spans="1:14" s="566" customFormat="1" ht="22.35" customHeight="1">
      <c r="A11" s="582">
        <v>1000</v>
      </c>
      <c r="B11" s="583">
        <v>41</v>
      </c>
      <c r="C11" s="583">
        <f t="shared" si="0"/>
        <v>1082</v>
      </c>
      <c r="D11" s="584" t="e">
        <f>'오수관 맨홀이음부 몰탈 수량집계'!#REF!</f>
        <v>#REF!</v>
      </c>
      <c r="E11" s="584" t="e">
        <f t="shared" si="2"/>
        <v>#REF!</v>
      </c>
      <c r="F11" s="583" t="e">
        <f t="shared" si="1"/>
        <v>#REF!</v>
      </c>
      <c r="G11" s="585"/>
    </row>
    <row r="12" spans="1:14" s="566" customFormat="1" ht="22.35" customHeight="1">
      <c r="A12" s="582">
        <v>1100</v>
      </c>
      <c r="B12" s="583">
        <v>44</v>
      </c>
      <c r="C12" s="583">
        <f t="shared" si="0"/>
        <v>1188</v>
      </c>
      <c r="D12" s="584" t="e">
        <f>'오수관 맨홀이음부 몰탈 수량집계'!#REF!</f>
        <v>#REF!</v>
      </c>
      <c r="E12" s="584" t="e">
        <f t="shared" si="2"/>
        <v>#REF!</v>
      </c>
      <c r="F12" s="583" t="e">
        <f t="shared" si="1"/>
        <v>#REF!</v>
      </c>
      <c r="G12" s="585"/>
    </row>
    <row r="13" spans="1:14" s="566" customFormat="1" ht="22.35" customHeight="1">
      <c r="A13" s="596" t="s">
        <v>726</v>
      </c>
      <c r="B13" s="515"/>
      <c r="C13" s="515"/>
      <c r="D13" s="597" t="e">
        <f>SUM(D5:D12)</f>
        <v>#REF!</v>
      </c>
      <c r="E13" s="584" t="e">
        <f>SUM(E5:E12)</f>
        <v>#REF!</v>
      </c>
      <c r="F13" s="584" t="e">
        <f>SUM(F5:F12)</f>
        <v>#REF!</v>
      </c>
      <c r="G13" s="590" t="s">
        <v>727</v>
      </c>
    </row>
    <row r="14" spans="1:14" s="566" customFormat="1" ht="22.35" customHeight="1">
      <c r="A14" s="511" t="s">
        <v>728</v>
      </c>
      <c r="B14" s="512"/>
      <c r="C14" s="512"/>
      <c r="D14" s="598" t="e">
        <f>CONCATENATE(E13," ","÷"," ",E3," ","=")</f>
        <v>#REF!</v>
      </c>
      <c r="E14" s="598" t="e">
        <f>ROUND(E13/E3,0)</f>
        <v>#REF!</v>
      </c>
      <c r="F14" s="598" t="s">
        <v>53</v>
      </c>
      <c r="G14" s="514" t="e">
        <f>ROUND(F13/E3,0)</f>
        <v>#REF!</v>
      </c>
    </row>
    <row r="15" spans="1:14" s="566" customFormat="1" ht="22.35" customHeight="1">
      <c r="A15" s="565" t="s">
        <v>729</v>
      </c>
      <c r="D15" s="571" t="s">
        <v>488</v>
      </c>
      <c r="E15" s="580" t="e">
        <f>D25</f>
        <v>#REF!</v>
      </c>
      <c r="F15" s="581" t="s">
        <v>719</v>
      </c>
      <c r="G15" s="567"/>
    </row>
    <row r="16" spans="1:14" s="566" customFormat="1" ht="22.35" customHeight="1">
      <c r="A16" s="509" t="s">
        <v>720</v>
      </c>
      <c r="B16" s="510" t="s">
        <v>721</v>
      </c>
      <c r="C16" s="510" t="s">
        <v>722</v>
      </c>
      <c r="D16" s="510" t="s">
        <v>723</v>
      </c>
      <c r="E16" s="510" t="s">
        <v>731</v>
      </c>
      <c r="F16" s="510" t="s">
        <v>724</v>
      </c>
      <c r="G16" s="513" t="s">
        <v>725</v>
      </c>
    </row>
    <row r="17" spans="1:7" s="566" customFormat="1" ht="22.35" customHeight="1">
      <c r="A17" s="582">
        <v>300</v>
      </c>
      <c r="B17" s="583">
        <v>15</v>
      </c>
      <c r="C17" s="583">
        <f t="shared" ref="C17:C24" si="3">A17+B17*2</f>
        <v>330</v>
      </c>
      <c r="D17" s="584">
        <f>'오수관 맨홀이음부 몰탈 수량집계'!I4</f>
        <v>25</v>
      </c>
      <c r="E17" s="584">
        <f>ROUND(A17*D17,3)</f>
        <v>7500</v>
      </c>
      <c r="F17" s="583">
        <f t="shared" ref="F17:F24" si="4">ROUND(B17*D17,1)</f>
        <v>375</v>
      </c>
      <c r="G17" s="585"/>
    </row>
    <row r="18" spans="1:7" s="566" customFormat="1" ht="22.35" customHeight="1">
      <c r="A18" s="582">
        <v>400</v>
      </c>
      <c r="B18" s="583">
        <v>17</v>
      </c>
      <c r="C18" s="583">
        <f t="shared" si="3"/>
        <v>434</v>
      </c>
      <c r="D18" s="584">
        <f>'오수관 맨홀이음부 몰탈 수량집계'!K4</f>
        <v>0</v>
      </c>
      <c r="E18" s="584">
        <f t="shared" ref="E18:E24" si="5">ROUND(C18*D18,3)</f>
        <v>0</v>
      </c>
      <c r="F18" s="583">
        <f t="shared" si="4"/>
        <v>0</v>
      </c>
      <c r="G18" s="585"/>
    </row>
    <row r="19" spans="1:7" s="566" customFormat="1" ht="22.35" customHeight="1">
      <c r="A19" s="582">
        <v>500</v>
      </c>
      <c r="B19" s="583">
        <v>21</v>
      </c>
      <c r="C19" s="583">
        <f t="shared" si="3"/>
        <v>542</v>
      </c>
      <c r="D19" s="584" t="e">
        <f>'오수관 맨홀이음부 몰탈 수량집계'!#REF!</f>
        <v>#REF!</v>
      </c>
      <c r="E19" s="584" t="e">
        <f t="shared" si="5"/>
        <v>#REF!</v>
      </c>
      <c r="F19" s="583" t="e">
        <f t="shared" si="4"/>
        <v>#REF!</v>
      </c>
      <c r="G19" s="585"/>
    </row>
    <row r="20" spans="1:7" s="566" customFormat="1" ht="22.35" customHeight="1">
      <c r="A20" s="582">
        <v>600</v>
      </c>
      <c r="B20" s="583">
        <v>25</v>
      </c>
      <c r="C20" s="583">
        <f t="shared" si="3"/>
        <v>650</v>
      </c>
      <c r="D20" s="584" t="e">
        <f>'오수관 맨홀이음부 몰탈 수량집계'!#REF!</f>
        <v>#REF!</v>
      </c>
      <c r="E20" s="584" t="e">
        <f t="shared" si="5"/>
        <v>#REF!</v>
      </c>
      <c r="F20" s="583" t="e">
        <f t="shared" si="4"/>
        <v>#REF!</v>
      </c>
      <c r="G20" s="585"/>
    </row>
    <row r="21" spans="1:7" s="566" customFormat="1" ht="22.35" customHeight="1">
      <c r="A21" s="582">
        <v>700</v>
      </c>
      <c r="B21" s="583">
        <v>29</v>
      </c>
      <c r="C21" s="583">
        <f t="shared" si="3"/>
        <v>758</v>
      </c>
      <c r="D21" s="584" t="e">
        <f>'오수관 맨홀이음부 몰탈 수량집계'!#REF!</f>
        <v>#REF!</v>
      </c>
      <c r="E21" s="584" t="e">
        <f t="shared" si="5"/>
        <v>#REF!</v>
      </c>
      <c r="F21" s="583" t="e">
        <f t="shared" si="4"/>
        <v>#REF!</v>
      </c>
      <c r="G21" s="585"/>
    </row>
    <row r="22" spans="1:7" s="566" customFormat="1" ht="22.35" customHeight="1">
      <c r="A22" s="582">
        <v>800</v>
      </c>
      <c r="B22" s="583">
        <v>33</v>
      </c>
      <c r="C22" s="583">
        <f t="shared" si="3"/>
        <v>866</v>
      </c>
      <c r="D22" s="584" t="e">
        <f>'오수관 맨홀이음부 몰탈 수량집계'!#REF!</f>
        <v>#REF!</v>
      </c>
      <c r="E22" s="584" t="e">
        <f t="shared" si="5"/>
        <v>#REF!</v>
      </c>
      <c r="F22" s="583" t="e">
        <f t="shared" si="4"/>
        <v>#REF!</v>
      </c>
      <c r="G22" s="585"/>
    </row>
    <row r="23" spans="1:7" s="566" customFormat="1" ht="22.35" customHeight="1">
      <c r="A23" s="582">
        <v>1000</v>
      </c>
      <c r="B23" s="583">
        <v>41</v>
      </c>
      <c r="C23" s="583">
        <f t="shared" si="3"/>
        <v>1082</v>
      </c>
      <c r="D23" s="584" t="e">
        <f>'오수관 맨홀이음부 몰탈 수량집계'!#REF!</f>
        <v>#REF!</v>
      </c>
      <c r="E23" s="584" t="e">
        <f t="shared" si="5"/>
        <v>#REF!</v>
      </c>
      <c r="F23" s="583" t="e">
        <f t="shared" si="4"/>
        <v>#REF!</v>
      </c>
      <c r="G23" s="585"/>
    </row>
    <row r="24" spans="1:7" s="566" customFormat="1" ht="22.35" customHeight="1">
      <c r="A24" s="582">
        <v>1100</v>
      </c>
      <c r="B24" s="583">
        <v>44</v>
      </c>
      <c r="C24" s="583">
        <f t="shared" si="3"/>
        <v>1188</v>
      </c>
      <c r="D24" s="584" t="e">
        <f>'오수관 맨홀이음부 몰탈 수량집계'!#REF!</f>
        <v>#REF!</v>
      </c>
      <c r="E24" s="584" t="e">
        <f t="shared" si="5"/>
        <v>#REF!</v>
      </c>
      <c r="F24" s="583" t="e">
        <f t="shared" si="4"/>
        <v>#REF!</v>
      </c>
      <c r="G24" s="585"/>
    </row>
    <row r="25" spans="1:7" s="566" customFormat="1" ht="22.35" customHeight="1">
      <c r="A25" s="596" t="s">
        <v>726</v>
      </c>
      <c r="B25" s="515"/>
      <c r="C25" s="515"/>
      <c r="D25" s="597" t="e">
        <f>SUM(D17:D24)</f>
        <v>#REF!</v>
      </c>
      <c r="E25" s="584" t="e">
        <f>SUM(E17:E24)</f>
        <v>#REF!</v>
      </c>
      <c r="F25" s="584" t="e">
        <f>SUM(F17:F24)</f>
        <v>#REF!</v>
      </c>
      <c r="G25" s="590" t="s">
        <v>727</v>
      </c>
    </row>
    <row r="26" spans="1:7" s="566" customFormat="1" ht="22.35" customHeight="1">
      <c r="A26" s="511" t="s">
        <v>730</v>
      </c>
      <c r="B26" s="512"/>
      <c r="C26" s="512"/>
      <c r="D26" s="598" t="e">
        <f>CONCATENATE(E25," ","÷"," ",E15," ","=")</f>
        <v>#REF!</v>
      </c>
      <c r="E26" s="598" t="e">
        <f>ROUND(E25/E15,0)</f>
        <v>#REF!</v>
      </c>
      <c r="F26" s="598" t="s">
        <v>53</v>
      </c>
      <c r="G26" s="514" t="e">
        <f>ROUND(F25/E15,0)</f>
        <v>#REF!</v>
      </c>
    </row>
    <row r="27" spans="1:7" s="566" customFormat="1" ht="22.35" customHeight="1">
      <c r="A27" s="578" t="s">
        <v>335</v>
      </c>
      <c r="B27" s="587"/>
      <c r="C27" s="568"/>
      <c r="D27" s="568"/>
      <c r="E27" s="568"/>
      <c r="F27" s="568"/>
      <c r="G27" s="588"/>
    </row>
    <row r="28" spans="1:7" s="566" customFormat="1" ht="22.35" customHeight="1">
      <c r="A28" s="579" t="s">
        <v>718</v>
      </c>
      <c r="D28" s="571" t="s">
        <v>488</v>
      </c>
      <c r="E28" s="580"/>
      <c r="F28" s="581" t="s">
        <v>719</v>
      </c>
      <c r="G28" s="567"/>
    </row>
    <row r="29" spans="1:7" s="566" customFormat="1" ht="22.35" customHeight="1">
      <c r="A29" s="509" t="s">
        <v>720</v>
      </c>
      <c r="B29" s="510" t="s">
        <v>721</v>
      </c>
      <c r="C29" s="510" t="s">
        <v>722</v>
      </c>
      <c r="D29" s="510" t="s">
        <v>723</v>
      </c>
      <c r="E29" s="510" t="s">
        <v>731</v>
      </c>
      <c r="F29" s="510" t="s">
        <v>724</v>
      </c>
      <c r="G29" s="513" t="s">
        <v>725</v>
      </c>
    </row>
    <row r="30" spans="1:7" s="566" customFormat="1" ht="22.35" customHeight="1">
      <c r="A30" s="582">
        <v>300</v>
      </c>
      <c r="B30" s="583">
        <v>15</v>
      </c>
      <c r="C30" s="583">
        <f t="shared" ref="C30:C37" si="6">A30+B30*2</f>
        <v>330</v>
      </c>
      <c r="D30" s="584"/>
      <c r="E30" s="584">
        <f>ROUND(A30*D30,3)</f>
        <v>0</v>
      </c>
      <c r="F30" s="583">
        <f t="shared" ref="F30:F37" si="7">ROUND(B30*D30,1)</f>
        <v>0</v>
      </c>
      <c r="G30" s="585"/>
    </row>
    <row r="31" spans="1:7" s="566" customFormat="1" ht="22.35" customHeight="1">
      <c r="A31" s="582">
        <v>400</v>
      </c>
      <c r="B31" s="583">
        <v>17</v>
      </c>
      <c r="C31" s="583">
        <f t="shared" si="6"/>
        <v>434</v>
      </c>
      <c r="D31" s="584"/>
      <c r="E31" s="584">
        <f t="shared" ref="E31:E37" si="8">ROUND(A31*D31,3)</f>
        <v>0</v>
      </c>
      <c r="F31" s="583">
        <f t="shared" si="7"/>
        <v>0</v>
      </c>
      <c r="G31" s="585"/>
    </row>
    <row r="32" spans="1:7" s="566" customFormat="1" ht="22.35" customHeight="1">
      <c r="A32" s="582">
        <v>500</v>
      </c>
      <c r="B32" s="583">
        <v>21</v>
      </c>
      <c r="C32" s="583">
        <f t="shared" si="6"/>
        <v>542</v>
      </c>
      <c r="D32" s="584"/>
      <c r="E32" s="584">
        <f t="shared" si="8"/>
        <v>0</v>
      </c>
      <c r="F32" s="583">
        <f t="shared" si="7"/>
        <v>0</v>
      </c>
      <c r="G32" s="585"/>
    </row>
    <row r="33" spans="1:7" s="566" customFormat="1" ht="22.35" customHeight="1">
      <c r="A33" s="582">
        <v>600</v>
      </c>
      <c r="B33" s="583">
        <v>25</v>
      </c>
      <c r="C33" s="583">
        <f t="shared" si="6"/>
        <v>650</v>
      </c>
      <c r="D33" s="584"/>
      <c r="E33" s="584">
        <f t="shared" si="8"/>
        <v>0</v>
      </c>
      <c r="F33" s="583">
        <f t="shared" si="7"/>
        <v>0</v>
      </c>
      <c r="G33" s="585"/>
    </row>
    <row r="34" spans="1:7" s="566" customFormat="1" ht="22.35" customHeight="1">
      <c r="A34" s="582">
        <v>700</v>
      </c>
      <c r="B34" s="583">
        <v>29</v>
      </c>
      <c r="C34" s="583">
        <f t="shared" si="6"/>
        <v>758</v>
      </c>
      <c r="D34" s="584"/>
      <c r="E34" s="584">
        <f t="shared" si="8"/>
        <v>0</v>
      </c>
      <c r="F34" s="583">
        <f t="shared" si="7"/>
        <v>0</v>
      </c>
      <c r="G34" s="585"/>
    </row>
    <row r="35" spans="1:7" s="566" customFormat="1" ht="22.35" customHeight="1">
      <c r="A35" s="582">
        <v>800</v>
      </c>
      <c r="B35" s="583">
        <v>33</v>
      </c>
      <c r="C35" s="583">
        <f t="shared" si="6"/>
        <v>866</v>
      </c>
      <c r="D35" s="584"/>
      <c r="E35" s="584">
        <f t="shared" si="8"/>
        <v>0</v>
      </c>
      <c r="F35" s="583">
        <f t="shared" si="7"/>
        <v>0</v>
      </c>
      <c r="G35" s="585"/>
    </row>
    <row r="36" spans="1:7" s="566" customFormat="1" ht="22.35" customHeight="1">
      <c r="A36" s="582">
        <v>1000</v>
      </c>
      <c r="B36" s="583">
        <v>41</v>
      </c>
      <c r="C36" s="583">
        <f t="shared" si="6"/>
        <v>1082</v>
      </c>
      <c r="D36" s="584"/>
      <c r="E36" s="584">
        <f t="shared" si="8"/>
        <v>0</v>
      </c>
      <c r="F36" s="583">
        <f t="shared" si="7"/>
        <v>0</v>
      </c>
      <c r="G36" s="585"/>
    </row>
    <row r="37" spans="1:7" s="566" customFormat="1" ht="22.35" customHeight="1">
      <c r="A37" s="582">
        <v>1100</v>
      </c>
      <c r="B37" s="583">
        <v>44</v>
      </c>
      <c r="C37" s="583">
        <f t="shared" si="6"/>
        <v>1188</v>
      </c>
      <c r="D37" s="584"/>
      <c r="E37" s="584">
        <f t="shared" si="8"/>
        <v>0</v>
      </c>
      <c r="F37" s="583">
        <f t="shared" si="7"/>
        <v>0</v>
      </c>
      <c r="G37" s="585"/>
    </row>
    <row r="38" spans="1:7" s="566" customFormat="1" ht="22.35" customHeight="1">
      <c r="A38" s="596" t="s">
        <v>726</v>
      </c>
      <c r="B38" s="515"/>
      <c r="C38" s="515"/>
      <c r="D38" s="597">
        <f>SUM(D30:D37)</f>
        <v>0</v>
      </c>
      <c r="E38" s="584">
        <f>SUM(E30:E37)</f>
        <v>0</v>
      </c>
      <c r="F38" s="584">
        <f>SUM(F30:F37)</f>
        <v>0</v>
      </c>
      <c r="G38" s="590" t="s">
        <v>727</v>
      </c>
    </row>
    <row r="39" spans="1:7" s="566" customFormat="1" ht="22.35" customHeight="1">
      <c r="A39" s="511" t="s">
        <v>728</v>
      </c>
      <c r="B39" s="512"/>
      <c r="C39" s="512"/>
      <c r="D39" s="598" t="str">
        <f>CONCATENATE(E38," ","÷"," ",E28," ","=")</f>
        <v>0 ÷  =</v>
      </c>
      <c r="E39" s="598" t="e">
        <f>ROUND(E38/E28,0)</f>
        <v>#DIV/0!</v>
      </c>
      <c r="F39" s="598" t="s">
        <v>53</v>
      </c>
      <c r="G39" s="514" t="e">
        <f>ROUND(F38/E28,0)</f>
        <v>#DIV/0!</v>
      </c>
    </row>
    <row r="40" spans="1:7" s="566" customFormat="1" ht="22.35" customHeight="1">
      <c r="A40" s="565" t="s">
        <v>729</v>
      </c>
      <c r="D40" s="571" t="s">
        <v>488</v>
      </c>
      <c r="E40" s="580" t="e">
        <f>D50</f>
        <v>#REF!</v>
      </c>
      <c r="F40" s="581" t="s">
        <v>719</v>
      </c>
      <c r="G40" s="567"/>
    </row>
    <row r="41" spans="1:7" s="566" customFormat="1" ht="22.35" customHeight="1">
      <c r="A41" s="509" t="s">
        <v>720</v>
      </c>
      <c r="B41" s="510" t="s">
        <v>721</v>
      </c>
      <c r="C41" s="510" t="s">
        <v>722</v>
      </c>
      <c r="D41" s="510" t="s">
        <v>723</v>
      </c>
      <c r="E41" s="510" t="s">
        <v>731</v>
      </c>
      <c r="F41" s="510" t="s">
        <v>724</v>
      </c>
      <c r="G41" s="513" t="s">
        <v>725</v>
      </c>
    </row>
    <row r="42" spans="1:7" s="566" customFormat="1" ht="22.35" customHeight="1">
      <c r="A42" s="582">
        <v>300</v>
      </c>
      <c r="B42" s="583">
        <v>15</v>
      </c>
      <c r="C42" s="583">
        <f t="shared" ref="C42:C49" si="9">A42+B42*2</f>
        <v>330</v>
      </c>
      <c r="D42" s="584">
        <f>'오수관 맨홀이음부 몰탈 수량집계'!I5</f>
        <v>65</v>
      </c>
      <c r="E42" s="584">
        <f>ROUND(A42*D42,3)</f>
        <v>19500</v>
      </c>
      <c r="F42" s="583">
        <f t="shared" ref="F42:F49" si="10">ROUND(B42*D42,1)</f>
        <v>975</v>
      </c>
      <c r="G42" s="585"/>
    </row>
    <row r="43" spans="1:7" s="566" customFormat="1" ht="22.35" customHeight="1">
      <c r="A43" s="582">
        <v>400</v>
      </c>
      <c r="B43" s="583">
        <v>17</v>
      </c>
      <c r="C43" s="583">
        <f t="shared" si="9"/>
        <v>434</v>
      </c>
      <c r="D43" s="584">
        <f>'오수관 맨홀이음부 몰탈 수량집계'!K5</f>
        <v>1</v>
      </c>
      <c r="E43" s="584">
        <f t="shared" ref="E43:E49" si="11">ROUND(A43*D43,3)</f>
        <v>400</v>
      </c>
      <c r="F43" s="583">
        <f t="shared" si="10"/>
        <v>17</v>
      </c>
      <c r="G43" s="585"/>
    </row>
    <row r="44" spans="1:7" s="566" customFormat="1" ht="22.35" customHeight="1">
      <c r="A44" s="582">
        <v>500</v>
      </c>
      <c r="B44" s="583">
        <v>21</v>
      </c>
      <c r="C44" s="583">
        <f t="shared" si="9"/>
        <v>542</v>
      </c>
      <c r="D44" s="584" t="e">
        <f>'오수관 맨홀이음부 몰탈 수량집계'!#REF!</f>
        <v>#REF!</v>
      </c>
      <c r="E44" s="584" t="e">
        <f t="shared" si="11"/>
        <v>#REF!</v>
      </c>
      <c r="F44" s="583" t="e">
        <f t="shared" si="10"/>
        <v>#REF!</v>
      </c>
      <c r="G44" s="585"/>
    </row>
    <row r="45" spans="1:7" s="566" customFormat="1" ht="22.35" customHeight="1">
      <c r="A45" s="582">
        <v>600</v>
      </c>
      <c r="B45" s="583">
        <v>25</v>
      </c>
      <c r="C45" s="583">
        <f t="shared" si="9"/>
        <v>650</v>
      </c>
      <c r="D45" s="584" t="e">
        <f>'오수관 맨홀이음부 몰탈 수량집계'!#REF!</f>
        <v>#REF!</v>
      </c>
      <c r="E45" s="584" t="e">
        <f t="shared" si="11"/>
        <v>#REF!</v>
      </c>
      <c r="F45" s="583" t="e">
        <f t="shared" si="10"/>
        <v>#REF!</v>
      </c>
      <c r="G45" s="585"/>
    </row>
    <row r="46" spans="1:7" s="566" customFormat="1" ht="22.35" customHeight="1">
      <c r="A46" s="582">
        <v>700</v>
      </c>
      <c r="B46" s="583">
        <v>29</v>
      </c>
      <c r="C46" s="583">
        <f t="shared" si="9"/>
        <v>758</v>
      </c>
      <c r="D46" s="584" t="e">
        <f>'오수관 맨홀이음부 몰탈 수량집계'!#REF!</f>
        <v>#REF!</v>
      </c>
      <c r="E46" s="584" t="e">
        <f t="shared" si="11"/>
        <v>#REF!</v>
      </c>
      <c r="F46" s="583" t="e">
        <f t="shared" si="10"/>
        <v>#REF!</v>
      </c>
      <c r="G46" s="585"/>
    </row>
    <row r="47" spans="1:7" s="566" customFormat="1" ht="22.35" customHeight="1">
      <c r="A47" s="582">
        <v>800</v>
      </c>
      <c r="B47" s="583">
        <v>33</v>
      </c>
      <c r="C47" s="583">
        <f t="shared" si="9"/>
        <v>866</v>
      </c>
      <c r="D47" s="584" t="e">
        <f>'오수관 맨홀이음부 몰탈 수량집계'!#REF!</f>
        <v>#REF!</v>
      </c>
      <c r="E47" s="584" t="e">
        <f t="shared" si="11"/>
        <v>#REF!</v>
      </c>
      <c r="F47" s="583" t="e">
        <f t="shared" si="10"/>
        <v>#REF!</v>
      </c>
      <c r="G47" s="585"/>
    </row>
    <row r="48" spans="1:7" s="566" customFormat="1" ht="22.35" customHeight="1">
      <c r="A48" s="582">
        <v>1000</v>
      </c>
      <c r="B48" s="583">
        <v>41</v>
      </c>
      <c r="C48" s="583">
        <f t="shared" si="9"/>
        <v>1082</v>
      </c>
      <c r="D48" s="584" t="e">
        <f>'오수관 맨홀이음부 몰탈 수량집계'!#REF!</f>
        <v>#REF!</v>
      </c>
      <c r="E48" s="584" t="e">
        <f t="shared" si="11"/>
        <v>#REF!</v>
      </c>
      <c r="F48" s="583" t="e">
        <f t="shared" si="10"/>
        <v>#REF!</v>
      </c>
      <c r="G48" s="585"/>
    </row>
    <row r="49" spans="1:7" s="566" customFormat="1" ht="22.35" customHeight="1">
      <c r="A49" s="582">
        <v>1100</v>
      </c>
      <c r="B49" s="583">
        <v>44</v>
      </c>
      <c r="C49" s="583">
        <f t="shared" si="9"/>
        <v>1188</v>
      </c>
      <c r="D49" s="584" t="e">
        <f>'오수관 맨홀이음부 몰탈 수량집계'!#REF!</f>
        <v>#REF!</v>
      </c>
      <c r="E49" s="584" t="e">
        <f t="shared" si="11"/>
        <v>#REF!</v>
      </c>
      <c r="F49" s="583" t="e">
        <f t="shared" si="10"/>
        <v>#REF!</v>
      </c>
      <c r="G49" s="585"/>
    </row>
    <row r="50" spans="1:7" s="566" customFormat="1" ht="22.35" customHeight="1">
      <c r="A50" s="596" t="s">
        <v>726</v>
      </c>
      <c r="B50" s="515"/>
      <c r="C50" s="515"/>
      <c r="D50" s="597" t="e">
        <f>SUM(D42:D49)</f>
        <v>#REF!</v>
      </c>
      <c r="E50" s="584" t="e">
        <f>SUM(E42:E49)</f>
        <v>#REF!</v>
      </c>
      <c r="F50" s="584" t="e">
        <f>SUM(F42:F49)</f>
        <v>#REF!</v>
      </c>
      <c r="G50" s="590" t="s">
        <v>727</v>
      </c>
    </row>
    <row r="51" spans="1:7" s="566" customFormat="1" ht="22.35" customHeight="1">
      <c r="A51" s="518" t="s">
        <v>730</v>
      </c>
      <c r="B51" s="519"/>
      <c r="C51" s="519"/>
      <c r="D51" s="611" t="e">
        <f>CONCATENATE(E50," ","÷"," ",E40," ","=")</f>
        <v>#REF!</v>
      </c>
      <c r="E51" s="611" t="e">
        <f>ROUND(E50/E40,0)</f>
        <v>#REF!</v>
      </c>
      <c r="F51" s="611" t="s">
        <v>53</v>
      </c>
      <c r="G51" s="612" t="e">
        <f>ROUND(F50/E40,0)</f>
        <v>#REF!</v>
      </c>
    </row>
  </sheetData>
  <mergeCells count="1">
    <mergeCell ref="A1:G1"/>
  </mergeCells>
  <phoneticPr fontId="13" type="noConversion"/>
  <printOptions horizontalCentered="1"/>
  <pageMargins left="0.70866141732283472" right="0.70866141732283472" top="0.98425196850393704" bottom="0.74803149606299213" header="0.31496062992125984" footer="0.31496062992125984"/>
  <pageSetup paperSize="9" orientation="portrait" blackAndWhite="1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>
    <tabColor rgb="FF92D050"/>
  </sheetPr>
  <dimension ref="A1:Y60"/>
  <sheetViews>
    <sheetView workbookViewId="0">
      <selection activeCell="L74" sqref="L74"/>
    </sheetView>
  </sheetViews>
  <sheetFormatPr defaultRowHeight="15.75"/>
  <cols>
    <col min="1" max="2" width="7.77734375" style="980" customWidth="1"/>
    <col min="3" max="3" width="9.6640625" style="980" bestFit="1" customWidth="1"/>
    <col min="4" max="5" width="9.6640625" style="980" customWidth="1"/>
    <col min="6" max="7" width="9.77734375" style="980" customWidth="1"/>
    <col min="8" max="9" width="9.77734375" style="981" customWidth="1"/>
    <col min="10" max="13" width="9.77734375" style="980" customWidth="1"/>
    <col min="14" max="15" width="9.77734375" style="980" hidden="1" customWidth="1"/>
    <col min="16" max="16" width="9.77734375" style="980" customWidth="1"/>
    <col min="17" max="17" width="7.77734375" style="980" customWidth="1"/>
    <col min="18" max="18" width="8.6640625" style="980" bestFit="1" customWidth="1"/>
    <col min="19" max="24" width="5.77734375" style="980" customWidth="1"/>
    <col min="25" max="25" width="16.88671875" style="980" customWidth="1"/>
    <col min="26" max="16384" width="8.88671875" style="980"/>
  </cols>
  <sheetData>
    <row r="1" spans="1:25" s="985" customFormat="1" ht="50.1" customHeight="1">
      <c r="A1" s="1879" t="s">
        <v>736</v>
      </c>
      <c r="B1" s="1879"/>
      <c r="C1" s="1879"/>
      <c r="D1" s="1879"/>
      <c r="E1" s="1879"/>
      <c r="F1" s="1879"/>
      <c r="G1" s="1879"/>
      <c r="H1" s="1879"/>
      <c r="I1" s="1879"/>
      <c r="J1" s="1879"/>
      <c r="K1" s="1879"/>
      <c r="L1" s="1879"/>
      <c r="M1" s="1879"/>
      <c r="N1" s="1879"/>
      <c r="O1" s="1879"/>
      <c r="P1" s="1879"/>
      <c r="Q1" s="983"/>
      <c r="R1" s="983"/>
      <c r="S1" s="983"/>
      <c r="T1" s="983"/>
      <c r="U1" s="983"/>
      <c r="V1" s="983"/>
      <c r="W1" s="983"/>
      <c r="X1" s="983"/>
      <c r="Y1" s="984"/>
    </row>
    <row r="2" spans="1:25" s="986" customFormat="1" ht="30" customHeight="1">
      <c r="A2" s="1865" t="s">
        <v>292</v>
      </c>
      <c r="B2" s="1849"/>
      <c r="C2" s="1849" t="s">
        <v>668</v>
      </c>
      <c r="D2" s="1849" t="s">
        <v>1378</v>
      </c>
      <c r="E2" s="1849"/>
      <c r="F2" s="1849" t="s">
        <v>26</v>
      </c>
      <c r="G2" s="1849"/>
      <c r="H2" s="1849" t="s">
        <v>27</v>
      </c>
      <c r="I2" s="1849"/>
      <c r="J2" s="1849" t="s">
        <v>28</v>
      </c>
      <c r="K2" s="1849"/>
      <c r="L2" s="1849" t="s">
        <v>950</v>
      </c>
      <c r="M2" s="1849"/>
      <c r="N2" s="1849" t="s">
        <v>1000</v>
      </c>
      <c r="O2" s="1849"/>
      <c r="P2" s="1852" t="s">
        <v>0</v>
      </c>
    </row>
    <row r="3" spans="1:25" s="986" customFormat="1" ht="30" customHeight="1">
      <c r="A3" s="1866"/>
      <c r="B3" s="1867"/>
      <c r="C3" s="1867"/>
      <c r="D3" s="987" t="s">
        <v>209</v>
      </c>
      <c r="E3" s="987" t="s">
        <v>210</v>
      </c>
      <c r="F3" s="987" t="s">
        <v>209</v>
      </c>
      <c r="G3" s="987" t="s">
        <v>210</v>
      </c>
      <c r="H3" s="987" t="s">
        <v>669</v>
      </c>
      <c r="I3" s="987" t="s">
        <v>670</v>
      </c>
      <c r="J3" s="987" t="s">
        <v>669</v>
      </c>
      <c r="K3" s="987" t="s">
        <v>670</v>
      </c>
      <c r="L3" s="987" t="s">
        <v>669</v>
      </c>
      <c r="M3" s="987" t="s">
        <v>670</v>
      </c>
      <c r="N3" s="987" t="s">
        <v>209</v>
      </c>
      <c r="O3" s="987" t="s">
        <v>210</v>
      </c>
      <c r="P3" s="1853"/>
    </row>
    <row r="4" spans="1:25" ht="30" customHeight="1">
      <c r="A4" s="1883" t="s">
        <v>211</v>
      </c>
      <c r="B4" s="1884"/>
      <c r="C4" s="988" t="s">
        <v>803</v>
      </c>
      <c r="D4" s="989">
        <f>'관연결부 고무커넥터수량'!D6</f>
        <v>9</v>
      </c>
      <c r="E4" s="988"/>
      <c r="F4" s="989">
        <f>맨홀유출입수량!C178</f>
        <v>1</v>
      </c>
      <c r="G4" s="989">
        <f>맨홀유출입수량!D178</f>
        <v>10</v>
      </c>
      <c r="H4" s="989">
        <f>맨홀유출입수량!E178</f>
        <v>13</v>
      </c>
      <c r="I4" s="989">
        <f>맨홀유출입수량!F178</f>
        <v>25</v>
      </c>
      <c r="J4" s="989">
        <f>맨홀유출입수량!G178</f>
        <v>0</v>
      </c>
      <c r="K4" s="989">
        <f>맨홀유출입수량!H178</f>
        <v>0</v>
      </c>
      <c r="L4" s="989">
        <f>맨홀유출입수량!I178</f>
        <v>0</v>
      </c>
      <c r="M4" s="989">
        <f>맨홀유출입수량!J178</f>
        <v>0</v>
      </c>
      <c r="N4" s="989">
        <f>맨홀유출입수량!K178</f>
        <v>0</v>
      </c>
      <c r="O4" s="989">
        <f>맨홀유출입수량!L178</f>
        <v>0</v>
      </c>
      <c r="P4" s="990">
        <f>SUM(F4:O4)</f>
        <v>49</v>
      </c>
      <c r="Q4" s="991">
        <f>맨홀유출입수량!N178</f>
        <v>49</v>
      </c>
      <c r="R4" s="991"/>
    </row>
    <row r="5" spans="1:25" ht="30" customHeight="1">
      <c r="A5" s="1883"/>
      <c r="B5" s="1884"/>
      <c r="C5" s="988" t="s">
        <v>804</v>
      </c>
      <c r="D5" s="989">
        <f>'관연결부 고무커넥터수량'!D5</f>
        <v>5</v>
      </c>
      <c r="E5" s="988"/>
      <c r="F5" s="989">
        <f>맨홀유출입수량!C179</f>
        <v>5</v>
      </c>
      <c r="G5" s="989">
        <f>맨홀유출입수량!D179</f>
        <v>8</v>
      </c>
      <c r="H5" s="989">
        <f>맨홀유출입수량!E179</f>
        <v>59</v>
      </c>
      <c r="I5" s="989">
        <f>맨홀유출입수량!F179</f>
        <v>65</v>
      </c>
      <c r="J5" s="989">
        <f>맨홀유출입수량!G179</f>
        <v>1</v>
      </c>
      <c r="K5" s="989">
        <f>맨홀유출입수량!H179</f>
        <v>1</v>
      </c>
      <c r="L5" s="989">
        <f>맨홀유출입수량!I179</f>
        <v>0</v>
      </c>
      <c r="M5" s="989">
        <f>맨홀유출입수량!J179</f>
        <v>0</v>
      </c>
      <c r="N5" s="989">
        <f>맨홀유출입수량!K179</f>
        <v>0</v>
      </c>
      <c r="O5" s="989">
        <f>맨홀유출입수량!L179</f>
        <v>0</v>
      </c>
      <c r="P5" s="990">
        <f>SUM(F5:O5)</f>
        <v>139</v>
      </c>
      <c r="Q5" s="991">
        <f>맨홀유출입수량!N179</f>
        <v>139</v>
      </c>
      <c r="R5" s="991"/>
    </row>
    <row r="6" spans="1:25" ht="30" customHeight="1">
      <c r="A6" s="1859" t="s">
        <v>1054</v>
      </c>
      <c r="B6" s="1860"/>
      <c r="C6" s="1860"/>
      <c r="D6" s="992">
        <f>SUM(D4:D5)</f>
        <v>14</v>
      </c>
      <c r="E6" s="993"/>
      <c r="F6" s="992">
        <f>SUM(F4:F5)</f>
        <v>6</v>
      </c>
      <c r="G6" s="992">
        <f t="shared" ref="G6:P6" si="0">SUM(G4:G5)</f>
        <v>18</v>
      </c>
      <c r="H6" s="992">
        <f t="shared" si="0"/>
        <v>72</v>
      </c>
      <c r="I6" s="992">
        <f t="shared" si="0"/>
        <v>90</v>
      </c>
      <c r="J6" s="992">
        <f t="shared" si="0"/>
        <v>1</v>
      </c>
      <c r="K6" s="992">
        <f t="shared" si="0"/>
        <v>1</v>
      </c>
      <c r="L6" s="992">
        <f t="shared" si="0"/>
        <v>0</v>
      </c>
      <c r="M6" s="992">
        <f t="shared" si="0"/>
        <v>0</v>
      </c>
      <c r="N6" s="992">
        <f t="shared" si="0"/>
        <v>0</v>
      </c>
      <c r="O6" s="992">
        <f t="shared" si="0"/>
        <v>0</v>
      </c>
      <c r="P6" s="992">
        <f t="shared" si="0"/>
        <v>188</v>
      </c>
      <c r="Q6" s="991"/>
      <c r="R6" s="991"/>
    </row>
    <row r="7" spans="1:25" ht="30" customHeight="1">
      <c r="A7" s="1883" t="s">
        <v>881</v>
      </c>
      <c r="B7" s="1884"/>
      <c r="C7" s="988" t="s">
        <v>803</v>
      </c>
      <c r="D7" s="989">
        <f>'관연결부 고무커넥터수량'!D9</f>
        <v>36</v>
      </c>
      <c r="E7" s="988"/>
      <c r="F7" s="989">
        <f>맨홀유출입수량!C302</f>
        <v>34</v>
      </c>
      <c r="G7" s="989">
        <f>맨홀유출입수량!D302</f>
        <v>24</v>
      </c>
      <c r="H7" s="989">
        <f>맨홀유출입수량!E302</f>
        <v>27</v>
      </c>
      <c r="I7" s="989">
        <f>맨홀유출입수량!F302</f>
        <v>22</v>
      </c>
      <c r="J7" s="989">
        <f>맨홀유출입수량!G302</f>
        <v>0</v>
      </c>
      <c r="K7" s="989">
        <f>맨홀유출입수량!H302</f>
        <v>0</v>
      </c>
      <c r="L7" s="989">
        <f>맨홀유출입수량!I302</f>
        <v>0</v>
      </c>
      <c r="M7" s="989">
        <f>맨홀유출입수량!J302</f>
        <v>0</v>
      </c>
      <c r="N7" s="989">
        <f>맨홀유출입수량!K302</f>
        <v>0</v>
      </c>
      <c r="O7" s="989">
        <f>맨홀유출입수량!L302</f>
        <v>0</v>
      </c>
      <c r="P7" s="990">
        <f>SUM(F7:O7)</f>
        <v>107</v>
      </c>
      <c r="Q7" s="991">
        <f>맨홀유출입수량!N302</f>
        <v>107</v>
      </c>
      <c r="R7" s="991"/>
    </row>
    <row r="8" spans="1:25" ht="30" customHeight="1">
      <c r="A8" s="1883"/>
      <c r="B8" s="1884"/>
      <c r="C8" s="988" t="s">
        <v>804</v>
      </c>
      <c r="D8" s="989">
        <f>'관연결부 고무커넥터수량'!D8</f>
        <v>27</v>
      </c>
      <c r="E8" s="988"/>
      <c r="F8" s="989">
        <f>맨홀유출입수량!C303</f>
        <v>11</v>
      </c>
      <c r="G8" s="989">
        <f>맨홀유출입수량!D303</f>
        <v>10</v>
      </c>
      <c r="H8" s="989">
        <f>맨홀유출입수량!E303</f>
        <v>31</v>
      </c>
      <c r="I8" s="989">
        <f>맨홀유출입수량!F303</f>
        <v>27</v>
      </c>
      <c r="J8" s="989">
        <f>맨홀유출입수량!G303</f>
        <v>0</v>
      </c>
      <c r="K8" s="989">
        <f>맨홀유출입수량!H303</f>
        <v>1</v>
      </c>
      <c r="L8" s="989">
        <f>맨홀유출입수량!I303</f>
        <v>0</v>
      </c>
      <c r="M8" s="989">
        <f>맨홀유출입수량!J303</f>
        <v>0</v>
      </c>
      <c r="N8" s="989">
        <f>맨홀유출입수량!K303</f>
        <v>0</v>
      </c>
      <c r="O8" s="989">
        <f>맨홀유출입수량!L303</f>
        <v>0</v>
      </c>
      <c r="P8" s="990">
        <f>SUM(F8:O8)</f>
        <v>80</v>
      </c>
      <c r="Q8" s="991">
        <f>맨홀유출입수량!N303</f>
        <v>80</v>
      </c>
      <c r="R8" s="991"/>
    </row>
    <row r="9" spans="1:25" ht="30" customHeight="1">
      <c r="A9" s="1859" t="s">
        <v>1054</v>
      </c>
      <c r="B9" s="1860"/>
      <c r="C9" s="1860"/>
      <c r="D9" s="992">
        <f t="shared" ref="D9:P9" si="1">SUM(D7:D8)</f>
        <v>63</v>
      </c>
      <c r="E9" s="993"/>
      <c r="F9" s="992">
        <f t="shared" si="1"/>
        <v>45</v>
      </c>
      <c r="G9" s="992">
        <f t="shared" si="1"/>
        <v>34</v>
      </c>
      <c r="H9" s="992">
        <f t="shared" si="1"/>
        <v>58</v>
      </c>
      <c r="I9" s="992">
        <f t="shared" si="1"/>
        <v>49</v>
      </c>
      <c r="J9" s="992">
        <f t="shared" si="1"/>
        <v>0</v>
      </c>
      <c r="K9" s="992">
        <f t="shared" si="1"/>
        <v>1</v>
      </c>
      <c r="L9" s="992">
        <f t="shared" si="1"/>
        <v>0</v>
      </c>
      <c r="M9" s="992">
        <f t="shared" si="1"/>
        <v>0</v>
      </c>
      <c r="N9" s="992">
        <f t="shared" si="1"/>
        <v>0</v>
      </c>
      <c r="O9" s="992">
        <f t="shared" si="1"/>
        <v>0</v>
      </c>
      <c r="P9" s="992">
        <f t="shared" si="1"/>
        <v>187</v>
      </c>
      <c r="Q9" s="991"/>
      <c r="R9" s="991"/>
    </row>
    <row r="10" spans="1:25" ht="30" customHeight="1">
      <c r="A10" s="1859" t="s">
        <v>1055</v>
      </c>
      <c r="B10" s="1860"/>
      <c r="C10" s="1860"/>
      <c r="D10" s="992">
        <f>D6+D9</f>
        <v>77</v>
      </c>
      <c r="E10" s="993"/>
      <c r="F10" s="992">
        <f>F6+F9</f>
        <v>51</v>
      </c>
      <c r="G10" s="992">
        <f t="shared" ref="G10:P10" si="2">G6+G9</f>
        <v>52</v>
      </c>
      <c r="H10" s="992">
        <f t="shared" si="2"/>
        <v>130</v>
      </c>
      <c r="I10" s="992">
        <f t="shared" si="2"/>
        <v>139</v>
      </c>
      <c r="J10" s="992">
        <f t="shared" si="2"/>
        <v>1</v>
      </c>
      <c r="K10" s="992">
        <f t="shared" si="2"/>
        <v>2</v>
      </c>
      <c r="L10" s="992">
        <f t="shared" si="2"/>
        <v>0</v>
      </c>
      <c r="M10" s="992">
        <f t="shared" si="2"/>
        <v>0</v>
      </c>
      <c r="N10" s="992">
        <f t="shared" si="2"/>
        <v>0</v>
      </c>
      <c r="O10" s="992">
        <f t="shared" si="2"/>
        <v>0</v>
      </c>
      <c r="P10" s="992">
        <f t="shared" si="2"/>
        <v>375</v>
      </c>
      <c r="Q10" s="991"/>
      <c r="R10" s="991"/>
    </row>
    <row r="11" spans="1:25" ht="35.1" customHeight="1">
      <c r="A11" s="994" t="s">
        <v>446</v>
      </c>
      <c r="B11" s="994"/>
      <c r="C11" s="994"/>
      <c r="D11" s="994"/>
      <c r="E11" s="994"/>
      <c r="F11" s="994"/>
      <c r="G11" s="994"/>
      <c r="H11" s="994"/>
      <c r="I11" s="994"/>
      <c r="J11" s="994"/>
      <c r="K11" s="994"/>
      <c r="L11" s="994"/>
      <c r="M11" s="994"/>
      <c r="N11" s="994"/>
      <c r="O11" s="994"/>
      <c r="P11" s="994"/>
    </row>
    <row r="12" spans="1:25" ht="35.1" customHeight="1">
      <c r="A12" s="995"/>
      <c r="B12" s="995"/>
      <c r="C12" s="995"/>
      <c r="D12" s="995"/>
      <c r="E12" s="995"/>
      <c r="F12" s="995"/>
      <c r="G12" s="995"/>
      <c r="H12" s="995"/>
      <c r="I12" s="995"/>
      <c r="J12" s="995"/>
      <c r="K12" s="995"/>
      <c r="L12" s="995"/>
      <c r="M12" s="995"/>
      <c r="N12" s="995"/>
      <c r="O12" s="995"/>
      <c r="P12" s="995"/>
    </row>
    <row r="13" spans="1:25" s="985" customFormat="1" ht="50.1" customHeight="1">
      <c r="A13" s="1879" t="s">
        <v>293</v>
      </c>
      <c r="B13" s="1879"/>
      <c r="C13" s="1879"/>
      <c r="D13" s="1879"/>
      <c r="E13" s="1879"/>
      <c r="F13" s="1879"/>
      <c r="G13" s="1879"/>
      <c r="H13" s="1879"/>
      <c r="I13" s="1879"/>
      <c r="J13" s="1879"/>
      <c r="K13" s="1879"/>
      <c r="L13" s="1879"/>
      <c r="M13" s="1879"/>
      <c r="N13" s="1879"/>
      <c r="O13" s="1879"/>
      <c r="P13" s="1879"/>
    </row>
    <row r="14" spans="1:25" s="986" customFormat="1" ht="30" customHeight="1">
      <c r="A14" s="1865" t="s">
        <v>292</v>
      </c>
      <c r="B14" s="1849"/>
      <c r="C14" s="1827" t="s">
        <v>668</v>
      </c>
      <c r="D14" s="1865" t="s">
        <v>1379</v>
      </c>
      <c r="E14" s="1852"/>
      <c r="F14" s="1829" t="s">
        <v>26</v>
      </c>
      <c r="G14" s="1849"/>
      <c r="H14" s="1849" t="s">
        <v>27</v>
      </c>
      <c r="I14" s="1849"/>
      <c r="J14" s="1849" t="s">
        <v>28</v>
      </c>
      <c r="K14" s="1849"/>
      <c r="L14" s="1849" t="s">
        <v>951</v>
      </c>
      <c r="M14" s="1849"/>
      <c r="N14" s="1849" t="s">
        <v>1001</v>
      </c>
      <c r="O14" s="1849"/>
      <c r="P14" s="1852" t="s">
        <v>447</v>
      </c>
      <c r="R14" s="797"/>
    </row>
    <row r="15" spans="1:25" s="986" customFormat="1" ht="30" customHeight="1">
      <c r="A15" s="1866"/>
      <c r="B15" s="1867"/>
      <c r="C15" s="1885"/>
      <c r="D15" s="996" t="s">
        <v>209</v>
      </c>
      <c r="E15" s="997" t="s">
        <v>210</v>
      </c>
      <c r="F15" s="998" t="s">
        <v>209</v>
      </c>
      <c r="G15" s="987" t="s">
        <v>210</v>
      </c>
      <c r="H15" s="987" t="s">
        <v>669</v>
      </c>
      <c r="I15" s="987" t="s">
        <v>670</v>
      </c>
      <c r="J15" s="987" t="s">
        <v>669</v>
      </c>
      <c r="K15" s="987" t="s">
        <v>670</v>
      </c>
      <c r="L15" s="987" t="s">
        <v>669</v>
      </c>
      <c r="M15" s="987" t="s">
        <v>670</v>
      </c>
      <c r="N15" s="987" t="s">
        <v>209</v>
      </c>
      <c r="O15" s="987" t="s">
        <v>210</v>
      </c>
      <c r="P15" s="1853"/>
      <c r="Q15" s="797"/>
      <c r="R15" s="797"/>
      <c r="S15" s="999"/>
      <c r="T15" s="1000"/>
    </row>
    <row r="16" spans="1:25" s="986" customFormat="1" ht="30" customHeight="1">
      <c r="A16" s="1836" t="s">
        <v>211</v>
      </c>
      <c r="B16" s="1837"/>
      <c r="C16" s="1842" t="s">
        <v>803</v>
      </c>
      <c r="D16" s="1001">
        <f>K44</f>
        <v>4.0499999999999998E-3</v>
      </c>
      <c r="E16" s="1002">
        <f>D16</f>
        <v>4.0499999999999998E-3</v>
      </c>
      <c r="F16" s="1003">
        <f>K45</f>
        <v>5.4299999999999999E-3</v>
      </c>
      <c r="G16" s="1004">
        <f>F16</f>
        <v>5.4299999999999999E-3</v>
      </c>
      <c r="H16" s="1004">
        <f>K46</f>
        <v>8.2400000000000008E-3</v>
      </c>
      <c r="I16" s="1004">
        <f>H16</f>
        <v>8.2400000000000008E-3</v>
      </c>
      <c r="J16" s="1004">
        <f>K47</f>
        <v>1.081E-2</v>
      </c>
      <c r="K16" s="1004">
        <f>J16</f>
        <v>1.081E-2</v>
      </c>
      <c r="L16" s="1004">
        <f>K48</f>
        <v>1.342E-2</v>
      </c>
      <c r="M16" s="1004">
        <f>L16</f>
        <v>1.342E-2</v>
      </c>
      <c r="N16" s="1004">
        <f>K49</f>
        <v>1.609E-2</v>
      </c>
      <c r="O16" s="1004">
        <f>N16</f>
        <v>1.609E-2</v>
      </c>
      <c r="P16" s="1005" t="s">
        <v>1061</v>
      </c>
      <c r="Q16" s="797"/>
      <c r="R16" s="797"/>
      <c r="S16" s="999"/>
      <c r="T16" s="1000"/>
    </row>
    <row r="17" spans="1:20" s="986" customFormat="1" ht="30" customHeight="1">
      <c r="A17" s="1838"/>
      <c r="B17" s="1839"/>
      <c r="C17" s="1843"/>
      <c r="D17" s="1006">
        <f>D4*D16</f>
        <v>3.6449999999999996E-2</v>
      </c>
      <c r="E17" s="1007"/>
      <c r="F17" s="1008">
        <f>F4*F16</f>
        <v>5.4299999999999999E-3</v>
      </c>
      <c r="G17" s="1009">
        <f>G4*G16</f>
        <v>5.4300000000000001E-2</v>
      </c>
      <c r="H17" s="1009">
        <f t="shared" ref="H17:O17" si="3">H4*H16</f>
        <v>0.10712000000000001</v>
      </c>
      <c r="I17" s="1009">
        <f t="shared" si="3"/>
        <v>0.20600000000000002</v>
      </c>
      <c r="J17" s="1009">
        <f t="shared" si="3"/>
        <v>0</v>
      </c>
      <c r="K17" s="1009">
        <f t="shared" si="3"/>
        <v>0</v>
      </c>
      <c r="L17" s="1009">
        <f t="shared" si="3"/>
        <v>0</v>
      </c>
      <c r="M17" s="1009">
        <f t="shared" si="3"/>
        <v>0</v>
      </c>
      <c r="N17" s="1009">
        <f t="shared" si="3"/>
        <v>0</v>
      </c>
      <c r="O17" s="1009">
        <f t="shared" si="3"/>
        <v>0</v>
      </c>
      <c r="P17" s="1005">
        <f>SUM(D17:O17)</f>
        <v>0.4093</v>
      </c>
      <c r="Q17" s="797"/>
      <c r="R17" s="797"/>
      <c r="S17" s="999"/>
      <c r="T17" s="1000"/>
    </row>
    <row r="18" spans="1:20" s="986" customFormat="1" ht="30" customHeight="1">
      <c r="A18" s="1838"/>
      <c r="B18" s="1839"/>
      <c r="C18" s="1842" t="s">
        <v>804</v>
      </c>
      <c r="D18" s="1001">
        <f>K44</f>
        <v>4.0499999999999998E-3</v>
      </c>
      <c r="E18" s="1002">
        <f>D18</f>
        <v>4.0499999999999998E-3</v>
      </c>
      <c r="F18" s="1003">
        <f>F16</f>
        <v>5.4299999999999999E-3</v>
      </c>
      <c r="G18" s="1004">
        <f t="shared" ref="G18:O18" si="4">G16</f>
        <v>5.4299999999999999E-3</v>
      </c>
      <c r="H18" s="1004">
        <f t="shared" si="4"/>
        <v>8.2400000000000008E-3</v>
      </c>
      <c r="I18" s="1004">
        <f t="shared" si="4"/>
        <v>8.2400000000000008E-3</v>
      </c>
      <c r="J18" s="1004">
        <f t="shared" si="4"/>
        <v>1.081E-2</v>
      </c>
      <c r="K18" s="1004">
        <f t="shared" si="4"/>
        <v>1.081E-2</v>
      </c>
      <c r="L18" s="1004">
        <f t="shared" si="4"/>
        <v>1.342E-2</v>
      </c>
      <c r="M18" s="1004">
        <f t="shared" si="4"/>
        <v>1.342E-2</v>
      </c>
      <c r="N18" s="1004">
        <f t="shared" si="4"/>
        <v>1.609E-2</v>
      </c>
      <c r="O18" s="1004">
        <f t="shared" si="4"/>
        <v>1.609E-2</v>
      </c>
      <c r="P18" s="1005" t="s">
        <v>1062</v>
      </c>
      <c r="R18" s="797"/>
    </row>
    <row r="19" spans="1:20" s="986" customFormat="1" ht="30" customHeight="1">
      <c r="A19" s="1840"/>
      <c r="B19" s="1841"/>
      <c r="C19" s="1843"/>
      <c r="D19" s="1006">
        <f>D5*D18</f>
        <v>2.0249999999999997E-2</v>
      </c>
      <c r="E19" s="1007"/>
      <c r="F19" s="1008">
        <f>F5*F18</f>
        <v>2.7150000000000001E-2</v>
      </c>
      <c r="G19" s="1009">
        <f t="shared" ref="G19:O19" si="5">G5*G18</f>
        <v>4.3439999999999999E-2</v>
      </c>
      <c r="H19" s="1009">
        <f t="shared" si="5"/>
        <v>0.48616000000000004</v>
      </c>
      <c r="I19" s="1009">
        <f t="shared" si="5"/>
        <v>0.53560000000000008</v>
      </c>
      <c r="J19" s="1009">
        <f t="shared" si="5"/>
        <v>1.081E-2</v>
      </c>
      <c r="K19" s="1009">
        <f t="shared" si="5"/>
        <v>1.081E-2</v>
      </c>
      <c r="L19" s="1009">
        <f t="shared" si="5"/>
        <v>0</v>
      </c>
      <c r="M19" s="1009">
        <f t="shared" si="5"/>
        <v>0</v>
      </c>
      <c r="N19" s="1009">
        <f t="shared" si="5"/>
        <v>0</v>
      </c>
      <c r="O19" s="1009">
        <f t="shared" si="5"/>
        <v>0</v>
      </c>
      <c r="P19" s="1005">
        <f>SUM(D19:O19)</f>
        <v>1.13422</v>
      </c>
      <c r="R19" s="797"/>
    </row>
    <row r="20" spans="1:20" s="986" customFormat="1" ht="30" customHeight="1">
      <c r="A20" s="1836" t="s">
        <v>882</v>
      </c>
      <c r="B20" s="1837"/>
      <c r="C20" s="1842" t="s">
        <v>803</v>
      </c>
      <c r="D20" s="1001">
        <f>K44</f>
        <v>4.0499999999999998E-3</v>
      </c>
      <c r="E20" s="1002">
        <f>D16</f>
        <v>4.0499999999999998E-3</v>
      </c>
      <c r="F20" s="1003">
        <f>F18</f>
        <v>5.4299999999999999E-3</v>
      </c>
      <c r="G20" s="1004">
        <f t="shared" ref="G20:O20" si="6">G18</f>
        <v>5.4299999999999999E-3</v>
      </c>
      <c r="H20" s="1004">
        <f t="shared" si="6"/>
        <v>8.2400000000000008E-3</v>
      </c>
      <c r="I20" s="1004">
        <f t="shared" si="6"/>
        <v>8.2400000000000008E-3</v>
      </c>
      <c r="J20" s="1004">
        <f t="shared" si="6"/>
        <v>1.081E-2</v>
      </c>
      <c r="K20" s="1004">
        <f t="shared" si="6"/>
        <v>1.081E-2</v>
      </c>
      <c r="L20" s="1004">
        <f t="shared" si="6"/>
        <v>1.342E-2</v>
      </c>
      <c r="M20" s="1004">
        <f t="shared" si="6"/>
        <v>1.342E-2</v>
      </c>
      <c r="N20" s="1004">
        <f t="shared" si="6"/>
        <v>1.609E-2</v>
      </c>
      <c r="O20" s="1004">
        <f t="shared" si="6"/>
        <v>1.609E-2</v>
      </c>
      <c r="P20" s="1005" t="s">
        <v>1062</v>
      </c>
      <c r="Q20" s="797"/>
      <c r="R20" s="797"/>
      <c r="S20" s="999"/>
      <c r="T20" s="1000"/>
    </row>
    <row r="21" spans="1:20" s="986" customFormat="1" ht="30" customHeight="1">
      <c r="A21" s="1838"/>
      <c r="B21" s="1839"/>
      <c r="C21" s="1843"/>
      <c r="D21" s="1006">
        <f>D7*D20</f>
        <v>0.14579999999999999</v>
      </c>
      <c r="E21" s="1007"/>
      <c r="F21" s="1008">
        <f>F7*F20</f>
        <v>0.18462000000000001</v>
      </c>
      <c r="G21" s="1009">
        <f t="shared" ref="G21:O21" si="7">G7*G20</f>
        <v>0.13031999999999999</v>
      </c>
      <c r="H21" s="1009">
        <f t="shared" si="7"/>
        <v>0.22248000000000001</v>
      </c>
      <c r="I21" s="1009">
        <f t="shared" si="7"/>
        <v>0.18128000000000002</v>
      </c>
      <c r="J21" s="1009">
        <f t="shared" si="7"/>
        <v>0</v>
      </c>
      <c r="K21" s="1009">
        <f t="shared" si="7"/>
        <v>0</v>
      </c>
      <c r="L21" s="1009">
        <f t="shared" si="7"/>
        <v>0</v>
      </c>
      <c r="M21" s="1009">
        <f t="shared" si="7"/>
        <v>0</v>
      </c>
      <c r="N21" s="1009">
        <f t="shared" si="7"/>
        <v>0</v>
      </c>
      <c r="O21" s="1009">
        <f t="shared" si="7"/>
        <v>0</v>
      </c>
      <c r="P21" s="1005">
        <f>SUM(D21:O21)</f>
        <v>0.86449999999999994</v>
      </c>
      <c r="Q21" s="797"/>
      <c r="R21" s="797"/>
      <c r="S21" s="999"/>
      <c r="T21" s="1000"/>
    </row>
    <row r="22" spans="1:20" s="986" customFormat="1" ht="30" customHeight="1">
      <c r="A22" s="1838"/>
      <c r="B22" s="1839"/>
      <c r="C22" s="1842" t="s">
        <v>804</v>
      </c>
      <c r="D22" s="1001">
        <f>K44</f>
        <v>4.0499999999999998E-3</v>
      </c>
      <c r="E22" s="1002">
        <f>D16</f>
        <v>4.0499999999999998E-3</v>
      </c>
      <c r="F22" s="1003">
        <f>F20</f>
        <v>5.4299999999999999E-3</v>
      </c>
      <c r="G22" s="1004">
        <f t="shared" ref="G22:O22" si="8">G20</f>
        <v>5.4299999999999999E-3</v>
      </c>
      <c r="H22" s="1004">
        <f t="shared" si="8"/>
        <v>8.2400000000000008E-3</v>
      </c>
      <c r="I22" s="1004">
        <f t="shared" si="8"/>
        <v>8.2400000000000008E-3</v>
      </c>
      <c r="J22" s="1004">
        <f t="shared" si="8"/>
        <v>1.081E-2</v>
      </c>
      <c r="K22" s="1004">
        <f t="shared" si="8"/>
        <v>1.081E-2</v>
      </c>
      <c r="L22" s="1004">
        <f t="shared" si="8"/>
        <v>1.342E-2</v>
      </c>
      <c r="M22" s="1004">
        <f t="shared" si="8"/>
        <v>1.342E-2</v>
      </c>
      <c r="N22" s="1004">
        <f t="shared" si="8"/>
        <v>1.609E-2</v>
      </c>
      <c r="O22" s="1004">
        <f t="shared" si="8"/>
        <v>1.609E-2</v>
      </c>
      <c r="P22" s="1005" t="s">
        <v>1062</v>
      </c>
      <c r="R22" s="797"/>
    </row>
    <row r="23" spans="1:20" s="986" customFormat="1" ht="30" customHeight="1">
      <c r="A23" s="1840"/>
      <c r="B23" s="1841"/>
      <c r="C23" s="1843"/>
      <c r="D23" s="1006">
        <f>D8*D22</f>
        <v>0.10934999999999999</v>
      </c>
      <c r="E23" s="1010"/>
      <c r="F23" s="1011">
        <f>F8*F22</f>
        <v>5.9729999999999998E-2</v>
      </c>
      <c r="G23" s="1012">
        <f t="shared" ref="G23:O23" si="9">G8*G22</f>
        <v>5.4300000000000001E-2</v>
      </c>
      <c r="H23" s="1012">
        <f t="shared" si="9"/>
        <v>0.25544</v>
      </c>
      <c r="I23" s="1012">
        <f t="shared" si="9"/>
        <v>0.22248000000000001</v>
      </c>
      <c r="J23" s="1012">
        <f t="shared" si="9"/>
        <v>0</v>
      </c>
      <c r="K23" s="1012">
        <f t="shared" si="9"/>
        <v>1.081E-2</v>
      </c>
      <c r="L23" s="1012">
        <f t="shared" si="9"/>
        <v>0</v>
      </c>
      <c r="M23" s="1012">
        <f t="shared" si="9"/>
        <v>0</v>
      </c>
      <c r="N23" s="1012">
        <f t="shared" si="9"/>
        <v>0</v>
      </c>
      <c r="O23" s="1012">
        <f t="shared" si="9"/>
        <v>0</v>
      </c>
      <c r="P23" s="1005">
        <f>SUM(D23:O23)</f>
        <v>0.71211000000000002</v>
      </c>
      <c r="R23" s="797"/>
    </row>
    <row r="24" spans="1:20" s="1018" customFormat="1" ht="30" customHeight="1">
      <c r="A24" s="1859" t="s">
        <v>30</v>
      </c>
      <c r="B24" s="1860"/>
      <c r="C24" s="1861"/>
      <c r="D24" s="1013">
        <f>D17+D19+D21+D23</f>
        <v>0.31184999999999996</v>
      </c>
      <c r="E24" s="1014">
        <f>E17+E19+E21+E23</f>
        <v>0</v>
      </c>
      <c r="F24" s="1015">
        <f>F17+F19+F21+F23</f>
        <v>0.27693000000000001</v>
      </c>
      <c r="G24" s="1016">
        <f t="shared" ref="G24:O24" si="10">G17+G19+G21+G23</f>
        <v>0.28236</v>
      </c>
      <c r="H24" s="1016">
        <f t="shared" si="10"/>
        <v>1.0712000000000002</v>
      </c>
      <c r="I24" s="1016">
        <f t="shared" si="10"/>
        <v>1.1453600000000002</v>
      </c>
      <c r="J24" s="1016">
        <f t="shared" si="10"/>
        <v>1.081E-2</v>
      </c>
      <c r="K24" s="1016">
        <f t="shared" si="10"/>
        <v>2.162E-2</v>
      </c>
      <c r="L24" s="1016">
        <f t="shared" si="10"/>
        <v>0</v>
      </c>
      <c r="M24" s="1016">
        <f t="shared" si="10"/>
        <v>0</v>
      </c>
      <c r="N24" s="1016">
        <f t="shared" si="10"/>
        <v>0</v>
      </c>
      <c r="O24" s="1016">
        <f t="shared" si="10"/>
        <v>0</v>
      </c>
      <c r="P24" s="1014">
        <f>SUM(P16:P23)</f>
        <v>3.1201300000000001</v>
      </c>
      <c r="Q24" s="1017"/>
      <c r="R24" s="1014">
        <f>SUM(F24:O24)</f>
        <v>2.8082800000000003</v>
      </c>
    </row>
    <row r="25" spans="1:20" s="1018" customFormat="1" ht="35.1" customHeight="1">
      <c r="A25" s="1019"/>
      <c r="B25" s="1019"/>
      <c r="C25" s="1019"/>
      <c r="D25" s="1019"/>
      <c r="E25" s="1019"/>
      <c r="F25" s="1019"/>
      <c r="G25" s="1019"/>
      <c r="H25" s="1020"/>
      <c r="I25" s="1020"/>
      <c r="J25" s="1020"/>
      <c r="K25" s="1020"/>
      <c r="L25" s="1020"/>
      <c r="M25" s="1020"/>
      <c r="N25" s="1020"/>
      <c r="O25" s="1020"/>
      <c r="P25" s="1020"/>
      <c r="Q25" s="1021"/>
      <c r="R25" s="1022"/>
    </row>
    <row r="26" spans="1:20" ht="18" customHeight="1">
      <c r="A26" s="995"/>
      <c r="B26" s="995"/>
      <c r="C26" s="995"/>
      <c r="D26" s="995"/>
      <c r="E26" s="995"/>
      <c r="F26" s="995"/>
      <c r="G26" s="995"/>
      <c r="H26" s="995"/>
      <c r="I26" s="995"/>
      <c r="J26" s="995"/>
      <c r="K26" s="995"/>
      <c r="L26" s="995"/>
      <c r="M26" s="995"/>
      <c r="N26" s="995"/>
      <c r="O26" s="995"/>
      <c r="P26" s="995"/>
      <c r="Q26" s="995"/>
    </row>
    <row r="27" spans="1:20" ht="50.1" customHeight="1">
      <c r="A27" s="1880" t="s">
        <v>640</v>
      </c>
      <c r="B27" s="1880"/>
      <c r="C27" s="1880"/>
      <c r="D27" s="1880"/>
      <c r="E27" s="1880"/>
      <c r="F27" s="1880"/>
      <c r="G27" s="1880"/>
      <c r="H27" s="1880"/>
      <c r="I27" s="1880"/>
      <c r="J27" s="1880"/>
      <c r="K27" s="1880"/>
      <c r="L27" s="1880"/>
      <c r="M27" s="1880"/>
      <c r="N27" s="1880"/>
      <c r="O27" s="1880"/>
      <c r="P27" s="1880"/>
      <c r="Q27" s="983"/>
      <c r="R27" s="983"/>
      <c r="S27" s="1023"/>
    </row>
    <row r="28" spans="1:20" ht="35.1" customHeight="1">
      <c r="A28" s="1024"/>
      <c r="B28" s="1025"/>
      <c r="C28" s="1025"/>
      <c r="D28" s="1025"/>
      <c r="E28" s="1025"/>
      <c r="F28" s="1025"/>
      <c r="G28" s="1025"/>
      <c r="H28" s="1025"/>
      <c r="I28" s="1025"/>
      <c r="J28" s="1025"/>
      <c r="K28" s="1025"/>
      <c r="L28" s="1025"/>
      <c r="M28" s="1025"/>
      <c r="N28" s="1025"/>
      <c r="O28" s="1025"/>
      <c r="P28" s="1026"/>
      <c r="Q28" s="984"/>
      <c r="R28" s="984"/>
      <c r="S28" s="984"/>
    </row>
    <row r="29" spans="1:20" ht="35.1" customHeight="1">
      <c r="A29" s="1027"/>
      <c r="B29" s="984"/>
      <c r="C29" s="984"/>
      <c r="D29" s="984"/>
      <c r="E29" s="984"/>
      <c r="F29" s="984"/>
      <c r="G29" s="984"/>
      <c r="H29" s="984"/>
      <c r="I29" s="984"/>
      <c r="J29" s="984"/>
      <c r="K29" s="984"/>
      <c r="L29" s="984"/>
      <c r="M29" s="984"/>
      <c r="N29" s="984"/>
      <c r="O29" s="984"/>
      <c r="P29" s="1028"/>
      <c r="Q29" s="984"/>
      <c r="R29" s="984"/>
      <c r="S29" s="984"/>
    </row>
    <row r="30" spans="1:20" ht="35.1" customHeight="1">
      <c r="A30" s="1027"/>
      <c r="B30" s="984"/>
      <c r="C30" s="984"/>
      <c r="D30" s="984"/>
      <c r="E30" s="984"/>
      <c r="F30" s="984"/>
      <c r="G30" s="984"/>
      <c r="H30" s="984"/>
      <c r="I30" s="984"/>
      <c r="J30" s="984"/>
      <c r="K30" s="984"/>
      <c r="L30" s="984"/>
      <c r="M30" s="984"/>
      <c r="N30" s="984"/>
      <c r="O30" s="984"/>
      <c r="P30" s="1028"/>
      <c r="Q30" s="984"/>
      <c r="R30" s="984"/>
      <c r="S30" s="984"/>
    </row>
    <row r="31" spans="1:20" ht="35.1" customHeight="1">
      <c r="A31" s="1027"/>
      <c r="B31" s="984"/>
      <c r="C31" s="984"/>
      <c r="D31" s="984"/>
      <c r="E31" s="984"/>
      <c r="F31" s="984"/>
      <c r="G31" s="984"/>
      <c r="H31" s="984"/>
      <c r="I31" s="984"/>
      <c r="J31" s="984"/>
      <c r="K31" s="984"/>
      <c r="L31" s="984"/>
      <c r="M31" s="984"/>
      <c r="N31" s="984"/>
      <c r="O31" s="984"/>
      <c r="P31" s="1028"/>
      <c r="Q31" s="984"/>
      <c r="R31" s="984"/>
      <c r="S31" s="984"/>
    </row>
    <row r="32" spans="1:20" ht="35.1" customHeight="1">
      <c r="A32" s="1027"/>
      <c r="B32" s="984"/>
      <c r="C32" s="984"/>
      <c r="D32" s="984"/>
      <c r="E32" s="984"/>
      <c r="F32" s="984"/>
      <c r="G32" s="984"/>
      <c r="H32" s="984"/>
      <c r="I32" s="984"/>
      <c r="J32" s="984"/>
      <c r="K32" s="984"/>
      <c r="L32" s="984"/>
      <c r="M32" s="984"/>
      <c r="N32" s="984"/>
      <c r="O32" s="984"/>
      <c r="P32" s="1028"/>
      <c r="Q32" s="984"/>
      <c r="R32" s="984"/>
      <c r="S32" s="984"/>
    </row>
    <row r="33" spans="1:19" ht="35.1" customHeight="1">
      <c r="A33" s="1027"/>
      <c r="B33" s="984"/>
      <c r="C33" s="984"/>
      <c r="D33" s="984"/>
      <c r="E33" s="984"/>
      <c r="F33" s="984"/>
      <c r="G33" s="984"/>
      <c r="H33" s="984"/>
      <c r="I33" s="984"/>
      <c r="J33" s="984"/>
      <c r="K33" s="984"/>
      <c r="L33" s="984"/>
      <c r="M33" s="984"/>
      <c r="N33" s="984"/>
      <c r="O33" s="984"/>
      <c r="P33" s="1028"/>
      <c r="Q33" s="984"/>
      <c r="R33" s="984"/>
      <c r="S33" s="984"/>
    </row>
    <row r="34" spans="1:19" ht="35.1" customHeight="1">
      <c r="A34" s="1027"/>
      <c r="B34" s="984"/>
      <c r="C34" s="984"/>
      <c r="D34" s="984"/>
      <c r="E34" s="984"/>
      <c r="F34" s="984"/>
      <c r="G34" s="984"/>
      <c r="H34" s="984"/>
      <c r="I34" s="984"/>
      <c r="J34" s="984"/>
      <c r="K34" s="984"/>
      <c r="L34" s="984"/>
      <c r="M34" s="984"/>
      <c r="N34" s="984"/>
      <c r="O34" s="984"/>
      <c r="P34" s="1028"/>
      <c r="Q34" s="984"/>
      <c r="R34" s="984"/>
      <c r="S34" s="984"/>
    </row>
    <row r="35" spans="1:19" ht="35.1" customHeight="1">
      <c r="A35" s="1027"/>
      <c r="B35" s="984"/>
      <c r="C35" s="984"/>
      <c r="D35" s="984"/>
      <c r="E35" s="984"/>
      <c r="F35" s="984"/>
      <c r="G35" s="984"/>
      <c r="H35" s="984"/>
      <c r="I35" s="984"/>
      <c r="J35" s="984"/>
      <c r="K35" s="984"/>
      <c r="L35" s="984"/>
      <c r="M35" s="984"/>
      <c r="N35" s="984"/>
      <c r="O35" s="984"/>
      <c r="P35" s="1028"/>
      <c r="Q35" s="984"/>
      <c r="R35" s="984"/>
      <c r="S35" s="984"/>
    </row>
    <row r="36" spans="1:19" ht="35.1" customHeight="1">
      <c r="A36" s="1027"/>
      <c r="B36" s="984"/>
      <c r="C36" s="984"/>
      <c r="D36" s="984"/>
      <c r="E36" s="984"/>
      <c r="F36" s="984"/>
      <c r="G36" s="984"/>
      <c r="H36" s="984"/>
      <c r="I36" s="984"/>
      <c r="J36" s="984"/>
      <c r="K36" s="984"/>
      <c r="L36" s="984"/>
      <c r="M36" s="984"/>
      <c r="N36" s="984"/>
      <c r="O36" s="984"/>
      <c r="P36" s="1028"/>
      <c r="Q36" s="984"/>
      <c r="R36" s="984"/>
      <c r="S36" s="984"/>
    </row>
    <row r="37" spans="1:19" ht="35.1" customHeight="1">
      <c r="A37" s="1027"/>
      <c r="B37" s="984"/>
      <c r="C37" s="984"/>
      <c r="D37" s="984"/>
      <c r="E37" s="984"/>
      <c r="F37" s="984"/>
      <c r="G37" s="984"/>
      <c r="H37" s="984"/>
      <c r="I37" s="984"/>
      <c r="J37" s="984"/>
      <c r="K37" s="984"/>
      <c r="L37" s="984"/>
      <c r="M37" s="984"/>
      <c r="N37" s="984"/>
      <c r="O37" s="984"/>
      <c r="P37" s="1028"/>
      <c r="Q37" s="984"/>
      <c r="R37" s="984"/>
      <c r="S37" s="984"/>
    </row>
    <row r="38" spans="1:19" ht="35.1" customHeight="1">
      <c r="A38" s="1027"/>
      <c r="B38" s="984"/>
      <c r="C38" s="984"/>
      <c r="D38" s="984"/>
      <c r="E38" s="984"/>
      <c r="F38" s="984"/>
      <c r="G38" s="984"/>
      <c r="H38" s="984"/>
      <c r="I38" s="984"/>
      <c r="J38" s="984"/>
      <c r="K38" s="984"/>
      <c r="L38" s="984"/>
      <c r="M38" s="984"/>
      <c r="N38" s="984"/>
      <c r="O38" s="984"/>
      <c r="P38" s="1028"/>
      <c r="Q38" s="984"/>
      <c r="R38" s="984"/>
      <c r="S38" s="984"/>
    </row>
    <row r="39" spans="1:19" ht="35.1" customHeight="1">
      <c r="A39" s="1027"/>
      <c r="B39" s="984"/>
      <c r="C39" s="984"/>
      <c r="D39" s="984"/>
      <c r="E39" s="984"/>
      <c r="F39" s="984"/>
      <c r="G39" s="984"/>
      <c r="H39" s="984"/>
      <c r="I39" s="984"/>
      <c r="J39" s="984"/>
      <c r="K39" s="984"/>
      <c r="L39" s="984"/>
      <c r="M39" s="984"/>
      <c r="N39" s="984"/>
      <c r="O39" s="984"/>
      <c r="P39" s="1028"/>
      <c r="Q39" s="984"/>
      <c r="R39" s="984"/>
      <c r="S39" s="984"/>
    </row>
    <row r="40" spans="1:19" ht="35.1" customHeight="1">
      <c r="A40" s="1027"/>
      <c r="B40" s="984"/>
      <c r="C40" s="984"/>
      <c r="D40" s="984"/>
      <c r="E40" s="984"/>
      <c r="F40" s="984"/>
      <c r="G40" s="984"/>
      <c r="H40" s="984"/>
      <c r="I40" s="984"/>
      <c r="J40" s="984"/>
      <c r="K40" s="984"/>
      <c r="L40" s="984"/>
      <c r="M40" s="984"/>
      <c r="N40" s="984"/>
      <c r="O40" s="984"/>
      <c r="P40" s="1028"/>
      <c r="Q40" s="984"/>
      <c r="R40" s="984"/>
      <c r="S40" s="984"/>
    </row>
    <row r="41" spans="1:19" s="1033" customFormat="1" ht="35.1" customHeight="1">
      <c r="A41" s="1029" t="s">
        <v>298</v>
      </c>
      <c r="B41" s="1030"/>
      <c r="C41" s="1030"/>
      <c r="D41" s="1030"/>
      <c r="E41" s="1030"/>
      <c r="F41" s="1030"/>
      <c r="G41" s="1030"/>
      <c r="H41" s="1030"/>
      <c r="I41" s="1031"/>
      <c r="J41" s="1031"/>
      <c r="K41" s="1030"/>
      <c r="L41" s="1031"/>
      <c r="M41" s="1030"/>
      <c r="N41" s="1031"/>
      <c r="O41" s="1030"/>
      <c r="P41" s="1032"/>
      <c r="Q41" s="1030"/>
      <c r="R41" s="1030"/>
      <c r="S41" s="1030"/>
    </row>
    <row r="42" spans="1:19" s="1035" customFormat="1" ht="35.1" customHeight="1">
      <c r="A42" s="1881" t="s">
        <v>445</v>
      </c>
      <c r="B42" s="1879"/>
      <c r="C42" s="1879"/>
      <c r="D42" s="1879"/>
      <c r="E42" s="1879"/>
      <c r="F42" s="1879"/>
      <c r="G42" s="1879"/>
      <c r="H42" s="1879"/>
      <c r="I42" s="1879"/>
      <c r="J42" s="1879"/>
      <c r="K42" s="1879"/>
      <c r="L42" s="1879"/>
      <c r="M42" s="1879"/>
      <c r="N42" s="1879"/>
      <c r="O42" s="1879"/>
      <c r="P42" s="1882"/>
      <c r="Q42" s="983"/>
      <c r="R42" s="983"/>
      <c r="S42" s="1034"/>
    </row>
    <row r="43" spans="1:19" s="1033" customFormat="1" ht="35.1" customHeight="1">
      <c r="A43" s="1865" t="s">
        <v>297</v>
      </c>
      <c r="B43" s="1849"/>
      <c r="C43" s="1827" t="s">
        <v>296</v>
      </c>
      <c r="D43" s="1828"/>
      <c r="E43" s="1829"/>
      <c r="F43" s="1036" t="s">
        <v>295</v>
      </c>
      <c r="G43" s="1849" t="s">
        <v>294</v>
      </c>
      <c r="H43" s="1849"/>
      <c r="I43" s="1849"/>
      <c r="J43" s="1849"/>
      <c r="K43" s="1849" t="s">
        <v>291</v>
      </c>
      <c r="L43" s="1827"/>
      <c r="M43" s="1827"/>
      <c r="N43" s="1827"/>
      <c r="O43" s="1827"/>
      <c r="P43" s="1852"/>
      <c r="Q43" s="1037"/>
      <c r="R43" s="1037"/>
    </row>
    <row r="44" spans="1:19" s="1033" customFormat="1" ht="35.1" customHeight="1">
      <c r="A44" s="1850">
        <v>150</v>
      </c>
      <c r="B44" s="1851"/>
      <c r="C44" s="1830">
        <v>7</v>
      </c>
      <c r="D44" s="1831"/>
      <c r="E44" s="1832"/>
      <c r="F44" s="987">
        <f t="shared" ref="F44:F54" si="11">ROUND((C44*2)+A44,1)</f>
        <v>164</v>
      </c>
      <c r="G44" s="1867" t="str">
        <f t="shared" ref="G44:G49" si="12">"(π×0.05²)/4 × (π×"&amp;FIXED(F44/1000,3)&amp;")"</f>
        <v>(π×0.05²)/4 × (π×0.164)</v>
      </c>
      <c r="H44" s="1867"/>
      <c r="I44" s="1867"/>
      <c r="J44" s="1867"/>
      <c r="K44" s="1873">
        <f t="shared" ref="K44:K49" si="13">ROUND(PI()*0.1^2/4*PI()*(F44/1000),5)</f>
        <v>4.0499999999999998E-3</v>
      </c>
      <c r="L44" s="1874"/>
      <c r="M44" s="1874"/>
      <c r="N44" s="1874"/>
      <c r="O44" s="1874"/>
      <c r="P44" s="1875"/>
      <c r="Q44" s="1038"/>
      <c r="R44" s="1038"/>
    </row>
    <row r="45" spans="1:19" s="986" customFormat="1" ht="35.1" customHeight="1">
      <c r="A45" s="1850">
        <v>200</v>
      </c>
      <c r="B45" s="1851"/>
      <c r="C45" s="1830">
        <v>10</v>
      </c>
      <c r="D45" s="1831"/>
      <c r="E45" s="1832"/>
      <c r="F45" s="987">
        <f t="shared" si="11"/>
        <v>220</v>
      </c>
      <c r="G45" s="1867" t="str">
        <f t="shared" si="12"/>
        <v>(π×0.05²)/4 × (π×0.220)</v>
      </c>
      <c r="H45" s="1867"/>
      <c r="I45" s="1867"/>
      <c r="J45" s="1867"/>
      <c r="K45" s="1873">
        <f t="shared" si="13"/>
        <v>5.4299999999999999E-3</v>
      </c>
      <c r="L45" s="1874"/>
      <c r="M45" s="1874"/>
      <c r="N45" s="1874"/>
      <c r="O45" s="1874"/>
      <c r="P45" s="1875"/>
      <c r="Q45" s="1038"/>
      <c r="R45" s="1038"/>
    </row>
    <row r="46" spans="1:19" s="986" customFormat="1" ht="35.1" customHeight="1">
      <c r="A46" s="1850">
        <v>300</v>
      </c>
      <c r="B46" s="1851"/>
      <c r="C46" s="1830">
        <v>17</v>
      </c>
      <c r="D46" s="1831"/>
      <c r="E46" s="1832"/>
      <c r="F46" s="987">
        <f t="shared" si="11"/>
        <v>334</v>
      </c>
      <c r="G46" s="1867" t="str">
        <f t="shared" si="12"/>
        <v>(π×0.05²)/4 × (π×0.334)</v>
      </c>
      <c r="H46" s="1867"/>
      <c r="I46" s="1867"/>
      <c r="J46" s="1867"/>
      <c r="K46" s="1873">
        <f t="shared" si="13"/>
        <v>8.2400000000000008E-3</v>
      </c>
      <c r="L46" s="1874"/>
      <c r="M46" s="1874"/>
      <c r="N46" s="1874"/>
      <c r="O46" s="1874"/>
      <c r="P46" s="1875"/>
      <c r="Q46" s="1038"/>
      <c r="R46" s="1038"/>
    </row>
    <row r="47" spans="1:19" s="986" customFormat="1" ht="35.1" customHeight="1">
      <c r="A47" s="1850">
        <v>400</v>
      </c>
      <c r="B47" s="1851"/>
      <c r="C47" s="1830">
        <v>19</v>
      </c>
      <c r="D47" s="1831"/>
      <c r="E47" s="1832"/>
      <c r="F47" s="987">
        <f t="shared" si="11"/>
        <v>438</v>
      </c>
      <c r="G47" s="1867" t="str">
        <f t="shared" si="12"/>
        <v>(π×0.05²)/4 × (π×0.438)</v>
      </c>
      <c r="H47" s="1867"/>
      <c r="I47" s="1867"/>
      <c r="J47" s="1867"/>
      <c r="K47" s="1873">
        <f t="shared" si="13"/>
        <v>1.081E-2</v>
      </c>
      <c r="L47" s="1874"/>
      <c r="M47" s="1874"/>
      <c r="N47" s="1874"/>
      <c r="O47" s="1874"/>
      <c r="P47" s="1875"/>
      <c r="Q47" s="1038"/>
      <c r="R47" s="1038"/>
    </row>
    <row r="48" spans="1:19" s="986" customFormat="1" ht="35.1" customHeight="1">
      <c r="A48" s="1850">
        <v>500</v>
      </c>
      <c r="B48" s="1851"/>
      <c r="C48" s="1830">
        <v>22</v>
      </c>
      <c r="D48" s="1831"/>
      <c r="E48" s="1832"/>
      <c r="F48" s="987">
        <f t="shared" si="11"/>
        <v>544</v>
      </c>
      <c r="G48" s="1867" t="str">
        <f t="shared" si="12"/>
        <v>(π×0.05²)/4 × (π×0.544)</v>
      </c>
      <c r="H48" s="1867"/>
      <c r="I48" s="1867"/>
      <c r="J48" s="1867"/>
      <c r="K48" s="1873">
        <f t="shared" si="13"/>
        <v>1.342E-2</v>
      </c>
      <c r="L48" s="1874"/>
      <c r="M48" s="1874"/>
      <c r="N48" s="1874"/>
      <c r="O48" s="1874"/>
      <c r="P48" s="1875"/>
      <c r="Q48" s="1038"/>
      <c r="R48" s="1038"/>
    </row>
    <row r="49" spans="1:25" s="986" customFormat="1" ht="35.1" customHeight="1">
      <c r="A49" s="1870">
        <v>600</v>
      </c>
      <c r="B49" s="1871"/>
      <c r="C49" s="1833">
        <v>26</v>
      </c>
      <c r="D49" s="1834"/>
      <c r="E49" s="1835"/>
      <c r="F49" s="1039">
        <f t="shared" si="11"/>
        <v>652</v>
      </c>
      <c r="G49" s="1872" t="str">
        <f t="shared" si="12"/>
        <v>(π×0.05²)/4 × (π×0.652)</v>
      </c>
      <c r="H49" s="1872"/>
      <c r="I49" s="1872"/>
      <c r="J49" s="1872"/>
      <c r="K49" s="1876">
        <f t="shared" si="13"/>
        <v>1.609E-2</v>
      </c>
      <c r="L49" s="1877"/>
      <c r="M49" s="1877"/>
      <c r="N49" s="1877"/>
      <c r="O49" s="1877"/>
      <c r="P49" s="1878"/>
      <c r="Q49" s="1038"/>
      <c r="R49" s="1038"/>
    </row>
    <row r="50" spans="1:25" s="986" customFormat="1" ht="35.1" customHeight="1">
      <c r="A50" s="1868">
        <v>700</v>
      </c>
      <c r="B50" s="1869"/>
      <c r="C50" s="1040"/>
      <c r="D50" s="1041"/>
      <c r="E50" s="1041"/>
      <c r="F50" s="1042">
        <f t="shared" si="11"/>
        <v>700</v>
      </c>
      <c r="G50" s="1041"/>
      <c r="H50" s="1043"/>
      <c r="I50" s="1044" t="str">
        <f>"(π×0.05²)/4 × (π×"&amp;FIXED(F50/1000,3)&amp;")"</f>
        <v>(π×0.05²)/4 × (π×0.700)</v>
      </c>
      <c r="J50" s="1044"/>
      <c r="K50" s="1044"/>
      <c r="L50" s="1044"/>
      <c r="M50" s="1044"/>
      <c r="N50" s="1044"/>
      <c r="O50" s="1044"/>
      <c r="P50" s="1044"/>
      <c r="Q50" s="1044"/>
      <c r="R50" s="1044"/>
      <c r="S50" s="1044"/>
      <c r="T50" s="1044"/>
      <c r="U50" s="1045"/>
      <c r="V50" s="1862">
        <f>ROUND(PI()*0.05^2/4*PI()*(F50/1000),5)</f>
        <v>4.3200000000000001E-3</v>
      </c>
      <c r="W50" s="1863"/>
      <c r="X50" s="1864"/>
      <c r="Y50" s="1046"/>
    </row>
    <row r="51" spans="1:25" s="986" customFormat="1" ht="35.1" customHeight="1">
      <c r="A51" s="1857">
        <v>800</v>
      </c>
      <c r="B51" s="1858"/>
      <c r="C51" s="1047"/>
      <c r="D51" s="1048"/>
      <c r="E51" s="1048"/>
      <c r="F51" s="1049">
        <f t="shared" si="11"/>
        <v>800</v>
      </c>
      <c r="G51" s="1048"/>
      <c r="H51" s="1050"/>
      <c r="I51" s="1051" t="str">
        <f>"(π×0.05²)/4 × (π×"&amp;FIXED(F51/1000,3)&amp;")"</f>
        <v>(π×0.05²)/4 × (π×0.800)</v>
      </c>
      <c r="J51" s="1051"/>
      <c r="K51" s="1051"/>
      <c r="L51" s="1051"/>
      <c r="M51" s="1051"/>
      <c r="N51" s="1051"/>
      <c r="O51" s="1051"/>
      <c r="P51" s="1051"/>
      <c r="Q51" s="1051"/>
      <c r="R51" s="1051"/>
      <c r="S51" s="1051"/>
      <c r="T51" s="1051"/>
      <c r="U51" s="1052"/>
      <c r="V51" s="1854">
        <f>ROUND(PI()*0.05^2/4*PI()*(F51/1000),5)</f>
        <v>4.9300000000000004E-3</v>
      </c>
      <c r="W51" s="1855"/>
      <c r="X51" s="1856"/>
      <c r="Y51" s="1046"/>
    </row>
    <row r="52" spans="1:25" s="986" customFormat="1" ht="35.1" customHeight="1">
      <c r="A52" s="1857">
        <v>1000</v>
      </c>
      <c r="B52" s="1858"/>
      <c r="C52" s="1047"/>
      <c r="D52" s="1048"/>
      <c r="E52" s="1048"/>
      <c r="F52" s="1049">
        <f t="shared" si="11"/>
        <v>1000</v>
      </c>
      <c r="G52" s="1048"/>
      <c r="H52" s="1050"/>
      <c r="I52" s="1051" t="str">
        <f>"(π×0.05²)/4 × (π×"&amp;FIXED(F52/1000,3)&amp;")"</f>
        <v>(π×0.05²)/4 × (π×1.000)</v>
      </c>
      <c r="J52" s="1051"/>
      <c r="K52" s="1051"/>
      <c r="L52" s="1051"/>
      <c r="M52" s="1051"/>
      <c r="N52" s="1051"/>
      <c r="O52" s="1051"/>
      <c r="P52" s="1051"/>
      <c r="Q52" s="1051"/>
      <c r="R52" s="1051"/>
      <c r="S52" s="1051"/>
      <c r="T52" s="1051"/>
      <c r="U52" s="1052"/>
      <c r="V52" s="1854">
        <f>ROUND(PI()*0.05^2/4*PI()*(F52/1000),5)</f>
        <v>6.1700000000000001E-3</v>
      </c>
      <c r="W52" s="1855"/>
      <c r="X52" s="1856"/>
      <c r="Y52" s="1046"/>
    </row>
    <row r="53" spans="1:25" s="986" customFormat="1" ht="35.1" customHeight="1">
      <c r="A53" s="1857">
        <v>1100</v>
      </c>
      <c r="B53" s="1858"/>
      <c r="C53" s="1047"/>
      <c r="D53" s="1048"/>
      <c r="E53" s="1048"/>
      <c r="F53" s="1049">
        <f t="shared" si="11"/>
        <v>1100</v>
      </c>
      <c r="G53" s="1048"/>
      <c r="H53" s="1050"/>
      <c r="I53" s="1051" t="str">
        <f>"(π×0.05²)/4 × (π×"&amp;FIXED(F53/1000,3)&amp;")"</f>
        <v>(π×0.05²)/4 × (π×1.100)</v>
      </c>
      <c r="J53" s="1051"/>
      <c r="K53" s="1051"/>
      <c r="L53" s="1051"/>
      <c r="M53" s="1051"/>
      <c r="N53" s="1051"/>
      <c r="O53" s="1051"/>
      <c r="P53" s="1051"/>
      <c r="Q53" s="1051"/>
      <c r="R53" s="1051"/>
      <c r="S53" s="1051"/>
      <c r="T53" s="1051"/>
      <c r="U53" s="1052"/>
      <c r="V53" s="1854">
        <f>ROUND(PI()*0.05^2/4*PI()*(F53/1000),5)</f>
        <v>6.79E-3</v>
      </c>
      <c r="W53" s="1855"/>
      <c r="X53" s="1856"/>
      <c r="Y53" s="1046"/>
    </row>
    <row r="54" spans="1:25" s="986" customFormat="1" ht="35.1" customHeight="1">
      <c r="A54" s="1844">
        <v>1200</v>
      </c>
      <c r="B54" s="1845"/>
      <c r="C54" s="1053"/>
      <c r="D54" s="1054"/>
      <c r="E54" s="1054"/>
      <c r="F54" s="1055">
        <f t="shared" si="11"/>
        <v>1200</v>
      </c>
      <c r="G54" s="1054"/>
      <c r="H54" s="1056"/>
      <c r="I54" s="1057" t="str">
        <f>"(π×0.05²)/4 × (π×"&amp;FIXED(F54/1000,3)&amp;")"</f>
        <v>(π×0.05²)/4 × (π×1.200)</v>
      </c>
      <c r="J54" s="1057"/>
      <c r="K54" s="1057"/>
      <c r="L54" s="1057"/>
      <c r="M54" s="1057"/>
      <c r="N54" s="1057"/>
      <c r="O54" s="1057"/>
      <c r="P54" s="1057"/>
      <c r="Q54" s="1057"/>
      <c r="R54" s="1057"/>
      <c r="S54" s="1057"/>
      <c r="T54" s="1057"/>
      <c r="U54" s="1058"/>
      <c r="V54" s="1846">
        <f>ROUND(PI()*0.05^2/4*PI()*(F54/1000),5)</f>
        <v>7.4000000000000003E-3</v>
      </c>
      <c r="W54" s="1847"/>
      <c r="X54" s="1848"/>
      <c r="Y54" s="1046"/>
    </row>
    <row r="55" spans="1:25">
      <c r="A55" s="1059"/>
      <c r="B55" s="1059"/>
      <c r="C55" s="1059"/>
      <c r="D55" s="1059"/>
      <c r="E55" s="1059"/>
      <c r="F55" s="1059"/>
      <c r="G55" s="1059"/>
      <c r="H55" s="1059"/>
      <c r="I55" s="1059"/>
      <c r="J55" s="1059"/>
      <c r="K55" s="1059"/>
      <c r="L55" s="1059"/>
      <c r="M55" s="1059"/>
      <c r="N55" s="1059"/>
      <c r="O55" s="1059"/>
      <c r="P55" s="1059"/>
      <c r="Q55" s="1059"/>
      <c r="R55" s="1059"/>
      <c r="S55" s="1059"/>
      <c r="T55" s="1059"/>
      <c r="U55" s="1059"/>
      <c r="V55" s="1059"/>
      <c r="W55" s="1059"/>
      <c r="X55" s="1059"/>
    </row>
    <row r="56" spans="1:25">
      <c r="A56" s="1059"/>
      <c r="B56" s="1059"/>
      <c r="C56" s="1059"/>
      <c r="D56" s="1059"/>
      <c r="E56" s="1059"/>
      <c r="F56" s="1059"/>
      <c r="G56" s="1059"/>
      <c r="H56" s="1059"/>
      <c r="I56" s="1059"/>
      <c r="J56" s="1059"/>
      <c r="K56" s="1059"/>
      <c r="L56" s="1059"/>
      <c r="M56" s="1059"/>
      <c r="N56" s="1059"/>
      <c r="O56" s="1059"/>
      <c r="P56" s="1059"/>
      <c r="Q56" s="1059"/>
      <c r="R56" s="1059"/>
      <c r="S56" s="1059"/>
      <c r="T56" s="1059"/>
      <c r="U56" s="1059"/>
      <c r="V56" s="1059"/>
      <c r="W56" s="1059"/>
      <c r="X56" s="1059"/>
    </row>
    <row r="57" spans="1:25">
      <c r="A57" s="1059"/>
      <c r="B57" s="1059"/>
      <c r="C57" s="1059"/>
      <c r="D57" s="1059"/>
      <c r="E57" s="1059"/>
      <c r="F57" s="1059"/>
      <c r="G57" s="1059"/>
      <c r="H57" s="1059"/>
      <c r="I57" s="1059"/>
      <c r="J57" s="1059"/>
      <c r="K57" s="1059"/>
      <c r="L57" s="1059"/>
      <c r="M57" s="1059"/>
      <c r="N57" s="1059"/>
      <c r="O57" s="1059"/>
      <c r="P57" s="1059"/>
      <c r="Q57" s="1059"/>
      <c r="R57" s="1059"/>
      <c r="S57" s="1059"/>
      <c r="T57" s="1059"/>
      <c r="U57" s="1059"/>
      <c r="V57" s="1059"/>
      <c r="W57" s="1059"/>
      <c r="X57" s="1059"/>
    </row>
    <row r="58" spans="1:25">
      <c r="A58" s="1059"/>
      <c r="B58" s="1059"/>
      <c r="C58" s="1059"/>
      <c r="D58" s="1059"/>
      <c r="E58" s="1059"/>
      <c r="F58" s="1059"/>
      <c r="G58" s="1059"/>
      <c r="H58" s="1059"/>
      <c r="I58" s="1059"/>
      <c r="J58" s="1059"/>
      <c r="K58" s="1059"/>
      <c r="L58" s="1059"/>
      <c r="M58" s="1059"/>
      <c r="N58" s="1059"/>
      <c r="O58" s="1059"/>
      <c r="P58" s="1059"/>
      <c r="Q58" s="1059"/>
      <c r="R58" s="1059"/>
      <c r="S58" s="1059"/>
      <c r="T58" s="1059"/>
      <c r="U58" s="1059"/>
      <c r="V58" s="1059"/>
      <c r="W58" s="1059"/>
      <c r="X58" s="1059"/>
    </row>
    <row r="59" spans="1:25">
      <c r="A59" s="1059"/>
      <c r="B59" s="1059"/>
      <c r="C59" s="1059"/>
      <c r="D59" s="1059"/>
      <c r="E59" s="1059"/>
      <c r="F59" s="1059"/>
      <c r="G59" s="1059"/>
      <c r="H59" s="1059"/>
      <c r="I59" s="1059"/>
      <c r="J59" s="1059"/>
      <c r="K59" s="1059"/>
      <c r="L59" s="1059"/>
      <c r="M59" s="1059"/>
      <c r="N59" s="1059"/>
      <c r="O59" s="1059"/>
      <c r="P59" s="1059"/>
      <c r="Q59" s="1059"/>
      <c r="R59" s="1059"/>
      <c r="S59" s="1059"/>
      <c r="T59" s="1059"/>
      <c r="U59" s="1059"/>
      <c r="V59" s="1059"/>
      <c r="W59" s="1059"/>
      <c r="X59" s="1059"/>
    </row>
    <row r="60" spans="1:25">
      <c r="H60" s="980"/>
      <c r="I60" s="980"/>
    </row>
  </sheetData>
  <mergeCells count="72">
    <mergeCell ref="A1:P1"/>
    <mergeCell ref="A13:P13"/>
    <mergeCell ref="A27:P27"/>
    <mergeCell ref="A42:P42"/>
    <mergeCell ref="A43:B43"/>
    <mergeCell ref="G43:J43"/>
    <mergeCell ref="K43:P43"/>
    <mergeCell ref="A4:B5"/>
    <mergeCell ref="A14:B15"/>
    <mergeCell ref="C14:C15"/>
    <mergeCell ref="A7:B8"/>
    <mergeCell ref="C2:C3"/>
    <mergeCell ref="H2:I2"/>
    <mergeCell ref="H14:I14"/>
    <mergeCell ref="J2:K2"/>
    <mergeCell ref="A10:C10"/>
    <mergeCell ref="G49:J49"/>
    <mergeCell ref="G44:J44"/>
    <mergeCell ref="G48:J48"/>
    <mergeCell ref="K46:P46"/>
    <mergeCell ref="K47:P47"/>
    <mergeCell ref="K48:P48"/>
    <mergeCell ref="K49:P49"/>
    <mergeCell ref="K44:P44"/>
    <mergeCell ref="G46:J46"/>
    <mergeCell ref="G47:J47"/>
    <mergeCell ref="K45:P45"/>
    <mergeCell ref="G45:J45"/>
    <mergeCell ref="A50:B50"/>
    <mergeCell ref="A47:B47"/>
    <mergeCell ref="A49:B49"/>
    <mergeCell ref="A44:B44"/>
    <mergeCell ref="A46:B46"/>
    <mergeCell ref="A48:B48"/>
    <mergeCell ref="A2:B3"/>
    <mergeCell ref="N2:O2"/>
    <mergeCell ref="N14:O14"/>
    <mergeCell ref="L2:M2"/>
    <mergeCell ref="L14:M14"/>
    <mergeCell ref="A6:C6"/>
    <mergeCell ref="A9:C9"/>
    <mergeCell ref="D14:E14"/>
    <mergeCell ref="D2:E2"/>
    <mergeCell ref="A54:B54"/>
    <mergeCell ref="V54:X54"/>
    <mergeCell ref="F2:G2"/>
    <mergeCell ref="F14:G14"/>
    <mergeCell ref="A45:B45"/>
    <mergeCell ref="P2:P3"/>
    <mergeCell ref="V51:X51"/>
    <mergeCell ref="A53:B53"/>
    <mergeCell ref="V53:X53"/>
    <mergeCell ref="A52:B52"/>
    <mergeCell ref="V52:X52"/>
    <mergeCell ref="A51:B51"/>
    <mergeCell ref="A24:C24"/>
    <mergeCell ref="P14:P15"/>
    <mergeCell ref="J14:K14"/>
    <mergeCell ref="V50:X50"/>
    <mergeCell ref="A16:B19"/>
    <mergeCell ref="C16:C17"/>
    <mergeCell ref="C18:C19"/>
    <mergeCell ref="C20:C21"/>
    <mergeCell ref="A20:B23"/>
    <mergeCell ref="C22:C23"/>
    <mergeCell ref="C43:E43"/>
    <mergeCell ref="C44:E44"/>
    <mergeCell ref="C49:E49"/>
    <mergeCell ref="C48:E48"/>
    <mergeCell ref="C47:E47"/>
    <mergeCell ref="C46:E46"/>
    <mergeCell ref="C45:E45"/>
  </mergeCells>
  <phoneticPr fontId="13" type="noConversion"/>
  <printOptions horizontalCentered="1"/>
  <pageMargins left="0.59055118110236227" right="0.59055118110236227" top="0.98425196850393704" bottom="0.98425196850393704" header="0.51181102362204722" footer="0.51181102362204722"/>
  <pageSetup paperSize="9" scale="59" orientation="portrait" r:id="rId1"/>
  <rowBreaks count="1" manualBreakCount="1">
    <brk id="25" max="13" man="1"/>
  </rowBreak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>
    <tabColor rgb="FFFF0000"/>
  </sheetPr>
  <dimension ref="A1:W13"/>
  <sheetViews>
    <sheetView workbookViewId="0">
      <selection activeCell="L74" sqref="L74"/>
    </sheetView>
  </sheetViews>
  <sheetFormatPr defaultRowHeight="15.75"/>
  <cols>
    <col min="1" max="2" width="7.77734375" style="980" customWidth="1"/>
    <col min="3" max="5" width="6.77734375" style="980" customWidth="1"/>
    <col min="6" max="7" width="6.77734375" style="981" customWidth="1"/>
    <col min="8" max="22" width="6.77734375" style="980" customWidth="1"/>
    <col min="23" max="16384" width="8.88671875" style="980"/>
  </cols>
  <sheetData>
    <row r="1" spans="1:23" s="929" customFormat="1" ht="30" customHeight="1">
      <c r="A1" s="1898" t="s">
        <v>1064</v>
      </c>
      <c r="B1" s="1898"/>
      <c r="C1" s="1898"/>
      <c r="D1" s="1898"/>
      <c r="E1" s="1898"/>
      <c r="F1" s="1898"/>
      <c r="G1" s="1898"/>
      <c r="H1" s="1898"/>
      <c r="I1" s="1898"/>
      <c r="J1" s="1898"/>
      <c r="K1" s="1898"/>
      <c r="L1" s="1898"/>
      <c r="M1" s="1898"/>
      <c r="N1" s="1898"/>
      <c r="O1" s="1898"/>
      <c r="P1" s="1898"/>
      <c r="Q1" s="1898"/>
      <c r="R1" s="1898"/>
      <c r="S1" s="1898"/>
      <c r="T1" s="1898"/>
      <c r="U1" s="1898"/>
      <c r="V1" s="1898"/>
      <c r="W1" s="1898"/>
    </row>
    <row r="2" spans="1:23" s="929" customFormat="1" ht="30" customHeight="1">
      <c r="A2" s="1892" t="s">
        <v>1033</v>
      </c>
      <c r="B2" s="1893"/>
      <c r="C2" s="1899" t="s">
        <v>1034</v>
      </c>
      <c r="D2" s="1902" t="s">
        <v>1065</v>
      </c>
      <c r="E2" s="1903"/>
      <c r="F2" s="1903"/>
      <c r="G2" s="1903"/>
      <c r="H2" s="1903"/>
      <c r="I2" s="1903"/>
      <c r="J2" s="1903"/>
      <c r="K2" s="1903"/>
      <c r="L2" s="1903"/>
      <c r="M2" s="1903"/>
      <c r="N2" s="1903"/>
      <c r="O2" s="1903"/>
      <c r="P2" s="1903"/>
      <c r="Q2" s="1903"/>
      <c r="R2" s="1903"/>
      <c r="S2" s="1903"/>
      <c r="T2" s="1903"/>
      <c r="U2" s="1904"/>
      <c r="V2" s="1905" t="s">
        <v>1035</v>
      </c>
      <c r="W2" s="1907" t="s">
        <v>355</v>
      </c>
    </row>
    <row r="3" spans="1:23" s="929" customFormat="1" ht="30" customHeight="1">
      <c r="A3" s="1894"/>
      <c r="B3" s="1895"/>
      <c r="C3" s="1900"/>
      <c r="D3" s="1910" t="s">
        <v>1036</v>
      </c>
      <c r="E3" s="1911"/>
      <c r="F3" s="1912"/>
      <c r="G3" s="1910" t="s">
        <v>1037</v>
      </c>
      <c r="H3" s="1911"/>
      <c r="I3" s="1912"/>
      <c r="J3" s="1913" t="s">
        <v>1038</v>
      </c>
      <c r="K3" s="1911"/>
      <c r="L3" s="1914"/>
      <c r="M3" s="1910" t="s">
        <v>1039</v>
      </c>
      <c r="N3" s="1911"/>
      <c r="O3" s="1912"/>
      <c r="P3" s="1910" t="s">
        <v>1040</v>
      </c>
      <c r="Q3" s="1911"/>
      <c r="R3" s="1912"/>
      <c r="S3" s="1910" t="s">
        <v>1041</v>
      </c>
      <c r="T3" s="1911"/>
      <c r="U3" s="1912"/>
      <c r="V3" s="1906"/>
      <c r="W3" s="1908"/>
    </row>
    <row r="4" spans="1:23" s="929" customFormat="1" ht="38.25" customHeight="1">
      <c r="A4" s="1896"/>
      <c r="B4" s="1897"/>
      <c r="C4" s="1901"/>
      <c r="D4" s="930" t="s">
        <v>1042</v>
      </c>
      <c r="E4" s="931" t="s">
        <v>1043</v>
      </c>
      <c r="F4" s="932" t="s">
        <v>1044</v>
      </c>
      <c r="G4" s="930" t="s">
        <v>1045</v>
      </c>
      <c r="H4" s="931" t="s">
        <v>1043</v>
      </c>
      <c r="I4" s="932" t="s">
        <v>1046</v>
      </c>
      <c r="J4" s="930" t="s">
        <v>1042</v>
      </c>
      <c r="K4" s="931" t="s">
        <v>1047</v>
      </c>
      <c r="L4" s="933" t="s">
        <v>1048</v>
      </c>
      <c r="M4" s="930" t="s">
        <v>1049</v>
      </c>
      <c r="N4" s="931" t="s">
        <v>1047</v>
      </c>
      <c r="O4" s="932" t="s">
        <v>1048</v>
      </c>
      <c r="P4" s="930" t="s">
        <v>1045</v>
      </c>
      <c r="Q4" s="931" t="s">
        <v>1043</v>
      </c>
      <c r="R4" s="932" t="s">
        <v>1048</v>
      </c>
      <c r="S4" s="930" t="s">
        <v>1045</v>
      </c>
      <c r="T4" s="931" t="s">
        <v>1043</v>
      </c>
      <c r="U4" s="932" t="s">
        <v>1048</v>
      </c>
      <c r="V4" s="934" t="s">
        <v>1050</v>
      </c>
      <c r="W4" s="1909"/>
    </row>
    <row r="5" spans="1:23" s="929" customFormat="1" ht="32.25" customHeight="1">
      <c r="A5" s="1888" t="s">
        <v>1051</v>
      </c>
      <c r="B5" s="935" t="s">
        <v>1057</v>
      </c>
      <c r="C5" s="936">
        <f>'오수맨홀수량 및 평균높이'!D4</f>
        <v>73</v>
      </c>
      <c r="D5" s="937">
        <v>5</v>
      </c>
      <c r="E5" s="938">
        <f>ROUND('오수관 맨홀이음부 몰탈 수량집계'!$F$44*PI()/1000,3)</f>
        <v>0.51500000000000001</v>
      </c>
      <c r="F5" s="939">
        <f>ROUND(D5*E5,2)</f>
        <v>2.58</v>
      </c>
      <c r="G5" s="937">
        <f>'오수관 맨홀이음부 몰탈 수량집계'!F5+'오수관 맨홀이음부 몰탈 수량집계'!G5</f>
        <v>13</v>
      </c>
      <c r="H5" s="938">
        <f>ROUND('오수관 맨홀이음부 몰탈 수량집계'!$F$45*PI()/1000,3)</f>
        <v>0.69099999999999995</v>
      </c>
      <c r="I5" s="939">
        <f>ROUND(G5*H5,2)</f>
        <v>8.98</v>
      </c>
      <c r="J5" s="940">
        <f>'오수관 맨홀이음부 몰탈 수량집계'!H5+'오수관 맨홀이음부 몰탈 수량집계'!I5</f>
        <v>124</v>
      </c>
      <c r="K5" s="938">
        <f>ROUND('오수관 맨홀이음부 몰탈 수량집계'!$F$46*PI()/1000,3)</f>
        <v>1.0489999999999999</v>
      </c>
      <c r="L5" s="939">
        <f>ROUND(J5*K5,2)</f>
        <v>130.08000000000001</v>
      </c>
      <c r="M5" s="937">
        <f>'오수관 맨홀이음부 몰탈 수량집계'!J5+'오수관 맨홀이음부 몰탈 수량집계'!K5</f>
        <v>2</v>
      </c>
      <c r="N5" s="938">
        <f>ROUND('오수관 맨홀이음부 몰탈 수량집계'!$F$47*PI()/1000,3)</f>
        <v>1.3759999999999999</v>
      </c>
      <c r="O5" s="939">
        <f>ROUND(M5*N5,2)</f>
        <v>2.75</v>
      </c>
      <c r="P5" s="937">
        <f>'오수관 맨홀이음부 몰탈 수량집계'!L5+'오수관 맨홀이음부 몰탈 수량집계'!M5</f>
        <v>0</v>
      </c>
      <c r="Q5" s="938">
        <f>ROUND('오수관 맨홀이음부 몰탈 수량집계'!$F$48*PI()/1000,3)</f>
        <v>1.7090000000000001</v>
      </c>
      <c r="R5" s="939">
        <f>ROUND(P5*Q5,2)</f>
        <v>0</v>
      </c>
      <c r="S5" s="937">
        <f>'오수관 맨홀이음부 몰탈 수량집계'!N5+'오수관 맨홀이음부 몰탈 수량집계'!O5</f>
        <v>0</v>
      </c>
      <c r="T5" s="938">
        <f>ROUND('오수관 맨홀이음부 몰탈 수량집계'!$F$49*PI()/1000,3)</f>
        <v>2.048</v>
      </c>
      <c r="U5" s="939">
        <f>ROUND(S5*T5,2)</f>
        <v>0</v>
      </c>
      <c r="V5" s="941">
        <f>F5+I5+L5+O5+R5+U5</f>
        <v>144.39000000000001</v>
      </c>
      <c r="W5" s="942"/>
    </row>
    <row r="6" spans="1:23" s="929" customFormat="1" ht="32.25" customHeight="1">
      <c r="A6" s="1889"/>
      <c r="B6" s="943" t="s">
        <v>1058</v>
      </c>
      <c r="C6" s="944">
        <f>'오수맨홀수량 및 평균높이'!E4</f>
        <v>35</v>
      </c>
      <c r="D6" s="945">
        <v>9</v>
      </c>
      <c r="E6" s="946">
        <f>E5</f>
        <v>0.51500000000000001</v>
      </c>
      <c r="F6" s="947">
        <f>ROUND(D6*E6,2)</f>
        <v>4.6399999999999997</v>
      </c>
      <c r="G6" s="945">
        <f>'오수관 맨홀이음부 몰탈 수량집계'!F4+'오수관 맨홀이음부 몰탈 수량집계'!G4</f>
        <v>11</v>
      </c>
      <c r="H6" s="946">
        <f>H5</f>
        <v>0.69099999999999995</v>
      </c>
      <c r="I6" s="947">
        <f>ROUND(G6*H6,2)</f>
        <v>7.6</v>
      </c>
      <c r="J6" s="948">
        <f>'오수관 맨홀이음부 몰탈 수량집계'!H4+'오수관 맨홀이음부 몰탈 수량집계'!I4</f>
        <v>38</v>
      </c>
      <c r="K6" s="946">
        <f>K5</f>
        <v>1.0489999999999999</v>
      </c>
      <c r="L6" s="947">
        <f>ROUND(J6*K6,2)</f>
        <v>39.86</v>
      </c>
      <c r="M6" s="945">
        <f>'오수관 맨홀이음부 몰탈 수량집계'!J4+'오수관 맨홀이음부 몰탈 수량집계'!K4</f>
        <v>0</v>
      </c>
      <c r="N6" s="946">
        <f>N5</f>
        <v>1.3759999999999999</v>
      </c>
      <c r="O6" s="947">
        <f>ROUND(M6*N6,2)</f>
        <v>0</v>
      </c>
      <c r="P6" s="948">
        <f>'오수관 맨홀이음부 몰탈 수량집계'!L4+'오수관 맨홀이음부 몰탈 수량집계'!M4</f>
        <v>0</v>
      </c>
      <c r="Q6" s="946">
        <f>Q5</f>
        <v>1.7090000000000001</v>
      </c>
      <c r="R6" s="947">
        <f>ROUND(P6*Q6,2)</f>
        <v>0</v>
      </c>
      <c r="S6" s="948">
        <f>'오수관 맨홀이음부 몰탈 수량집계'!N4+'오수관 맨홀이음부 몰탈 수량집계'!O4</f>
        <v>0</v>
      </c>
      <c r="T6" s="946">
        <f>T5</f>
        <v>2.048</v>
      </c>
      <c r="U6" s="947">
        <f>ROUND(S6*T6,2)</f>
        <v>0</v>
      </c>
      <c r="V6" s="949">
        <f>F6+I6+L6+O6+R6+U6</f>
        <v>52.099999999999994</v>
      </c>
      <c r="W6" s="950"/>
    </row>
    <row r="7" spans="1:23" s="929" customFormat="1" ht="32.25" customHeight="1">
      <c r="A7" s="1886" t="s">
        <v>1059</v>
      </c>
      <c r="B7" s="1887"/>
      <c r="C7" s="951">
        <f>SUM(C5:C6)</f>
        <v>108</v>
      </c>
      <c r="D7" s="952">
        <f>SUM(D5:D6)</f>
        <v>14</v>
      </c>
      <c r="E7" s="953"/>
      <c r="F7" s="954">
        <f>SUM(F5:F6)</f>
        <v>7.22</v>
      </c>
      <c r="G7" s="952">
        <f>SUM(G5:G6)</f>
        <v>24</v>
      </c>
      <c r="H7" s="953"/>
      <c r="I7" s="954">
        <f>SUM(I5:I6)</f>
        <v>16.579999999999998</v>
      </c>
      <c r="J7" s="952">
        <f>SUM(J5:J6)</f>
        <v>162</v>
      </c>
      <c r="K7" s="953"/>
      <c r="L7" s="954">
        <f>SUM(L5:L6)</f>
        <v>169.94</v>
      </c>
      <c r="M7" s="952">
        <f>SUM(M5:M6)</f>
        <v>2</v>
      </c>
      <c r="N7" s="953"/>
      <c r="O7" s="954">
        <f>SUM(O5:O6)</f>
        <v>2.75</v>
      </c>
      <c r="P7" s="952">
        <f>SUM(P5:P6)</f>
        <v>0</v>
      </c>
      <c r="Q7" s="953"/>
      <c r="R7" s="954">
        <f>SUM(R5:R6)</f>
        <v>0</v>
      </c>
      <c r="S7" s="952">
        <f>SUM(S5:S6)</f>
        <v>0</v>
      </c>
      <c r="T7" s="953"/>
      <c r="U7" s="954">
        <f>SUM(U5:U6)</f>
        <v>0</v>
      </c>
      <c r="V7" s="955">
        <f>SUM(V5:V6)</f>
        <v>196.49</v>
      </c>
      <c r="W7" s="956"/>
    </row>
    <row r="8" spans="1:23" s="929" customFormat="1" ht="32.25" customHeight="1">
      <c r="A8" s="1888" t="s">
        <v>1060</v>
      </c>
      <c r="B8" s="957" t="s">
        <v>1057</v>
      </c>
      <c r="C8" s="958">
        <f>'오수맨홀수량 및 평균높이'!D5</f>
        <v>38</v>
      </c>
      <c r="D8" s="959">
        <v>27</v>
      </c>
      <c r="E8" s="960">
        <f>E5</f>
        <v>0.51500000000000001</v>
      </c>
      <c r="F8" s="939">
        <f>ROUND(D8*E8,2)</f>
        <v>13.91</v>
      </c>
      <c r="G8" s="961">
        <f>'오수관 맨홀이음부 몰탈 수량집계'!F8+'오수관 맨홀이음부 몰탈 수량집계'!G8</f>
        <v>21</v>
      </c>
      <c r="H8" s="960">
        <f>H5</f>
        <v>0.69099999999999995</v>
      </c>
      <c r="I8" s="939">
        <f>ROUND(G8*H8,2)</f>
        <v>14.51</v>
      </c>
      <c r="J8" s="961">
        <f>'오수관 맨홀이음부 몰탈 수량집계'!H8+'오수관 맨홀이음부 몰탈 수량집계'!I8</f>
        <v>58</v>
      </c>
      <c r="K8" s="960">
        <f>K5</f>
        <v>1.0489999999999999</v>
      </c>
      <c r="L8" s="939">
        <f>ROUND(J8*K8,2)</f>
        <v>60.84</v>
      </c>
      <c r="M8" s="961">
        <f>'오수관 맨홀이음부 몰탈 수량집계'!J8+'오수관 맨홀이음부 몰탈 수량집계'!K8</f>
        <v>1</v>
      </c>
      <c r="N8" s="960">
        <f>N5</f>
        <v>1.3759999999999999</v>
      </c>
      <c r="O8" s="939">
        <f>ROUND(M8*N8,2)</f>
        <v>1.38</v>
      </c>
      <c r="P8" s="962">
        <f>'오수관 맨홀이음부 몰탈 수량집계'!L8+'오수관 맨홀이음부 몰탈 수량집계'!M8</f>
        <v>0</v>
      </c>
      <c r="Q8" s="960">
        <f>Q5</f>
        <v>1.7090000000000001</v>
      </c>
      <c r="R8" s="939">
        <f>ROUND(P8*Q8,2)</f>
        <v>0</v>
      </c>
      <c r="S8" s="962">
        <f>'오수관 맨홀이음부 몰탈 수량집계'!N8+'오수관 맨홀이음부 몰탈 수량집계'!O8</f>
        <v>0</v>
      </c>
      <c r="T8" s="960">
        <f>T5</f>
        <v>2.048</v>
      </c>
      <c r="U8" s="939">
        <f>ROUND(S8*T8,2)</f>
        <v>0</v>
      </c>
      <c r="V8" s="941">
        <f>F8+I8+L8+O8+R8+U8</f>
        <v>90.64</v>
      </c>
      <c r="W8" s="963"/>
    </row>
    <row r="9" spans="1:23" s="929" customFormat="1" ht="32.25" customHeight="1">
      <c r="A9" s="1889"/>
      <c r="B9" s="943" t="s">
        <v>1058</v>
      </c>
      <c r="C9" s="964">
        <f>'오수맨홀수량 및 평균높이'!E5</f>
        <v>46</v>
      </c>
      <c r="D9" s="965">
        <v>36</v>
      </c>
      <c r="E9" s="966">
        <f>E8</f>
        <v>0.51500000000000001</v>
      </c>
      <c r="F9" s="947">
        <f>ROUND(D9*E9,2)</f>
        <v>18.54</v>
      </c>
      <c r="G9" s="967">
        <f>'오수관 맨홀이음부 몰탈 수량집계'!F7+'오수관 맨홀이음부 몰탈 수량집계'!G7</f>
        <v>58</v>
      </c>
      <c r="H9" s="966">
        <f>H8</f>
        <v>0.69099999999999995</v>
      </c>
      <c r="I9" s="947">
        <f>ROUND(G9*H9,2)</f>
        <v>40.08</v>
      </c>
      <c r="J9" s="967">
        <f>'오수관 맨홀이음부 몰탈 수량집계'!H7+'오수관 맨홀이음부 몰탈 수량집계'!I7</f>
        <v>49</v>
      </c>
      <c r="K9" s="966">
        <f>K8</f>
        <v>1.0489999999999999</v>
      </c>
      <c r="L9" s="947">
        <f>ROUND(J9*K9,2)</f>
        <v>51.4</v>
      </c>
      <c r="M9" s="967">
        <f>'오수관 맨홀이음부 몰탈 수량집계'!J7+'오수관 맨홀이음부 몰탈 수량집계'!K7</f>
        <v>0</v>
      </c>
      <c r="N9" s="966">
        <f>N8</f>
        <v>1.3759999999999999</v>
      </c>
      <c r="O9" s="947">
        <f>ROUND(M9*N9,2)</f>
        <v>0</v>
      </c>
      <c r="P9" s="968">
        <f>'오수관 맨홀이음부 몰탈 수량집계'!L7+'오수관 맨홀이음부 몰탈 수량집계'!M7</f>
        <v>0</v>
      </c>
      <c r="Q9" s="966">
        <f>Q8</f>
        <v>1.7090000000000001</v>
      </c>
      <c r="R9" s="947">
        <f>ROUND(P9*Q9,2)</f>
        <v>0</v>
      </c>
      <c r="S9" s="968">
        <f>'오수관 맨홀이음부 몰탈 수량집계'!N7+'오수관 맨홀이음부 몰탈 수량집계'!O7</f>
        <v>0</v>
      </c>
      <c r="T9" s="966">
        <f>T8</f>
        <v>2.048</v>
      </c>
      <c r="U9" s="947">
        <f>ROUND(S9*T9,2)</f>
        <v>0</v>
      </c>
      <c r="V9" s="949">
        <f>F9+I9+L9+O9+R9+U9</f>
        <v>110.02</v>
      </c>
      <c r="W9" s="969"/>
    </row>
    <row r="10" spans="1:23" s="929" customFormat="1" ht="32.25" customHeight="1">
      <c r="A10" s="1890" t="s">
        <v>1059</v>
      </c>
      <c r="B10" s="1891"/>
      <c r="C10" s="951">
        <f>SUM(C8:C9)</f>
        <v>84</v>
      </c>
      <c r="D10" s="952">
        <f>SUM(D8:D9)</f>
        <v>63</v>
      </c>
      <c r="E10" s="953"/>
      <c r="F10" s="954">
        <f>SUM(F8:F9)</f>
        <v>32.450000000000003</v>
      </c>
      <c r="G10" s="952">
        <f>SUM(G8:G9)</f>
        <v>79</v>
      </c>
      <c r="H10" s="953"/>
      <c r="I10" s="954">
        <f>SUM(I8:I9)</f>
        <v>54.589999999999996</v>
      </c>
      <c r="J10" s="952">
        <f>SUM(J8:J9)</f>
        <v>107</v>
      </c>
      <c r="K10" s="953"/>
      <c r="L10" s="954">
        <f>SUM(L8:L9)</f>
        <v>112.24000000000001</v>
      </c>
      <c r="M10" s="952">
        <f>SUM(M8:M9)</f>
        <v>1</v>
      </c>
      <c r="N10" s="953"/>
      <c r="O10" s="954">
        <f>SUM(O8:O9)</f>
        <v>1.38</v>
      </c>
      <c r="P10" s="952">
        <f>SUM(P8:P9)</f>
        <v>0</v>
      </c>
      <c r="Q10" s="953"/>
      <c r="R10" s="954">
        <f>SUM(R8:R9)</f>
        <v>0</v>
      </c>
      <c r="S10" s="952">
        <f>SUM(S8:S9)</f>
        <v>0</v>
      </c>
      <c r="T10" s="953"/>
      <c r="U10" s="954">
        <f>SUM(U8:U9)</f>
        <v>0</v>
      </c>
      <c r="V10" s="955">
        <f>SUM(V8:V9)</f>
        <v>200.66</v>
      </c>
      <c r="W10" s="956"/>
    </row>
    <row r="11" spans="1:23" s="978" customFormat="1" ht="32.25" customHeight="1">
      <c r="A11" s="970" t="s">
        <v>1053</v>
      </c>
      <c r="B11" s="971"/>
      <c r="C11" s="972">
        <f>C7+C10</f>
        <v>192</v>
      </c>
      <c r="D11" s="973">
        <f>D7+D10</f>
        <v>77</v>
      </c>
      <c r="E11" s="974" t="s">
        <v>1052</v>
      </c>
      <c r="F11" s="975">
        <f>F7+F10</f>
        <v>39.67</v>
      </c>
      <c r="G11" s="973">
        <f>G7+G10</f>
        <v>103</v>
      </c>
      <c r="H11" s="974" t="s">
        <v>1052</v>
      </c>
      <c r="I11" s="975">
        <f>I7+I10</f>
        <v>71.169999999999987</v>
      </c>
      <c r="J11" s="973">
        <f>J7+J10</f>
        <v>269</v>
      </c>
      <c r="K11" s="974" t="s">
        <v>1052</v>
      </c>
      <c r="L11" s="975">
        <f>L7+L10</f>
        <v>282.18</v>
      </c>
      <c r="M11" s="973">
        <f>M7+M10</f>
        <v>3</v>
      </c>
      <c r="N11" s="974" t="s">
        <v>1052</v>
      </c>
      <c r="O11" s="975">
        <f>O7+O10</f>
        <v>4.13</v>
      </c>
      <c r="P11" s="973">
        <f>P7+P10</f>
        <v>0</v>
      </c>
      <c r="Q11" s="974" t="s">
        <v>1052</v>
      </c>
      <c r="R11" s="975">
        <f>R7+R10</f>
        <v>0</v>
      </c>
      <c r="S11" s="973">
        <f>S7+S10</f>
        <v>0</v>
      </c>
      <c r="T11" s="974" t="s">
        <v>1052</v>
      </c>
      <c r="U11" s="975">
        <f>U7+U10</f>
        <v>0</v>
      </c>
      <c r="V11" s="976">
        <f>V7+V10</f>
        <v>397.15</v>
      </c>
      <c r="W11" s="977"/>
    </row>
    <row r="12" spans="1:23" ht="29.25" customHeight="1">
      <c r="A12" s="979" t="s">
        <v>1063</v>
      </c>
      <c r="B12" s="979"/>
    </row>
    <row r="13" spans="1:23">
      <c r="S13" s="982">
        <f>G11+J11+M11+P11+S11</f>
        <v>375</v>
      </c>
    </row>
  </sheetData>
  <mergeCells count="16">
    <mergeCell ref="A7:B7"/>
    <mergeCell ref="A8:A9"/>
    <mergeCell ref="A10:B10"/>
    <mergeCell ref="A2:B4"/>
    <mergeCell ref="A1:W1"/>
    <mergeCell ref="C2:C4"/>
    <mergeCell ref="D2:U2"/>
    <mergeCell ref="V2:V3"/>
    <mergeCell ref="W2:W4"/>
    <mergeCell ref="D3:F3"/>
    <mergeCell ref="G3:I3"/>
    <mergeCell ref="J3:L3"/>
    <mergeCell ref="M3:O3"/>
    <mergeCell ref="P3:R3"/>
    <mergeCell ref="S3:U3"/>
    <mergeCell ref="A5:A6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scale="72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6">
    <tabColor rgb="FF92D050"/>
  </sheetPr>
  <dimension ref="A1:M13"/>
  <sheetViews>
    <sheetView workbookViewId="0">
      <selection activeCell="L74" sqref="L74"/>
    </sheetView>
  </sheetViews>
  <sheetFormatPr defaultRowHeight="14.25"/>
  <cols>
    <col min="1" max="2" width="6.77734375" style="906" customWidth="1"/>
    <col min="3" max="3" width="8.77734375" style="906" customWidth="1"/>
    <col min="4" max="11" width="9.33203125" style="906" customWidth="1"/>
    <col min="12" max="12" width="10.77734375" style="906" customWidth="1"/>
    <col min="13" max="16384" width="8.88671875" style="923"/>
  </cols>
  <sheetData>
    <row r="1" spans="1:13" ht="30" customHeight="1">
      <c r="A1" s="1917" t="s">
        <v>738</v>
      </c>
      <c r="B1" s="1879"/>
      <c r="C1" s="1917"/>
      <c r="D1" s="1917"/>
      <c r="E1" s="1879"/>
      <c r="F1" s="1917"/>
      <c r="G1" s="1879"/>
      <c r="H1" s="1879"/>
      <c r="I1" s="1879"/>
      <c r="J1" s="1879"/>
      <c r="K1" s="1879"/>
      <c r="L1" s="1879"/>
    </row>
    <row r="2" spans="1:13" ht="30" customHeight="1">
      <c r="A2" s="1918" t="s">
        <v>653</v>
      </c>
      <c r="B2" s="1919"/>
      <c r="C2" s="1919"/>
      <c r="D2" s="1919" t="s">
        <v>652</v>
      </c>
      <c r="E2" s="1919"/>
      <c r="F2" s="1919"/>
      <c r="G2" s="1919" t="s">
        <v>651</v>
      </c>
      <c r="H2" s="1919"/>
      <c r="I2" s="1919"/>
      <c r="J2" s="1922" t="s">
        <v>646</v>
      </c>
      <c r="K2" s="1923"/>
      <c r="L2" s="1924" t="s">
        <v>22</v>
      </c>
    </row>
    <row r="3" spans="1:13" ht="30" customHeight="1">
      <c r="A3" s="1920"/>
      <c r="B3" s="1921"/>
      <c r="C3" s="1921"/>
      <c r="D3" s="924" t="s">
        <v>650</v>
      </c>
      <c r="E3" s="924" t="s">
        <v>649</v>
      </c>
      <c r="F3" s="924" t="s">
        <v>0</v>
      </c>
      <c r="G3" s="924" t="s">
        <v>650</v>
      </c>
      <c r="H3" s="924" t="s">
        <v>649</v>
      </c>
      <c r="I3" s="924" t="s">
        <v>0</v>
      </c>
      <c r="J3" s="924" t="s">
        <v>650</v>
      </c>
      <c r="K3" s="924" t="s">
        <v>649</v>
      </c>
      <c r="L3" s="1925"/>
    </row>
    <row r="4" spans="1:13" ht="30" customHeight="1">
      <c r="A4" s="1926" t="s">
        <v>340</v>
      </c>
      <c r="B4" s="1927"/>
      <c r="C4" s="925" t="s">
        <v>648</v>
      </c>
      <c r="D4" s="925">
        <f>'맨홀 평균 높이'!C158</f>
        <v>73</v>
      </c>
      <c r="E4" s="925">
        <f>'맨홀 평균 높이'!D158</f>
        <v>35</v>
      </c>
      <c r="F4" s="925">
        <f>SUM(D4:E4)</f>
        <v>108</v>
      </c>
      <c r="G4" s="925">
        <f>'맨홀 평균 높이'!C159</f>
        <v>314.61000000000007</v>
      </c>
      <c r="H4" s="925">
        <f>'맨홀 평균 높이'!D159</f>
        <v>91.09</v>
      </c>
      <c r="I4" s="925">
        <f>SUM(G4:H4)</f>
        <v>405.70000000000005</v>
      </c>
      <c r="J4" s="925">
        <f>ROUND(G4/D4,2)</f>
        <v>4.3099999999999996</v>
      </c>
      <c r="K4" s="925">
        <f>ROUND(H4/E4,2)</f>
        <v>2.6</v>
      </c>
      <c r="L4" s="926"/>
    </row>
    <row r="5" spans="1:13" ht="30" customHeight="1">
      <c r="A5" s="1915" t="s">
        <v>340</v>
      </c>
      <c r="B5" s="1916"/>
      <c r="C5" s="924" t="s">
        <v>341</v>
      </c>
      <c r="D5" s="924">
        <f>'맨홀 평균 높이'!E273</f>
        <v>38</v>
      </c>
      <c r="E5" s="924">
        <f>'맨홀 평균 높이'!F273</f>
        <v>46</v>
      </c>
      <c r="F5" s="924">
        <f>SUM(D5:E5)</f>
        <v>84</v>
      </c>
      <c r="G5" s="924">
        <f>'맨홀 평균 높이'!E274</f>
        <v>147.37000000000003</v>
      </c>
      <c r="H5" s="924">
        <f>'맨홀 평균 높이'!F274</f>
        <v>139.66999999999999</v>
      </c>
      <c r="I5" s="924">
        <f>SUM(G5:H5)</f>
        <v>287.04000000000002</v>
      </c>
      <c r="J5" s="924">
        <f>ROUND(G5/D5,2)</f>
        <v>3.88</v>
      </c>
      <c r="K5" s="1209">
        <f>ROUND(H5/E5,2)</f>
        <v>3.04</v>
      </c>
      <c r="L5" s="927"/>
      <c r="M5" s="923">
        <f>F4+F5</f>
        <v>192</v>
      </c>
    </row>
    <row r="6" spans="1:13" ht="30" customHeight="1"/>
    <row r="7" spans="1:13" ht="30" customHeight="1">
      <c r="A7" s="1917" t="s">
        <v>739</v>
      </c>
      <c r="B7" s="1879"/>
      <c r="C7" s="1917"/>
      <c r="D7" s="1917"/>
      <c r="E7" s="1879"/>
      <c r="F7" s="1917"/>
      <c r="G7" s="1879"/>
      <c r="H7" s="1879"/>
      <c r="I7" s="1879"/>
      <c r="J7" s="1879"/>
      <c r="K7" s="1879"/>
      <c r="L7" s="1879"/>
    </row>
    <row r="8" spans="1:13" ht="30" customHeight="1">
      <c r="A8" s="1928" t="s">
        <v>647</v>
      </c>
      <c r="B8" s="1929"/>
      <c r="C8" s="1929"/>
      <c r="D8" s="1930" t="s">
        <v>646</v>
      </c>
      <c r="E8" s="1933"/>
      <c r="F8" s="1933"/>
      <c r="G8" s="1934"/>
      <c r="H8" s="1929" t="s">
        <v>813</v>
      </c>
      <c r="I8" s="1929"/>
      <c r="J8" s="1929" t="s">
        <v>645</v>
      </c>
      <c r="K8" s="1930"/>
      <c r="L8" s="928" t="s">
        <v>22</v>
      </c>
    </row>
    <row r="9" spans="1:13" ht="30" customHeight="1">
      <c r="A9" s="1918" t="s">
        <v>644</v>
      </c>
      <c r="B9" s="1919"/>
      <c r="C9" s="925" t="s">
        <v>642</v>
      </c>
      <c r="D9" s="1935">
        <f>J4</f>
        <v>4.3099999999999996</v>
      </c>
      <c r="E9" s="1936"/>
      <c r="F9" s="1936"/>
      <c r="G9" s="1937"/>
      <c r="H9" s="1932">
        <v>0.06</v>
      </c>
      <c r="I9" s="1932"/>
      <c r="J9" s="1931">
        <f>D9-H9</f>
        <v>4.25</v>
      </c>
      <c r="K9" s="1931"/>
      <c r="L9" s="926"/>
    </row>
    <row r="10" spans="1:13" ht="30" customHeight="1">
      <c r="A10" s="1920"/>
      <c r="B10" s="1921"/>
      <c r="C10" s="924" t="s">
        <v>641</v>
      </c>
      <c r="D10" s="1939">
        <f>K4</f>
        <v>2.6</v>
      </c>
      <c r="E10" s="1940"/>
      <c r="F10" s="1940"/>
      <c r="G10" s="1941"/>
      <c r="H10" s="1942">
        <v>0.11</v>
      </c>
      <c r="I10" s="1942"/>
      <c r="J10" s="1938">
        <f>D10-H10</f>
        <v>2.4900000000000002</v>
      </c>
      <c r="K10" s="1938"/>
      <c r="L10" s="927"/>
    </row>
    <row r="11" spans="1:13" ht="30" customHeight="1">
      <c r="A11" s="1918" t="s">
        <v>643</v>
      </c>
      <c r="B11" s="1919"/>
      <c r="C11" s="925" t="s">
        <v>642</v>
      </c>
      <c r="D11" s="1935">
        <f>J5</f>
        <v>3.88</v>
      </c>
      <c r="E11" s="1936"/>
      <c r="F11" s="1936"/>
      <c r="G11" s="1937"/>
      <c r="H11" s="1932">
        <v>0.06</v>
      </c>
      <c r="I11" s="1932"/>
      <c r="J11" s="1931">
        <f>D11-H11</f>
        <v>3.82</v>
      </c>
      <c r="K11" s="1931"/>
      <c r="L11" s="926"/>
    </row>
    <row r="12" spans="1:13" ht="30" customHeight="1">
      <c r="A12" s="1920"/>
      <c r="B12" s="1921"/>
      <c r="C12" s="924" t="s">
        <v>641</v>
      </c>
      <c r="D12" s="1939">
        <f>K5</f>
        <v>3.04</v>
      </c>
      <c r="E12" s="1940"/>
      <c r="F12" s="1940"/>
      <c r="G12" s="1941"/>
      <c r="H12" s="1942">
        <v>0.11</v>
      </c>
      <c r="I12" s="1942"/>
      <c r="J12" s="1938">
        <f>D12-H12</f>
        <v>2.93</v>
      </c>
      <c r="K12" s="1938"/>
      <c r="L12" s="927"/>
    </row>
    <row r="13" spans="1:13" ht="30" customHeight="1">
      <c r="A13" s="923" t="s">
        <v>926</v>
      </c>
      <c r="B13" s="923"/>
    </row>
  </sheetData>
  <mergeCells count="27">
    <mergeCell ref="J12:K12"/>
    <mergeCell ref="D11:G11"/>
    <mergeCell ref="D12:G12"/>
    <mergeCell ref="A11:B12"/>
    <mergeCell ref="A9:B10"/>
    <mergeCell ref="J10:K10"/>
    <mergeCell ref="H10:I10"/>
    <mergeCell ref="D10:G10"/>
    <mergeCell ref="H11:I11"/>
    <mergeCell ref="J11:K11"/>
    <mergeCell ref="H12:I12"/>
    <mergeCell ref="A7:L7"/>
    <mergeCell ref="A8:C8"/>
    <mergeCell ref="J8:K8"/>
    <mergeCell ref="H8:I8"/>
    <mergeCell ref="J9:K9"/>
    <mergeCell ref="H9:I9"/>
    <mergeCell ref="D8:G8"/>
    <mergeCell ref="D9:G9"/>
    <mergeCell ref="A5:B5"/>
    <mergeCell ref="A1:L1"/>
    <mergeCell ref="A2:C3"/>
    <mergeCell ref="D2:F2"/>
    <mergeCell ref="G2:I2"/>
    <mergeCell ref="J2:K2"/>
    <mergeCell ref="L2:L3"/>
    <mergeCell ref="A4:B4"/>
  </mergeCells>
  <phoneticPr fontId="13" type="noConversion"/>
  <printOptions horizontalCentered="1"/>
  <pageMargins left="0.78740157480314965" right="0.78740157480314965" top="0.98425196850393704" bottom="0.78740157480314965" header="0.51181102362204722" footer="0.31496062992125984"/>
  <pageSetup paperSize="9" scale="86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7">
    <tabColor rgb="FFFF0000"/>
  </sheetPr>
  <dimension ref="A1:AO305"/>
  <sheetViews>
    <sheetView view="pageBreakPreview" topLeftCell="A231" zoomScale="85" zoomScaleNormal="70" zoomScaleSheetLayoutView="85" workbookViewId="0">
      <selection activeCell="L74" sqref="L74"/>
    </sheetView>
  </sheetViews>
  <sheetFormatPr defaultRowHeight="15" customHeight="1"/>
  <cols>
    <col min="1" max="2" width="9.88671875" style="919" customWidth="1"/>
    <col min="3" max="8" width="6.77734375" style="921" customWidth="1"/>
    <col min="9" max="12" width="6.77734375" style="919" customWidth="1"/>
    <col min="13" max="13" width="11.88671875" style="922" customWidth="1"/>
    <col min="14" max="16" width="7.44140625" style="919" customWidth="1"/>
    <col min="17" max="17" width="21.33203125" style="919" bestFit="1" customWidth="1"/>
    <col min="18" max="18" width="7.88671875" style="919" customWidth="1"/>
    <col min="19" max="19" width="7.77734375" style="919" bestFit="1" customWidth="1"/>
    <col min="20" max="20" width="7.77734375" style="919" customWidth="1"/>
    <col min="21" max="21" width="7.5546875" style="919" customWidth="1"/>
    <col min="22" max="22" width="6.109375" style="919" bestFit="1" customWidth="1"/>
    <col min="23" max="23" width="5.6640625" style="919" bestFit="1" customWidth="1"/>
    <col min="24" max="24" width="5.6640625" style="919" customWidth="1"/>
    <col min="25" max="27" width="5.6640625" style="919" bestFit="1" customWidth="1"/>
    <col min="28" max="29" width="6.6640625" style="919" bestFit="1" customWidth="1"/>
    <col min="30" max="16384" width="8.88671875" style="919"/>
  </cols>
  <sheetData>
    <row r="1" spans="1:41" s="913" customFormat="1" ht="15" customHeight="1">
      <c r="A1" s="1290" t="s">
        <v>338</v>
      </c>
      <c r="B1" s="1946" t="s">
        <v>805</v>
      </c>
      <c r="C1" s="1914" t="s">
        <v>667</v>
      </c>
      <c r="D1" s="1945"/>
      <c r="E1" s="1945"/>
      <c r="F1" s="1945"/>
      <c r="G1" s="1945"/>
      <c r="H1" s="1945"/>
      <c r="I1" s="1945"/>
      <c r="J1" s="1945"/>
      <c r="K1" s="1945"/>
      <c r="L1" s="1945"/>
      <c r="M1" s="1302" t="s">
        <v>34</v>
      </c>
      <c r="Q1" s="917" t="s">
        <v>801</v>
      </c>
      <c r="R1" s="917"/>
      <c r="S1" s="917"/>
      <c r="T1" s="917"/>
      <c r="U1" s="917"/>
      <c r="V1" s="917"/>
      <c r="W1" s="917"/>
      <c r="X1" s="917"/>
      <c r="Y1" s="917"/>
      <c r="Z1" s="917"/>
      <c r="AA1" s="917"/>
      <c r="AB1" s="917"/>
      <c r="AC1" s="917"/>
      <c r="AD1" s="917"/>
      <c r="AE1" s="917"/>
      <c r="AF1" s="917"/>
      <c r="AG1" s="917"/>
      <c r="AH1" s="917"/>
      <c r="AI1" s="917"/>
      <c r="AJ1" s="917"/>
      <c r="AK1" s="917"/>
      <c r="AL1" s="917"/>
      <c r="AM1" s="917"/>
      <c r="AN1" s="917"/>
      <c r="AO1" s="917"/>
    </row>
    <row r="2" spans="1:41" s="913" customFormat="1" ht="15" customHeight="1">
      <c r="A2" s="1290"/>
      <c r="B2" s="1946"/>
      <c r="C2" s="1944" t="s">
        <v>37</v>
      </c>
      <c r="D2" s="1944"/>
      <c r="E2" s="1944" t="s">
        <v>663</v>
      </c>
      <c r="F2" s="1944"/>
      <c r="G2" s="1944" t="s">
        <v>664</v>
      </c>
      <c r="H2" s="1944"/>
      <c r="I2" s="1290" t="s">
        <v>665</v>
      </c>
      <c r="J2" s="1290"/>
      <c r="K2" s="1290" t="s">
        <v>666</v>
      </c>
      <c r="L2" s="1290"/>
      <c r="M2" s="1302"/>
      <c r="Q2" s="1943" t="s">
        <v>31</v>
      </c>
      <c r="R2" s="1943" t="s">
        <v>495</v>
      </c>
      <c r="S2" s="1943" t="s">
        <v>798</v>
      </c>
      <c r="T2" s="1943"/>
      <c r="U2" s="1943" t="s">
        <v>799</v>
      </c>
      <c r="V2" s="1943"/>
      <c r="W2" s="1943"/>
      <c r="X2" s="1943"/>
      <c r="Y2" s="1943"/>
      <c r="Z2" s="1943"/>
      <c r="AA2" s="1943"/>
      <c r="AB2" s="1943"/>
      <c r="AC2" s="1943"/>
      <c r="AD2" s="1943"/>
      <c r="AE2" s="1943"/>
      <c r="AF2" s="1943"/>
      <c r="AG2" s="1943"/>
      <c r="AH2" s="1943"/>
      <c r="AI2" s="1943"/>
      <c r="AJ2" s="1943"/>
      <c r="AK2" s="1943"/>
      <c r="AL2" s="1943"/>
      <c r="AM2" s="1943"/>
      <c r="AN2" s="1943"/>
      <c r="AO2" s="1943"/>
    </row>
    <row r="3" spans="1:41" s="913" customFormat="1" ht="15" customHeight="1">
      <c r="A3" s="1290"/>
      <c r="B3" s="1947"/>
      <c r="C3" s="1251" t="s">
        <v>209</v>
      </c>
      <c r="D3" s="1251" t="s">
        <v>210</v>
      </c>
      <c r="E3" s="1251" t="s">
        <v>209</v>
      </c>
      <c r="F3" s="1251" t="s">
        <v>210</v>
      </c>
      <c r="G3" s="1251" t="s">
        <v>209</v>
      </c>
      <c r="H3" s="1251" t="s">
        <v>210</v>
      </c>
      <c r="I3" s="1249" t="s">
        <v>209</v>
      </c>
      <c r="J3" s="1249" t="s">
        <v>210</v>
      </c>
      <c r="K3" s="1249" t="s">
        <v>209</v>
      </c>
      <c r="L3" s="1249" t="s">
        <v>210</v>
      </c>
      <c r="M3" s="1290"/>
      <c r="P3" s="913" t="s">
        <v>949</v>
      </c>
      <c r="Q3" s="1943"/>
      <c r="R3" s="1943"/>
      <c r="S3" s="1252" t="s">
        <v>661</v>
      </c>
      <c r="T3" s="1252" t="s">
        <v>662</v>
      </c>
      <c r="U3" s="1943"/>
      <c r="V3" s="1252" t="s">
        <v>797</v>
      </c>
      <c r="W3" s="1252" t="s">
        <v>663</v>
      </c>
      <c r="X3" s="1252" t="s">
        <v>664</v>
      </c>
      <c r="Y3" s="1252" t="s">
        <v>665</v>
      </c>
      <c r="Z3" s="1252" t="s">
        <v>666</v>
      </c>
      <c r="AA3" s="1252"/>
      <c r="AB3" s="1252"/>
      <c r="AC3" s="1252"/>
      <c r="AD3" s="1252"/>
      <c r="AE3" s="1252"/>
      <c r="AF3" s="1252"/>
      <c r="AG3" s="1252"/>
      <c r="AH3" s="1252"/>
      <c r="AI3" s="1252"/>
      <c r="AJ3" s="1252"/>
      <c r="AK3" s="1252"/>
      <c r="AL3" s="1252"/>
      <c r="AM3" s="1252"/>
      <c r="AN3" s="1252"/>
      <c r="AO3" s="1252"/>
    </row>
    <row r="4" spans="1:41" s="913" customFormat="1" ht="15.95" customHeight="1">
      <c r="A4" s="1248" t="str">
        <f>R4</f>
        <v>M1-001</v>
      </c>
      <c r="B4" s="915" t="str">
        <f>IF($P4="보  도","보도","차도")</f>
        <v>차도</v>
      </c>
      <c r="C4" s="1251">
        <f>V4-D4</f>
        <v>0</v>
      </c>
      <c r="D4" s="1251"/>
      <c r="E4" s="1251">
        <f>W4-F4</f>
        <v>0</v>
      </c>
      <c r="F4" s="1251">
        <v>1</v>
      </c>
      <c r="G4" s="1251">
        <f>X4-H4</f>
        <v>0</v>
      </c>
      <c r="H4" s="1251"/>
      <c r="I4" s="1251">
        <f>Y4-J4</f>
        <v>0</v>
      </c>
      <c r="J4" s="915"/>
      <c r="K4" s="1251">
        <f>Z4-L4</f>
        <v>0</v>
      </c>
      <c r="L4" s="915"/>
      <c r="M4" s="915"/>
      <c r="N4" s="916">
        <f t="shared" ref="N4:N43" si="0">SUM(C4:L4)</f>
        <v>1</v>
      </c>
      <c r="O4" s="916">
        <f>S4-N4</f>
        <v>0</v>
      </c>
      <c r="P4" s="916" t="str">
        <f>VLOOKUP($A4,'맨홀 평균 높이'!$J$4:$M$572,4,0)</f>
        <v>차  도</v>
      </c>
      <c r="Q4" s="1264" t="s">
        <v>1230</v>
      </c>
      <c r="R4" s="1264" t="s">
        <v>1231</v>
      </c>
      <c r="S4" s="1252">
        <f>VLOOKUP($R4,Sheet1!$A$3:$C$241,2,FALSE)</f>
        <v>1</v>
      </c>
      <c r="T4" s="1252">
        <f>VLOOKUP($R4,Sheet1!$A$3:$C$241,3,FALSE)</f>
        <v>0</v>
      </c>
      <c r="U4" s="1252"/>
      <c r="V4" s="1252">
        <f>VLOOKUP($R4,Sheet1!$A$3:$F$214,4,FALSE)</f>
        <v>0</v>
      </c>
      <c r="W4" s="1252">
        <f>VLOOKUP($R4,Sheet1!$A$3:$F$214,5,FALSE)</f>
        <v>1</v>
      </c>
      <c r="X4" s="1252">
        <f>VLOOKUP($R4,Sheet1!$A$3:$F$214,6,FALSE)</f>
        <v>0</v>
      </c>
      <c r="Y4" s="1252"/>
      <c r="Z4" s="1252"/>
      <c r="AA4" s="917"/>
      <c r="AB4" s="917"/>
      <c r="AC4" s="917"/>
      <c r="AD4" s="917"/>
      <c r="AE4" s="917"/>
      <c r="AF4" s="917"/>
      <c r="AG4" s="917"/>
      <c r="AH4" s="917"/>
      <c r="AI4" s="917"/>
      <c r="AJ4" s="917"/>
      <c r="AK4" s="917"/>
      <c r="AL4" s="917"/>
      <c r="AM4" s="917"/>
      <c r="AN4" s="917"/>
      <c r="AO4" s="917"/>
    </row>
    <row r="5" spans="1:41" s="913" customFormat="1" ht="15.95" customHeight="1">
      <c r="A5" s="1248" t="str">
        <f t="shared" ref="A5:A43" si="1">R5</f>
        <v>M1-002</v>
      </c>
      <c r="B5" s="915" t="str">
        <f>IF($P5="보  도","보도","차도")</f>
        <v>보도</v>
      </c>
      <c r="C5" s="1251">
        <f t="shared" ref="C5:C43" si="2">V5-D5</f>
        <v>0</v>
      </c>
      <c r="D5" s="1251"/>
      <c r="E5" s="1251">
        <f t="shared" ref="E5:E43" si="3">W5-F5</f>
        <v>1</v>
      </c>
      <c r="F5" s="1251">
        <v>1</v>
      </c>
      <c r="G5" s="1251">
        <f t="shared" ref="G5:G43" si="4">X5-H5</f>
        <v>0</v>
      </c>
      <c r="H5" s="1251"/>
      <c r="I5" s="1251">
        <f t="shared" ref="I5:I43" si="5">Y5-J5</f>
        <v>0</v>
      </c>
      <c r="J5" s="915"/>
      <c r="K5" s="1251">
        <f t="shared" ref="K5:K43" si="6">Z5-L5</f>
        <v>0</v>
      </c>
      <c r="L5" s="915"/>
      <c r="M5" s="915"/>
      <c r="N5" s="916">
        <f t="shared" si="0"/>
        <v>2</v>
      </c>
      <c r="O5" s="916">
        <f t="shared" ref="O5:O43" si="7">S5-N5</f>
        <v>0</v>
      </c>
      <c r="P5" s="916" t="str">
        <f>VLOOKUP($A5,'맨홀 평균 높이'!$J$4:$M$572,4,0)</f>
        <v>보  도</v>
      </c>
      <c r="Q5" s="1264" t="s">
        <v>1230</v>
      </c>
      <c r="R5" s="1264" t="s">
        <v>1232</v>
      </c>
      <c r="S5" s="1252">
        <f>VLOOKUP($R5,Sheet1!$A$3:$C$241,2,FALSE)</f>
        <v>2</v>
      </c>
      <c r="T5" s="1252">
        <f>VLOOKUP($R5,Sheet1!$A$3:$C$241,3,FALSE)</f>
        <v>0</v>
      </c>
      <c r="U5" s="1252"/>
      <c r="V5" s="1252">
        <f>VLOOKUP($R5,Sheet1!$A$3:$F$214,4,FALSE)</f>
        <v>0</v>
      </c>
      <c r="W5" s="1252">
        <f>VLOOKUP($R5,Sheet1!$A$3:$F$214,5,FALSE)</f>
        <v>2</v>
      </c>
      <c r="X5" s="1252">
        <f>VLOOKUP($R5,Sheet1!$A$3:$F$214,6,FALSE)</f>
        <v>0</v>
      </c>
      <c r="Y5" s="1252"/>
      <c r="Z5" s="1252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917"/>
      <c r="AL5" s="917"/>
      <c r="AM5" s="917"/>
      <c r="AN5" s="917"/>
      <c r="AO5" s="917"/>
    </row>
    <row r="6" spans="1:41" s="913" customFormat="1" ht="15.95" customHeight="1">
      <c r="A6" s="1248" t="str">
        <f t="shared" si="1"/>
        <v>M1-005</v>
      </c>
      <c r="B6" s="915" t="str">
        <f t="shared" ref="B6:B44" si="8">IF($P6="보  도","보도","차도")</f>
        <v>보도</v>
      </c>
      <c r="C6" s="1251">
        <f t="shared" si="2"/>
        <v>0</v>
      </c>
      <c r="D6" s="1251"/>
      <c r="E6" s="1251">
        <f t="shared" si="3"/>
        <v>1</v>
      </c>
      <c r="F6" s="1251">
        <v>1</v>
      </c>
      <c r="G6" s="1251">
        <f t="shared" si="4"/>
        <v>0</v>
      </c>
      <c r="H6" s="1251"/>
      <c r="I6" s="1251">
        <f t="shared" si="5"/>
        <v>0</v>
      </c>
      <c r="J6" s="915"/>
      <c r="K6" s="1251">
        <f t="shared" si="6"/>
        <v>0</v>
      </c>
      <c r="L6" s="915"/>
      <c r="M6" s="915"/>
      <c r="N6" s="916">
        <f t="shared" si="0"/>
        <v>2</v>
      </c>
      <c r="O6" s="916">
        <f t="shared" si="7"/>
        <v>0</v>
      </c>
      <c r="P6" s="916" t="str">
        <f>VLOOKUP($A6,'맨홀 평균 높이'!$J$4:$M$572,4,0)</f>
        <v>보  도</v>
      </c>
      <c r="Q6" s="1264" t="s">
        <v>1334</v>
      </c>
      <c r="R6" s="1264" t="s">
        <v>1335</v>
      </c>
      <c r="S6" s="1252">
        <f>VLOOKUP($R6,Sheet1!$A$3:$C$241,2,FALSE)</f>
        <v>2</v>
      </c>
      <c r="T6" s="1252">
        <f>VLOOKUP($R6,Sheet1!$A$3:$C$241,3,FALSE)</f>
        <v>0</v>
      </c>
      <c r="U6" s="1252"/>
      <c r="V6" s="1252">
        <f>VLOOKUP($R6,Sheet1!$A$3:$F$214,4,FALSE)</f>
        <v>0</v>
      </c>
      <c r="W6" s="1252">
        <f>VLOOKUP($R6,Sheet1!$A$3:$F$214,5,FALSE)</f>
        <v>2</v>
      </c>
      <c r="X6" s="1252">
        <f>VLOOKUP($R6,Sheet1!$A$3:$F$214,6,FALSE)</f>
        <v>0</v>
      </c>
      <c r="Y6" s="1252"/>
      <c r="Z6" s="1252"/>
      <c r="AA6" s="917"/>
      <c r="AB6" s="917"/>
      <c r="AC6" s="917"/>
      <c r="AD6" s="917"/>
      <c r="AE6" s="917"/>
      <c r="AF6" s="917"/>
      <c r="AG6" s="917"/>
      <c r="AH6" s="917"/>
      <c r="AI6" s="917"/>
      <c r="AJ6" s="917"/>
      <c r="AK6" s="917"/>
      <c r="AL6" s="917"/>
      <c r="AM6" s="917"/>
      <c r="AN6" s="917"/>
      <c r="AO6" s="917"/>
    </row>
    <row r="7" spans="1:41" s="913" customFormat="1" ht="15.95" customHeight="1">
      <c r="A7" s="1248" t="str">
        <f t="shared" si="1"/>
        <v>M1-006</v>
      </c>
      <c r="B7" s="915" t="str">
        <f t="shared" si="8"/>
        <v>보도</v>
      </c>
      <c r="C7" s="1251">
        <f t="shared" si="2"/>
        <v>0</v>
      </c>
      <c r="D7" s="1251"/>
      <c r="E7" s="1251">
        <f t="shared" si="3"/>
        <v>1</v>
      </c>
      <c r="F7" s="1251">
        <v>1</v>
      </c>
      <c r="G7" s="1251">
        <f t="shared" si="4"/>
        <v>0</v>
      </c>
      <c r="H7" s="1251"/>
      <c r="I7" s="1251">
        <f t="shared" si="5"/>
        <v>0</v>
      </c>
      <c r="J7" s="915"/>
      <c r="K7" s="1251">
        <f t="shared" si="6"/>
        <v>0</v>
      </c>
      <c r="L7" s="915"/>
      <c r="M7" s="915"/>
      <c r="N7" s="916">
        <f t="shared" si="0"/>
        <v>2</v>
      </c>
      <c r="O7" s="916">
        <f t="shared" si="7"/>
        <v>0</v>
      </c>
      <c r="P7" s="916" t="str">
        <f>VLOOKUP($A7,'맨홀 평균 높이'!$J$4:$M$572,4,0)</f>
        <v>보  도</v>
      </c>
      <c r="Q7" s="1264" t="s">
        <v>1334</v>
      </c>
      <c r="R7" s="1264" t="s">
        <v>1233</v>
      </c>
      <c r="S7" s="1252">
        <f>VLOOKUP($R7,Sheet1!$A$3:$C$241,2,FALSE)</f>
        <v>2</v>
      </c>
      <c r="T7" s="1252">
        <f>VLOOKUP($R7,Sheet1!$A$3:$C$241,3,FALSE)</f>
        <v>0</v>
      </c>
      <c r="U7" s="1252"/>
      <c r="V7" s="1252">
        <f>VLOOKUP($R7,Sheet1!$A$3:$F$214,4,FALSE)</f>
        <v>0</v>
      </c>
      <c r="W7" s="1252">
        <f>VLOOKUP($R7,Sheet1!$A$3:$F$214,5,FALSE)</f>
        <v>2</v>
      </c>
      <c r="X7" s="1252">
        <f>VLOOKUP($R7,Sheet1!$A$3:$F$214,6,FALSE)</f>
        <v>0</v>
      </c>
      <c r="Y7" s="1252"/>
      <c r="Z7" s="1252"/>
      <c r="AA7" s="917"/>
      <c r="AB7" s="917"/>
      <c r="AC7" s="917"/>
      <c r="AD7" s="917"/>
      <c r="AE7" s="917"/>
      <c r="AF7" s="917"/>
      <c r="AG7" s="917"/>
      <c r="AH7" s="917"/>
      <c r="AI7" s="917"/>
      <c r="AJ7" s="917"/>
      <c r="AK7" s="917"/>
      <c r="AL7" s="917"/>
      <c r="AM7" s="917"/>
      <c r="AN7" s="917"/>
      <c r="AO7" s="917"/>
    </row>
    <row r="8" spans="1:41" s="913" customFormat="1" ht="15.95" customHeight="1">
      <c r="A8" s="1248" t="str">
        <f t="shared" si="1"/>
        <v>M1-010</v>
      </c>
      <c r="B8" s="915" t="str">
        <f t="shared" si="8"/>
        <v>보도</v>
      </c>
      <c r="C8" s="1251">
        <f t="shared" si="2"/>
        <v>0</v>
      </c>
      <c r="D8" s="1251"/>
      <c r="E8" s="1251">
        <f t="shared" si="3"/>
        <v>1</v>
      </c>
      <c r="F8" s="1251">
        <v>1</v>
      </c>
      <c r="G8" s="1251">
        <f t="shared" si="4"/>
        <v>0</v>
      </c>
      <c r="H8" s="1251"/>
      <c r="I8" s="1251">
        <f t="shared" si="5"/>
        <v>0</v>
      </c>
      <c r="J8" s="915"/>
      <c r="K8" s="1251">
        <f t="shared" si="6"/>
        <v>0</v>
      </c>
      <c r="L8" s="915"/>
      <c r="M8" s="915"/>
      <c r="N8" s="916">
        <f t="shared" si="0"/>
        <v>2</v>
      </c>
      <c r="O8" s="916">
        <f t="shared" si="7"/>
        <v>0</v>
      </c>
      <c r="P8" s="916" t="str">
        <f>VLOOKUP($A8,'맨홀 평균 높이'!$J$4:$M$572,4,0)</f>
        <v>보  도</v>
      </c>
      <c r="Q8" s="1264" t="s">
        <v>1234</v>
      </c>
      <c r="R8" s="1264" t="s">
        <v>1235</v>
      </c>
      <c r="S8" s="1252">
        <f>VLOOKUP($R8,Sheet1!$A$3:$C$241,2,FALSE)</f>
        <v>2</v>
      </c>
      <c r="T8" s="1252">
        <f>VLOOKUP($R8,Sheet1!$A$3:$C$241,3,FALSE)</f>
        <v>0</v>
      </c>
      <c r="U8" s="1252"/>
      <c r="V8" s="1252">
        <f>VLOOKUP($R8,Sheet1!$A$3:$F$214,4,FALSE)</f>
        <v>0</v>
      </c>
      <c r="W8" s="1252">
        <f>VLOOKUP($R8,Sheet1!$A$3:$F$214,5,FALSE)</f>
        <v>2</v>
      </c>
      <c r="X8" s="1252">
        <f>VLOOKUP($R8,Sheet1!$A$3:$F$214,6,FALSE)</f>
        <v>0</v>
      </c>
      <c r="Y8" s="1252"/>
      <c r="Z8" s="1252"/>
      <c r="AA8" s="917"/>
      <c r="AB8" s="917"/>
      <c r="AC8" s="917"/>
      <c r="AD8" s="917"/>
      <c r="AE8" s="917"/>
      <c r="AF8" s="917"/>
      <c r="AG8" s="917"/>
      <c r="AH8" s="917"/>
      <c r="AI8" s="917"/>
      <c r="AJ8" s="917"/>
      <c r="AK8" s="917"/>
      <c r="AL8" s="917"/>
      <c r="AM8" s="917"/>
      <c r="AN8" s="917"/>
      <c r="AO8" s="917"/>
    </row>
    <row r="9" spans="1:41" s="913" customFormat="1" ht="15.95" customHeight="1">
      <c r="A9" s="1248" t="str">
        <f t="shared" si="1"/>
        <v>M1-011</v>
      </c>
      <c r="B9" s="915" t="str">
        <f t="shared" si="8"/>
        <v>보도</v>
      </c>
      <c r="C9" s="1251">
        <f t="shared" si="2"/>
        <v>0</v>
      </c>
      <c r="D9" s="1251"/>
      <c r="E9" s="1251">
        <f t="shared" si="3"/>
        <v>1</v>
      </c>
      <c r="F9" s="1251">
        <v>1</v>
      </c>
      <c r="G9" s="1251">
        <f t="shared" si="4"/>
        <v>0</v>
      </c>
      <c r="H9" s="1251"/>
      <c r="I9" s="1251">
        <f t="shared" si="5"/>
        <v>0</v>
      </c>
      <c r="J9" s="915"/>
      <c r="K9" s="1251">
        <f t="shared" si="6"/>
        <v>0</v>
      </c>
      <c r="L9" s="915"/>
      <c r="M9" s="915"/>
      <c r="N9" s="916">
        <f t="shared" si="0"/>
        <v>2</v>
      </c>
      <c r="O9" s="916">
        <f t="shared" si="7"/>
        <v>0</v>
      </c>
      <c r="P9" s="916" t="str">
        <f>VLOOKUP($A9,'맨홀 평균 높이'!$J$4:$M$572,4,0)</f>
        <v>보  도</v>
      </c>
      <c r="Q9" s="1264" t="s">
        <v>1234</v>
      </c>
      <c r="R9" s="1264" t="s">
        <v>1236</v>
      </c>
      <c r="S9" s="1252">
        <f>VLOOKUP($R9,Sheet1!$A$3:$C$241,2,FALSE)</f>
        <v>2</v>
      </c>
      <c r="T9" s="1252">
        <f>VLOOKUP($R9,Sheet1!$A$3:$C$241,3,FALSE)</f>
        <v>0</v>
      </c>
      <c r="U9" s="1252"/>
      <c r="V9" s="1252">
        <f>VLOOKUP($R9,Sheet1!$A$3:$F$214,4,FALSE)</f>
        <v>0</v>
      </c>
      <c r="W9" s="1252">
        <f>VLOOKUP($R9,Sheet1!$A$3:$F$214,5,FALSE)</f>
        <v>2</v>
      </c>
      <c r="X9" s="1252">
        <f>VLOOKUP($R9,Sheet1!$A$3:$F$214,6,FALSE)</f>
        <v>0</v>
      </c>
      <c r="Y9" s="1252"/>
      <c r="Z9" s="1252"/>
      <c r="AA9" s="917"/>
      <c r="AB9" s="917"/>
      <c r="AC9" s="917"/>
      <c r="AD9" s="917"/>
      <c r="AE9" s="917"/>
      <c r="AF9" s="917"/>
      <c r="AG9" s="917"/>
      <c r="AH9" s="917"/>
      <c r="AI9" s="917"/>
      <c r="AJ9" s="917"/>
      <c r="AK9" s="917"/>
      <c r="AL9" s="917"/>
      <c r="AM9" s="917"/>
      <c r="AN9" s="917"/>
      <c r="AO9" s="917"/>
    </row>
    <row r="10" spans="1:41" s="913" customFormat="1" ht="15.95" customHeight="1">
      <c r="A10" s="1248" t="str">
        <f t="shared" si="1"/>
        <v>M1-012</v>
      </c>
      <c r="B10" s="915" t="str">
        <f t="shared" si="8"/>
        <v>보도</v>
      </c>
      <c r="C10" s="1251">
        <f t="shared" si="2"/>
        <v>0</v>
      </c>
      <c r="D10" s="1251"/>
      <c r="E10" s="1251">
        <f t="shared" si="3"/>
        <v>1</v>
      </c>
      <c r="F10" s="1251">
        <v>1</v>
      </c>
      <c r="G10" s="1251">
        <f t="shared" si="4"/>
        <v>0</v>
      </c>
      <c r="H10" s="1251"/>
      <c r="I10" s="1251">
        <f t="shared" si="5"/>
        <v>0</v>
      </c>
      <c r="J10" s="915"/>
      <c r="K10" s="1251">
        <f t="shared" si="6"/>
        <v>0</v>
      </c>
      <c r="L10" s="915"/>
      <c r="M10" s="915"/>
      <c r="N10" s="916">
        <f t="shared" si="0"/>
        <v>2</v>
      </c>
      <c r="O10" s="916">
        <f t="shared" si="7"/>
        <v>0</v>
      </c>
      <c r="P10" s="916" t="str">
        <f>VLOOKUP($A10,'맨홀 평균 높이'!$J$4:$M$572,4,0)</f>
        <v>보  도</v>
      </c>
      <c r="Q10" s="1264" t="s">
        <v>1234</v>
      </c>
      <c r="R10" s="1264" t="s">
        <v>1237</v>
      </c>
      <c r="S10" s="1252">
        <f>VLOOKUP($R10,Sheet1!$A$3:$C$241,2,FALSE)</f>
        <v>2</v>
      </c>
      <c r="T10" s="1252">
        <f>VLOOKUP($R10,Sheet1!$A$3:$C$241,3,FALSE)</f>
        <v>0</v>
      </c>
      <c r="U10" s="1252"/>
      <c r="V10" s="1252">
        <f>VLOOKUP($R10,Sheet1!$A$3:$F$214,4,FALSE)</f>
        <v>0</v>
      </c>
      <c r="W10" s="1252">
        <f>VLOOKUP($R10,Sheet1!$A$3:$F$214,5,FALSE)</f>
        <v>2</v>
      </c>
      <c r="X10" s="1252">
        <f>VLOOKUP($R10,Sheet1!$A$3:$F$214,6,FALSE)</f>
        <v>0</v>
      </c>
      <c r="Y10" s="1252"/>
      <c r="Z10" s="1252"/>
      <c r="AA10" s="917"/>
      <c r="AB10" s="917"/>
      <c r="AC10" s="917"/>
      <c r="AD10" s="917"/>
      <c r="AE10" s="917"/>
      <c r="AF10" s="917"/>
      <c r="AG10" s="917"/>
      <c r="AH10" s="917"/>
      <c r="AI10" s="917"/>
      <c r="AJ10" s="917"/>
      <c r="AK10" s="917"/>
      <c r="AL10" s="917"/>
      <c r="AM10" s="917"/>
      <c r="AN10" s="917"/>
      <c r="AO10" s="917"/>
    </row>
    <row r="11" spans="1:41" s="913" customFormat="1" ht="15.95" customHeight="1">
      <c r="A11" s="1248" t="str">
        <f t="shared" si="1"/>
        <v>M1-013</v>
      </c>
      <c r="B11" s="915" t="str">
        <f t="shared" si="8"/>
        <v>보도</v>
      </c>
      <c r="C11" s="1251">
        <f t="shared" si="2"/>
        <v>0</v>
      </c>
      <c r="D11" s="1251"/>
      <c r="E11" s="1251">
        <f t="shared" si="3"/>
        <v>1</v>
      </c>
      <c r="F11" s="1251">
        <v>1</v>
      </c>
      <c r="G11" s="1251">
        <f t="shared" si="4"/>
        <v>0</v>
      </c>
      <c r="H11" s="1251"/>
      <c r="I11" s="1251">
        <f t="shared" si="5"/>
        <v>0</v>
      </c>
      <c r="J11" s="915"/>
      <c r="K11" s="1251">
        <f t="shared" si="6"/>
        <v>0</v>
      </c>
      <c r="L11" s="915"/>
      <c r="M11" s="915"/>
      <c r="N11" s="916">
        <f t="shared" si="0"/>
        <v>2</v>
      </c>
      <c r="O11" s="916">
        <f t="shared" si="7"/>
        <v>0</v>
      </c>
      <c r="P11" s="916" t="str">
        <f>VLOOKUP($A11,'맨홀 평균 높이'!$J$4:$M$572,4,0)</f>
        <v>보  도</v>
      </c>
      <c r="Q11" s="1264" t="s">
        <v>1234</v>
      </c>
      <c r="R11" s="1264" t="s">
        <v>1238</v>
      </c>
      <c r="S11" s="1252">
        <f>VLOOKUP($R11,Sheet1!$A$3:$C$241,2,FALSE)</f>
        <v>2</v>
      </c>
      <c r="T11" s="1252">
        <f>VLOOKUP($R11,Sheet1!$A$3:$C$241,3,FALSE)</f>
        <v>0</v>
      </c>
      <c r="U11" s="1252"/>
      <c r="V11" s="1252">
        <f>VLOOKUP($R11,Sheet1!$A$3:$F$214,4,FALSE)</f>
        <v>0</v>
      </c>
      <c r="W11" s="1252">
        <f>VLOOKUP($R11,Sheet1!$A$3:$F$214,5,FALSE)</f>
        <v>2</v>
      </c>
      <c r="X11" s="1252">
        <f>VLOOKUP($R11,Sheet1!$A$3:$F$214,6,FALSE)</f>
        <v>0</v>
      </c>
      <c r="Y11" s="1252"/>
      <c r="Z11" s="1252"/>
      <c r="AA11" s="917"/>
      <c r="AB11" s="917"/>
      <c r="AC11" s="917"/>
      <c r="AD11" s="917"/>
      <c r="AE11" s="917"/>
      <c r="AF11" s="917"/>
      <c r="AG11" s="917"/>
      <c r="AH11" s="917"/>
      <c r="AI11" s="917"/>
      <c r="AJ11" s="917"/>
      <c r="AK11" s="917"/>
      <c r="AL11" s="917"/>
      <c r="AM11" s="917"/>
      <c r="AN11" s="917"/>
      <c r="AO11" s="917"/>
    </row>
    <row r="12" spans="1:41" s="913" customFormat="1" ht="15.95" customHeight="1">
      <c r="A12" s="1248" t="str">
        <f t="shared" si="1"/>
        <v>M1-014</v>
      </c>
      <c r="B12" s="915" t="str">
        <f t="shared" si="8"/>
        <v>보도</v>
      </c>
      <c r="C12" s="1251">
        <f t="shared" si="2"/>
        <v>0</v>
      </c>
      <c r="D12" s="1251"/>
      <c r="E12" s="1251">
        <f t="shared" si="3"/>
        <v>1</v>
      </c>
      <c r="F12" s="1251">
        <v>1</v>
      </c>
      <c r="G12" s="1251">
        <f t="shared" si="4"/>
        <v>0</v>
      </c>
      <c r="H12" s="1251"/>
      <c r="I12" s="1251">
        <f t="shared" si="5"/>
        <v>0</v>
      </c>
      <c r="J12" s="915"/>
      <c r="K12" s="1251">
        <f t="shared" si="6"/>
        <v>0</v>
      </c>
      <c r="L12" s="915"/>
      <c r="M12" s="915"/>
      <c r="N12" s="916">
        <f t="shared" si="0"/>
        <v>2</v>
      </c>
      <c r="O12" s="916">
        <f t="shared" si="7"/>
        <v>0</v>
      </c>
      <c r="P12" s="916" t="str">
        <f>VLOOKUP($A12,'맨홀 평균 높이'!$J$4:$M$572,4,0)</f>
        <v>보  도</v>
      </c>
      <c r="Q12" s="1264" t="s">
        <v>1234</v>
      </c>
      <c r="R12" s="1264" t="s">
        <v>1239</v>
      </c>
      <c r="S12" s="1252">
        <f>VLOOKUP($R12,Sheet1!$A$3:$C$241,2,FALSE)</f>
        <v>2</v>
      </c>
      <c r="T12" s="1252">
        <f>VLOOKUP($R12,Sheet1!$A$3:$C$241,3,FALSE)</f>
        <v>0</v>
      </c>
      <c r="U12" s="1252"/>
      <c r="V12" s="1252">
        <f>VLOOKUP($R12,Sheet1!$A$3:$F$214,4,FALSE)</f>
        <v>0</v>
      </c>
      <c r="W12" s="1252">
        <f>VLOOKUP($R12,Sheet1!$A$3:$F$214,5,FALSE)</f>
        <v>2</v>
      </c>
      <c r="X12" s="1252">
        <f>VLOOKUP($R12,Sheet1!$A$3:$F$214,6,FALSE)</f>
        <v>0</v>
      </c>
      <c r="Y12" s="1252"/>
      <c r="Z12" s="1252"/>
      <c r="AA12" s="917"/>
      <c r="AB12" s="917"/>
      <c r="AC12" s="917"/>
      <c r="AD12" s="917"/>
      <c r="AE12" s="917"/>
      <c r="AF12" s="917"/>
      <c r="AG12" s="917"/>
      <c r="AH12" s="917"/>
      <c r="AI12" s="917"/>
      <c r="AJ12" s="917"/>
      <c r="AK12" s="917"/>
      <c r="AL12" s="917"/>
      <c r="AM12" s="917"/>
      <c r="AN12" s="917"/>
      <c r="AO12" s="917"/>
    </row>
    <row r="13" spans="1:41" s="913" customFormat="1" ht="15.95" customHeight="1">
      <c r="A13" s="1248" t="str">
        <f t="shared" si="1"/>
        <v>M1-015</v>
      </c>
      <c r="B13" s="915" t="str">
        <f t="shared" si="8"/>
        <v>보도</v>
      </c>
      <c r="C13" s="1251">
        <f t="shared" si="2"/>
        <v>0</v>
      </c>
      <c r="D13" s="1251"/>
      <c r="E13" s="1251">
        <f t="shared" si="3"/>
        <v>1</v>
      </c>
      <c r="F13" s="1251">
        <v>1</v>
      </c>
      <c r="G13" s="1251">
        <f t="shared" si="4"/>
        <v>0</v>
      </c>
      <c r="H13" s="1251"/>
      <c r="I13" s="1251">
        <f t="shared" si="5"/>
        <v>0</v>
      </c>
      <c r="J13" s="915"/>
      <c r="K13" s="1251">
        <f t="shared" si="6"/>
        <v>0</v>
      </c>
      <c r="L13" s="915"/>
      <c r="M13" s="915"/>
      <c r="N13" s="916">
        <f t="shared" si="0"/>
        <v>2</v>
      </c>
      <c r="O13" s="916">
        <f t="shared" si="7"/>
        <v>0</v>
      </c>
      <c r="P13" s="916" t="str">
        <f>VLOOKUP($A13,'맨홀 평균 높이'!$J$4:$M$572,4,0)</f>
        <v>보  도</v>
      </c>
      <c r="Q13" s="1264" t="s">
        <v>1234</v>
      </c>
      <c r="R13" s="1264" t="s">
        <v>1240</v>
      </c>
      <c r="S13" s="1252">
        <f>VLOOKUP($R13,Sheet1!$A$3:$C$241,2,FALSE)</f>
        <v>2</v>
      </c>
      <c r="T13" s="1252">
        <f>VLOOKUP($R13,Sheet1!$A$3:$C$241,3,FALSE)</f>
        <v>0</v>
      </c>
      <c r="U13" s="1252"/>
      <c r="V13" s="1252">
        <f>VLOOKUP($R13,Sheet1!$A$3:$F$214,4,FALSE)</f>
        <v>0</v>
      </c>
      <c r="W13" s="1252">
        <f>VLOOKUP($R13,Sheet1!$A$3:$F$214,5,FALSE)</f>
        <v>2</v>
      </c>
      <c r="X13" s="1252">
        <f>VLOOKUP($R13,Sheet1!$A$3:$F$214,6,FALSE)</f>
        <v>0</v>
      </c>
      <c r="Y13" s="1252"/>
      <c r="Z13" s="1252"/>
      <c r="AA13" s="917"/>
      <c r="AB13" s="917"/>
      <c r="AC13" s="917"/>
      <c r="AD13" s="917"/>
      <c r="AE13" s="917"/>
      <c r="AF13" s="917"/>
      <c r="AG13" s="917"/>
      <c r="AH13" s="917"/>
      <c r="AI13" s="917"/>
      <c r="AJ13" s="917"/>
      <c r="AK13" s="917"/>
      <c r="AL13" s="917"/>
      <c r="AM13" s="917"/>
      <c r="AN13" s="917"/>
      <c r="AO13" s="917"/>
    </row>
    <row r="14" spans="1:41" s="913" customFormat="1" ht="15.95" customHeight="1">
      <c r="A14" s="1248" t="str">
        <f t="shared" si="1"/>
        <v>M1-017</v>
      </c>
      <c r="B14" s="915" t="str">
        <f t="shared" si="8"/>
        <v>보도</v>
      </c>
      <c r="C14" s="1251">
        <f t="shared" si="2"/>
        <v>0</v>
      </c>
      <c r="D14" s="1251"/>
      <c r="E14" s="1251">
        <f t="shared" si="3"/>
        <v>1</v>
      </c>
      <c r="F14" s="1251">
        <v>1</v>
      </c>
      <c r="G14" s="1251">
        <f t="shared" si="4"/>
        <v>0</v>
      </c>
      <c r="H14" s="1251"/>
      <c r="I14" s="1251">
        <f t="shared" si="5"/>
        <v>0</v>
      </c>
      <c r="J14" s="915"/>
      <c r="K14" s="1251">
        <f t="shared" si="6"/>
        <v>0</v>
      </c>
      <c r="L14" s="915"/>
      <c r="M14" s="915"/>
      <c r="N14" s="916">
        <f t="shared" si="0"/>
        <v>2</v>
      </c>
      <c r="O14" s="916">
        <f t="shared" si="7"/>
        <v>0</v>
      </c>
      <c r="P14" s="916" t="str">
        <f>VLOOKUP($A14,'맨홀 평균 높이'!$J$4:$M$572,4,0)</f>
        <v>보  도</v>
      </c>
      <c r="Q14" s="1264" t="s">
        <v>1234</v>
      </c>
      <c r="R14" s="1264" t="s">
        <v>1241</v>
      </c>
      <c r="S14" s="1252">
        <f>VLOOKUP($R14,Sheet1!$A$3:$C$241,2,FALSE)</f>
        <v>2</v>
      </c>
      <c r="T14" s="1252">
        <f>VLOOKUP($R14,Sheet1!$A$3:$C$241,3,FALSE)</f>
        <v>0</v>
      </c>
      <c r="U14" s="1252"/>
      <c r="V14" s="1252">
        <f>VLOOKUP($R14,Sheet1!$A$3:$F$214,4,FALSE)</f>
        <v>0</v>
      </c>
      <c r="W14" s="1252">
        <f>VLOOKUP($R14,Sheet1!$A$3:$F$214,5,FALSE)</f>
        <v>2</v>
      </c>
      <c r="X14" s="1252">
        <f>VLOOKUP($R14,Sheet1!$A$3:$F$214,6,FALSE)</f>
        <v>0</v>
      </c>
      <c r="Y14" s="1252"/>
      <c r="Z14" s="1252"/>
      <c r="AA14" s="917"/>
      <c r="AB14" s="917"/>
      <c r="AC14" s="917"/>
      <c r="AD14" s="917"/>
      <c r="AE14" s="917"/>
      <c r="AF14" s="917"/>
      <c r="AG14" s="917"/>
      <c r="AH14" s="917"/>
      <c r="AI14" s="917"/>
      <c r="AJ14" s="917"/>
      <c r="AK14" s="917"/>
      <c r="AL14" s="917"/>
      <c r="AM14" s="917"/>
      <c r="AN14" s="917"/>
      <c r="AO14" s="917"/>
    </row>
    <row r="15" spans="1:41" s="913" customFormat="1" ht="15.95" customHeight="1">
      <c r="A15" s="1248" t="str">
        <f t="shared" si="1"/>
        <v>M1-018</v>
      </c>
      <c r="B15" s="915" t="str">
        <f t="shared" si="8"/>
        <v>보도</v>
      </c>
      <c r="C15" s="1251">
        <f t="shared" si="2"/>
        <v>0</v>
      </c>
      <c r="D15" s="1251"/>
      <c r="E15" s="1251">
        <f t="shared" si="3"/>
        <v>1</v>
      </c>
      <c r="F15" s="1251">
        <v>1</v>
      </c>
      <c r="G15" s="1251">
        <f t="shared" si="4"/>
        <v>0</v>
      </c>
      <c r="H15" s="1251"/>
      <c r="I15" s="1251">
        <f t="shared" si="5"/>
        <v>0</v>
      </c>
      <c r="J15" s="915"/>
      <c r="K15" s="1251">
        <f t="shared" si="6"/>
        <v>0</v>
      </c>
      <c r="L15" s="915"/>
      <c r="M15" s="915"/>
      <c r="N15" s="916">
        <f t="shared" si="0"/>
        <v>2</v>
      </c>
      <c r="O15" s="916">
        <f t="shared" si="7"/>
        <v>0</v>
      </c>
      <c r="P15" s="916" t="str">
        <f>VLOOKUP($A15,'맨홀 평균 높이'!$J$4:$M$572,4,0)</f>
        <v>보  도</v>
      </c>
      <c r="Q15" s="1264" t="s">
        <v>1234</v>
      </c>
      <c r="R15" s="1264" t="s">
        <v>1242</v>
      </c>
      <c r="S15" s="1252">
        <f>VLOOKUP($R15,Sheet1!$A$3:$C$241,2,FALSE)</f>
        <v>2</v>
      </c>
      <c r="T15" s="1252">
        <f>VLOOKUP($R15,Sheet1!$A$3:$C$241,3,FALSE)</f>
        <v>0</v>
      </c>
      <c r="U15" s="1252"/>
      <c r="V15" s="1252">
        <f>VLOOKUP($R15,Sheet1!$A$3:$F$214,4,FALSE)</f>
        <v>0</v>
      </c>
      <c r="W15" s="1252">
        <f>VLOOKUP($R15,Sheet1!$A$3:$F$214,5,FALSE)</f>
        <v>2</v>
      </c>
      <c r="X15" s="1252">
        <f>VLOOKUP($R15,Sheet1!$A$3:$F$214,6,FALSE)</f>
        <v>0</v>
      </c>
      <c r="Y15" s="1252"/>
      <c r="Z15" s="1252"/>
      <c r="AA15" s="917"/>
      <c r="AB15" s="917"/>
      <c r="AC15" s="917"/>
      <c r="AD15" s="917"/>
      <c r="AE15" s="917"/>
      <c r="AF15" s="917"/>
      <c r="AG15" s="917"/>
      <c r="AH15" s="917"/>
      <c r="AI15" s="917"/>
      <c r="AJ15" s="917"/>
      <c r="AK15" s="917"/>
      <c r="AL15" s="917"/>
      <c r="AM15" s="917"/>
      <c r="AN15" s="917"/>
      <c r="AO15" s="917"/>
    </row>
    <row r="16" spans="1:41" s="913" customFormat="1" ht="15.95" customHeight="1">
      <c r="A16" s="1248" t="str">
        <f t="shared" si="1"/>
        <v>M1-019</v>
      </c>
      <c r="B16" s="915" t="str">
        <f t="shared" si="8"/>
        <v>보도</v>
      </c>
      <c r="C16" s="1251">
        <f t="shared" si="2"/>
        <v>0</v>
      </c>
      <c r="D16" s="1251"/>
      <c r="E16" s="1251">
        <f t="shared" si="3"/>
        <v>1</v>
      </c>
      <c r="F16" s="1251">
        <v>1</v>
      </c>
      <c r="G16" s="1251">
        <f t="shared" si="4"/>
        <v>0</v>
      </c>
      <c r="H16" s="1251"/>
      <c r="I16" s="1251">
        <f t="shared" si="5"/>
        <v>0</v>
      </c>
      <c r="J16" s="915"/>
      <c r="K16" s="1251">
        <f t="shared" si="6"/>
        <v>0</v>
      </c>
      <c r="L16" s="915"/>
      <c r="M16" s="915"/>
      <c r="N16" s="916">
        <f t="shared" si="0"/>
        <v>2</v>
      </c>
      <c r="O16" s="916">
        <f t="shared" si="7"/>
        <v>0</v>
      </c>
      <c r="P16" s="916" t="str">
        <f>VLOOKUP($A16,'맨홀 평균 높이'!$J$4:$M$572,4,0)</f>
        <v>보  도</v>
      </c>
      <c r="Q16" s="1264" t="s">
        <v>1234</v>
      </c>
      <c r="R16" s="1264" t="s">
        <v>1243</v>
      </c>
      <c r="S16" s="1252">
        <f>VLOOKUP($R16,Sheet1!$A$3:$C$241,2,FALSE)</f>
        <v>2</v>
      </c>
      <c r="T16" s="1252">
        <f>VLOOKUP($R16,Sheet1!$A$3:$C$241,3,FALSE)</f>
        <v>0</v>
      </c>
      <c r="U16" s="1252"/>
      <c r="V16" s="1252">
        <f>VLOOKUP($R16,Sheet1!$A$3:$F$214,4,FALSE)</f>
        <v>0</v>
      </c>
      <c r="W16" s="1252">
        <f>VLOOKUP($R16,Sheet1!$A$3:$F$214,5,FALSE)</f>
        <v>2</v>
      </c>
      <c r="X16" s="1252">
        <f>VLOOKUP($R16,Sheet1!$A$3:$F$214,6,FALSE)</f>
        <v>0</v>
      </c>
      <c r="Y16" s="1252"/>
      <c r="Z16" s="1252"/>
      <c r="AA16" s="917"/>
      <c r="AB16" s="917"/>
      <c r="AC16" s="917"/>
      <c r="AD16" s="917"/>
      <c r="AE16" s="917"/>
      <c r="AF16" s="917"/>
      <c r="AG16" s="917"/>
      <c r="AH16" s="917"/>
      <c r="AI16" s="917"/>
      <c r="AJ16" s="917"/>
      <c r="AK16" s="917"/>
      <c r="AL16" s="917"/>
      <c r="AM16" s="917"/>
      <c r="AN16" s="917"/>
      <c r="AO16" s="917"/>
    </row>
    <row r="17" spans="1:41" s="913" customFormat="1" ht="15.95" customHeight="1">
      <c r="A17" s="1248" t="str">
        <f t="shared" si="1"/>
        <v>M1-020</v>
      </c>
      <c r="B17" s="915" t="str">
        <f t="shared" si="8"/>
        <v>보도</v>
      </c>
      <c r="C17" s="1251">
        <f t="shared" si="2"/>
        <v>0</v>
      </c>
      <c r="D17" s="1251"/>
      <c r="E17" s="1251">
        <f t="shared" si="3"/>
        <v>1</v>
      </c>
      <c r="F17" s="1251">
        <v>1</v>
      </c>
      <c r="G17" s="1251">
        <f t="shared" si="4"/>
        <v>0</v>
      </c>
      <c r="H17" s="1251"/>
      <c r="I17" s="1251">
        <f t="shared" si="5"/>
        <v>0</v>
      </c>
      <c r="J17" s="915"/>
      <c r="K17" s="1251">
        <f t="shared" si="6"/>
        <v>0</v>
      </c>
      <c r="L17" s="915"/>
      <c r="M17" s="915"/>
      <c r="N17" s="916">
        <f t="shared" si="0"/>
        <v>2</v>
      </c>
      <c r="O17" s="916">
        <f t="shared" si="7"/>
        <v>0</v>
      </c>
      <c r="P17" s="916" t="str">
        <f>VLOOKUP($A17,'맨홀 평균 높이'!$J$4:$M$572,4,0)</f>
        <v>보  도</v>
      </c>
      <c r="Q17" s="1264" t="s">
        <v>1234</v>
      </c>
      <c r="R17" s="1264" t="s">
        <v>1244</v>
      </c>
      <c r="S17" s="1252">
        <f>VLOOKUP($R17,Sheet1!$A$3:$C$241,2,FALSE)</f>
        <v>2</v>
      </c>
      <c r="T17" s="1252">
        <f>VLOOKUP($R17,Sheet1!$A$3:$C$241,3,FALSE)</f>
        <v>0</v>
      </c>
      <c r="U17" s="1252"/>
      <c r="V17" s="1252">
        <f>VLOOKUP($R17,Sheet1!$A$3:$F$214,4,FALSE)</f>
        <v>0</v>
      </c>
      <c r="W17" s="1252">
        <f>VLOOKUP($R17,Sheet1!$A$3:$F$214,5,FALSE)</f>
        <v>2</v>
      </c>
      <c r="X17" s="1252">
        <f>VLOOKUP($R17,Sheet1!$A$3:$F$214,6,FALSE)</f>
        <v>0</v>
      </c>
      <c r="Y17" s="1252"/>
      <c r="Z17" s="1252"/>
      <c r="AA17" s="917"/>
      <c r="AB17" s="917"/>
      <c r="AC17" s="917"/>
      <c r="AD17" s="917"/>
      <c r="AE17" s="917"/>
      <c r="AF17" s="917"/>
      <c r="AG17" s="917"/>
      <c r="AH17" s="917"/>
      <c r="AI17" s="917"/>
      <c r="AJ17" s="917"/>
      <c r="AK17" s="917"/>
      <c r="AL17" s="917"/>
      <c r="AM17" s="917"/>
      <c r="AN17" s="917"/>
      <c r="AO17" s="917"/>
    </row>
    <row r="18" spans="1:41" s="913" customFormat="1" ht="15.95" customHeight="1">
      <c r="A18" s="1248" t="str">
        <f t="shared" si="1"/>
        <v>M1-021</v>
      </c>
      <c r="B18" s="915" t="str">
        <f t="shared" si="8"/>
        <v>보도</v>
      </c>
      <c r="C18" s="1251">
        <f t="shared" si="2"/>
        <v>0</v>
      </c>
      <c r="D18" s="1251"/>
      <c r="E18" s="1251">
        <f t="shared" si="3"/>
        <v>1</v>
      </c>
      <c r="F18" s="1251">
        <v>1</v>
      </c>
      <c r="G18" s="1251">
        <f t="shared" si="4"/>
        <v>0</v>
      </c>
      <c r="H18" s="1251"/>
      <c r="I18" s="1251">
        <f t="shared" si="5"/>
        <v>0</v>
      </c>
      <c r="J18" s="915"/>
      <c r="K18" s="1251">
        <f t="shared" si="6"/>
        <v>0</v>
      </c>
      <c r="L18" s="915"/>
      <c r="M18" s="915"/>
      <c r="N18" s="916">
        <f t="shared" si="0"/>
        <v>2</v>
      </c>
      <c r="O18" s="916">
        <f t="shared" si="7"/>
        <v>0</v>
      </c>
      <c r="P18" s="916" t="str">
        <f>VLOOKUP($A18,'맨홀 평균 높이'!$J$4:$M$572,4,0)</f>
        <v>보  도</v>
      </c>
      <c r="Q18" s="1264" t="s">
        <v>1234</v>
      </c>
      <c r="R18" s="1264" t="s">
        <v>1245</v>
      </c>
      <c r="S18" s="1252">
        <f>VLOOKUP($R18,Sheet1!$A$3:$C$241,2,FALSE)</f>
        <v>2</v>
      </c>
      <c r="T18" s="1252">
        <f>VLOOKUP($R18,Sheet1!$A$3:$C$241,3,FALSE)</f>
        <v>0</v>
      </c>
      <c r="U18" s="1252"/>
      <c r="V18" s="1252">
        <f>VLOOKUP($R18,Sheet1!$A$3:$F$214,4,FALSE)</f>
        <v>0</v>
      </c>
      <c r="W18" s="1252">
        <f>VLOOKUP($R18,Sheet1!$A$3:$F$214,5,FALSE)</f>
        <v>2</v>
      </c>
      <c r="X18" s="1252">
        <f>VLOOKUP($R18,Sheet1!$A$3:$F$214,6,FALSE)</f>
        <v>0</v>
      </c>
      <c r="Y18" s="1252"/>
      <c r="Z18" s="1252"/>
      <c r="AA18" s="917"/>
      <c r="AB18" s="917"/>
      <c r="AC18" s="917"/>
      <c r="AD18" s="917"/>
      <c r="AE18" s="917"/>
      <c r="AF18" s="917"/>
      <c r="AG18" s="917"/>
      <c r="AH18" s="917"/>
      <c r="AI18" s="917"/>
      <c r="AJ18" s="917"/>
      <c r="AK18" s="917"/>
      <c r="AL18" s="917"/>
      <c r="AM18" s="917"/>
      <c r="AN18" s="917"/>
      <c r="AO18" s="917"/>
    </row>
    <row r="19" spans="1:41" s="913" customFormat="1" ht="15.95" customHeight="1">
      <c r="A19" s="1248" t="str">
        <f t="shared" si="1"/>
        <v>M1-022</v>
      </c>
      <c r="B19" s="915" t="str">
        <f t="shared" si="8"/>
        <v>보도</v>
      </c>
      <c r="C19" s="1251">
        <f t="shared" si="2"/>
        <v>0</v>
      </c>
      <c r="D19" s="1251"/>
      <c r="E19" s="1251">
        <f t="shared" si="3"/>
        <v>1</v>
      </c>
      <c r="F19" s="1251">
        <v>1</v>
      </c>
      <c r="G19" s="1251">
        <f t="shared" si="4"/>
        <v>0</v>
      </c>
      <c r="H19" s="1251"/>
      <c r="I19" s="1251">
        <f t="shared" si="5"/>
        <v>0</v>
      </c>
      <c r="J19" s="915"/>
      <c r="K19" s="1251">
        <f t="shared" si="6"/>
        <v>0</v>
      </c>
      <c r="L19" s="915"/>
      <c r="M19" s="915"/>
      <c r="N19" s="916">
        <f t="shared" si="0"/>
        <v>2</v>
      </c>
      <c r="O19" s="916">
        <f t="shared" si="7"/>
        <v>0</v>
      </c>
      <c r="P19" s="916" t="str">
        <f>VLOOKUP($A19,'맨홀 평균 높이'!$J$4:$M$572,4,0)</f>
        <v>보  도</v>
      </c>
      <c r="Q19" s="1264" t="s">
        <v>1234</v>
      </c>
      <c r="R19" s="1264" t="s">
        <v>1246</v>
      </c>
      <c r="S19" s="1252">
        <f>VLOOKUP($R19,Sheet1!$A$3:$C$241,2,FALSE)</f>
        <v>2</v>
      </c>
      <c r="T19" s="1252">
        <f>VLOOKUP($R19,Sheet1!$A$3:$C$241,3,FALSE)</f>
        <v>0</v>
      </c>
      <c r="U19" s="1252"/>
      <c r="V19" s="1252">
        <f>VLOOKUP($R19,Sheet1!$A$3:$F$214,4,FALSE)</f>
        <v>0</v>
      </c>
      <c r="W19" s="1252">
        <f>VLOOKUP($R19,Sheet1!$A$3:$F$214,5,FALSE)</f>
        <v>2</v>
      </c>
      <c r="X19" s="1252">
        <f>VLOOKUP($R19,Sheet1!$A$3:$F$214,6,FALSE)</f>
        <v>0</v>
      </c>
      <c r="Y19" s="1252"/>
      <c r="Z19" s="1252"/>
      <c r="AA19" s="917"/>
      <c r="AB19" s="917"/>
      <c r="AC19" s="917"/>
      <c r="AD19" s="917"/>
      <c r="AE19" s="917"/>
      <c r="AF19" s="917"/>
      <c r="AG19" s="917"/>
      <c r="AH19" s="917"/>
      <c r="AI19" s="917"/>
      <c r="AJ19" s="917"/>
      <c r="AK19" s="917"/>
      <c r="AL19" s="917"/>
      <c r="AM19" s="917"/>
      <c r="AN19" s="917"/>
      <c r="AO19" s="917"/>
    </row>
    <row r="21" spans="1:41" s="913" customFormat="1" ht="15.95" customHeight="1">
      <c r="A21" s="1248" t="str">
        <f t="shared" si="1"/>
        <v>M1-024</v>
      </c>
      <c r="B21" s="915" t="str">
        <f t="shared" si="8"/>
        <v>보도</v>
      </c>
      <c r="C21" s="1251">
        <f t="shared" si="2"/>
        <v>0</v>
      </c>
      <c r="D21" s="1251"/>
      <c r="E21" s="1251">
        <f t="shared" si="3"/>
        <v>1</v>
      </c>
      <c r="F21" s="1251">
        <v>1</v>
      </c>
      <c r="G21" s="1251">
        <f t="shared" si="4"/>
        <v>0</v>
      </c>
      <c r="H21" s="1251"/>
      <c r="I21" s="1251">
        <f t="shared" si="5"/>
        <v>0</v>
      </c>
      <c r="J21" s="915"/>
      <c r="K21" s="1251">
        <f t="shared" si="6"/>
        <v>0</v>
      </c>
      <c r="L21" s="915"/>
      <c r="M21" s="915"/>
      <c r="N21" s="916">
        <f t="shared" si="0"/>
        <v>2</v>
      </c>
      <c r="O21" s="916">
        <f t="shared" si="7"/>
        <v>0</v>
      </c>
      <c r="P21" s="916" t="str">
        <f>VLOOKUP($A21,'맨홀 평균 높이'!$J$4:$M$572,4,0)</f>
        <v>보  도</v>
      </c>
      <c r="Q21" s="1264" t="s">
        <v>1234</v>
      </c>
      <c r="R21" s="1264" t="s">
        <v>1247</v>
      </c>
      <c r="S21" s="1252">
        <f>VLOOKUP($R21,Sheet1!$A$3:$C$241,2,FALSE)</f>
        <v>2</v>
      </c>
      <c r="T21" s="1252">
        <f>VLOOKUP($R21,Sheet1!$A$3:$C$241,3,FALSE)</f>
        <v>0</v>
      </c>
      <c r="U21" s="1252"/>
      <c r="V21" s="1252">
        <f>VLOOKUP($R21,Sheet1!$A$3:$F$214,4,FALSE)</f>
        <v>0</v>
      </c>
      <c r="W21" s="1252">
        <f>VLOOKUP($R21,Sheet1!$A$3:$F$214,5,FALSE)</f>
        <v>2</v>
      </c>
      <c r="X21" s="1252">
        <f>VLOOKUP($R21,Sheet1!$A$3:$F$214,6,FALSE)</f>
        <v>0</v>
      </c>
      <c r="Y21" s="1252"/>
      <c r="Z21" s="1252"/>
      <c r="AA21" s="917"/>
      <c r="AB21" s="917"/>
      <c r="AC21" s="917"/>
      <c r="AD21" s="917"/>
      <c r="AE21" s="917"/>
      <c r="AF21" s="917"/>
      <c r="AG21" s="917"/>
      <c r="AH21" s="917"/>
      <c r="AI21" s="917"/>
      <c r="AJ21" s="917"/>
      <c r="AK21" s="917"/>
      <c r="AL21" s="917"/>
      <c r="AM21" s="917"/>
      <c r="AN21" s="917"/>
      <c r="AO21" s="917"/>
    </row>
    <row r="23" spans="1:41" s="913" customFormat="1" ht="15.95" customHeight="1">
      <c r="A23" s="1248" t="str">
        <f t="shared" si="1"/>
        <v>M1-027</v>
      </c>
      <c r="B23" s="915" t="str">
        <f t="shared" si="8"/>
        <v>보도</v>
      </c>
      <c r="C23" s="1251">
        <f t="shared" si="2"/>
        <v>0</v>
      </c>
      <c r="D23" s="1251"/>
      <c r="E23" s="1251">
        <f t="shared" si="3"/>
        <v>1</v>
      </c>
      <c r="F23" s="1251">
        <v>1</v>
      </c>
      <c r="G23" s="1251">
        <f t="shared" si="4"/>
        <v>0</v>
      </c>
      <c r="H23" s="1251"/>
      <c r="I23" s="1251">
        <f t="shared" si="5"/>
        <v>0</v>
      </c>
      <c r="J23" s="915"/>
      <c r="K23" s="1251">
        <f t="shared" si="6"/>
        <v>0</v>
      </c>
      <c r="L23" s="915"/>
      <c r="M23" s="915"/>
      <c r="N23" s="916">
        <f t="shared" si="0"/>
        <v>2</v>
      </c>
      <c r="O23" s="916">
        <f t="shared" si="7"/>
        <v>0</v>
      </c>
      <c r="P23" s="916" t="str">
        <f>VLOOKUP($A23,'맨홀 평균 높이'!$J$4:$M$572,4,0)</f>
        <v>보  도</v>
      </c>
      <c r="Q23" s="1264" t="s">
        <v>1234</v>
      </c>
      <c r="R23" s="1264" t="s">
        <v>1248</v>
      </c>
      <c r="S23" s="1252">
        <f>VLOOKUP($R23,Sheet1!$A$3:$C$241,2,FALSE)</f>
        <v>2</v>
      </c>
      <c r="T23" s="1252">
        <f>VLOOKUP($R23,Sheet1!$A$3:$C$241,3,FALSE)</f>
        <v>0</v>
      </c>
      <c r="U23" s="1252"/>
      <c r="V23" s="1252">
        <f>VLOOKUP($R23,Sheet1!$A$3:$F$214,4,FALSE)</f>
        <v>0</v>
      </c>
      <c r="W23" s="1252">
        <f>VLOOKUP($R23,Sheet1!$A$3:$F$214,5,FALSE)</f>
        <v>2</v>
      </c>
      <c r="X23" s="1252">
        <f>VLOOKUP($R23,Sheet1!$A$3:$F$214,6,FALSE)</f>
        <v>0</v>
      </c>
      <c r="Y23" s="1252"/>
      <c r="Z23" s="1252"/>
      <c r="AA23" s="917"/>
      <c r="AB23" s="917"/>
      <c r="AC23" s="917"/>
      <c r="AD23" s="917"/>
      <c r="AE23" s="917"/>
      <c r="AF23" s="917"/>
      <c r="AG23" s="917"/>
      <c r="AH23" s="917"/>
      <c r="AI23" s="917"/>
      <c r="AJ23" s="917"/>
      <c r="AK23" s="917"/>
      <c r="AL23" s="917"/>
      <c r="AM23" s="917"/>
      <c r="AN23" s="917"/>
      <c r="AO23" s="917"/>
    </row>
    <row r="24" spans="1:41" s="913" customFormat="1" ht="15.95" customHeight="1">
      <c r="A24" s="1248" t="str">
        <f t="shared" si="1"/>
        <v>M1-028</v>
      </c>
      <c r="B24" s="915" t="str">
        <f t="shared" si="8"/>
        <v>보도</v>
      </c>
      <c r="C24" s="1251">
        <f t="shared" si="2"/>
        <v>0</v>
      </c>
      <c r="D24" s="1251"/>
      <c r="E24" s="1251">
        <f t="shared" si="3"/>
        <v>1</v>
      </c>
      <c r="F24" s="1251">
        <v>1</v>
      </c>
      <c r="G24" s="1251">
        <f t="shared" si="4"/>
        <v>0</v>
      </c>
      <c r="H24" s="1251"/>
      <c r="I24" s="1251">
        <f t="shared" si="5"/>
        <v>0</v>
      </c>
      <c r="J24" s="915"/>
      <c r="K24" s="1251">
        <f t="shared" si="6"/>
        <v>0</v>
      </c>
      <c r="L24" s="915"/>
      <c r="M24" s="915"/>
      <c r="N24" s="916">
        <f t="shared" si="0"/>
        <v>2</v>
      </c>
      <c r="O24" s="916">
        <f t="shared" si="7"/>
        <v>0</v>
      </c>
      <c r="P24" s="916" t="str">
        <f>VLOOKUP($A24,'맨홀 평균 높이'!$J$4:$M$572,4,0)</f>
        <v>보  도</v>
      </c>
      <c r="Q24" s="1264" t="s">
        <v>1234</v>
      </c>
      <c r="R24" s="1264" t="s">
        <v>1249</v>
      </c>
      <c r="S24" s="1252">
        <f>VLOOKUP($R24,Sheet1!$A$3:$C$241,2,FALSE)</f>
        <v>2</v>
      </c>
      <c r="T24" s="1252">
        <f>VLOOKUP($R24,Sheet1!$A$3:$C$241,3,FALSE)</f>
        <v>0</v>
      </c>
      <c r="U24" s="1252"/>
      <c r="V24" s="1252">
        <f>VLOOKUP($R24,Sheet1!$A$3:$F$214,4,FALSE)</f>
        <v>0</v>
      </c>
      <c r="W24" s="1252">
        <f>VLOOKUP($R24,Sheet1!$A$3:$F$214,5,FALSE)</f>
        <v>2</v>
      </c>
      <c r="X24" s="1252">
        <f>VLOOKUP($R24,Sheet1!$A$3:$F$214,6,FALSE)</f>
        <v>0</v>
      </c>
      <c r="Y24" s="1252"/>
      <c r="Z24" s="1252"/>
      <c r="AA24" s="917"/>
      <c r="AB24" s="917"/>
      <c r="AC24" s="917"/>
      <c r="AD24" s="917"/>
      <c r="AE24" s="917"/>
      <c r="AF24" s="917"/>
      <c r="AG24" s="917"/>
      <c r="AH24" s="917"/>
      <c r="AI24" s="917"/>
      <c r="AJ24" s="917"/>
      <c r="AK24" s="917"/>
      <c r="AL24" s="917"/>
      <c r="AM24" s="917"/>
      <c r="AN24" s="917"/>
      <c r="AO24" s="917"/>
    </row>
    <row r="25" spans="1:41" s="913" customFormat="1" ht="15.95" customHeight="1">
      <c r="A25" s="1248" t="str">
        <f t="shared" si="1"/>
        <v>M1-029</v>
      </c>
      <c r="B25" s="915" t="str">
        <f t="shared" si="8"/>
        <v>보도</v>
      </c>
      <c r="C25" s="1251">
        <f t="shared" si="2"/>
        <v>0</v>
      </c>
      <c r="D25" s="1251"/>
      <c r="E25" s="1251">
        <f t="shared" si="3"/>
        <v>1</v>
      </c>
      <c r="F25" s="1251">
        <v>1</v>
      </c>
      <c r="G25" s="1251">
        <f t="shared" si="4"/>
        <v>0</v>
      </c>
      <c r="H25" s="1251"/>
      <c r="I25" s="1251">
        <f t="shared" si="5"/>
        <v>0</v>
      </c>
      <c r="J25" s="915"/>
      <c r="K25" s="1251">
        <f t="shared" si="6"/>
        <v>0</v>
      </c>
      <c r="L25" s="915"/>
      <c r="M25" s="915"/>
      <c r="N25" s="916">
        <f t="shared" si="0"/>
        <v>2</v>
      </c>
      <c r="O25" s="916">
        <f t="shared" si="7"/>
        <v>0</v>
      </c>
      <c r="P25" s="916" t="str">
        <f>VLOOKUP($A25,'맨홀 평균 높이'!$J$4:$M$572,4,0)</f>
        <v>보  도</v>
      </c>
      <c r="Q25" s="1264" t="s">
        <v>1234</v>
      </c>
      <c r="R25" s="1264" t="s">
        <v>1250</v>
      </c>
      <c r="S25" s="1252">
        <f>VLOOKUP($R25,Sheet1!$A$3:$C$241,2,FALSE)</f>
        <v>2</v>
      </c>
      <c r="T25" s="1252">
        <f>VLOOKUP($R25,Sheet1!$A$3:$C$241,3,FALSE)</f>
        <v>0</v>
      </c>
      <c r="U25" s="1252"/>
      <c r="V25" s="1252">
        <f>VLOOKUP($R25,Sheet1!$A$3:$F$214,4,FALSE)</f>
        <v>0</v>
      </c>
      <c r="W25" s="1252">
        <f>VLOOKUP($R25,Sheet1!$A$3:$F$214,5,FALSE)</f>
        <v>2</v>
      </c>
      <c r="X25" s="1252">
        <f>VLOOKUP($R25,Sheet1!$A$3:$F$214,6,FALSE)</f>
        <v>0</v>
      </c>
      <c r="Y25" s="1252"/>
      <c r="Z25" s="1252"/>
      <c r="AA25" s="917"/>
      <c r="AB25" s="917"/>
      <c r="AC25" s="917"/>
      <c r="AD25" s="917"/>
      <c r="AE25" s="917"/>
      <c r="AF25" s="917"/>
      <c r="AG25" s="917"/>
      <c r="AH25" s="917"/>
      <c r="AI25" s="917"/>
      <c r="AJ25" s="917"/>
      <c r="AK25" s="917"/>
      <c r="AL25" s="917"/>
      <c r="AM25" s="917"/>
      <c r="AN25" s="917"/>
      <c r="AO25" s="917"/>
    </row>
    <row r="28" spans="1:41" s="913" customFormat="1" ht="15.95" customHeight="1">
      <c r="A28" s="1248" t="str">
        <f t="shared" si="1"/>
        <v>M1-032</v>
      </c>
      <c r="B28" s="915" t="str">
        <f t="shared" si="8"/>
        <v>보도</v>
      </c>
      <c r="C28" s="1251">
        <f t="shared" si="2"/>
        <v>0</v>
      </c>
      <c r="D28" s="1251"/>
      <c r="E28" s="1251">
        <f t="shared" si="3"/>
        <v>1</v>
      </c>
      <c r="F28" s="1251">
        <v>1</v>
      </c>
      <c r="G28" s="1251">
        <f t="shared" si="4"/>
        <v>0</v>
      </c>
      <c r="H28" s="1251"/>
      <c r="I28" s="1251">
        <f t="shared" si="5"/>
        <v>0</v>
      </c>
      <c r="J28" s="915"/>
      <c r="K28" s="1251">
        <f t="shared" si="6"/>
        <v>0</v>
      </c>
      <c r="L28" s="915"/>
      <c r="M28" s="915"/>
      <c r="N28" s="916">
        <f t="shared" si="0"/>
        <v>2</v>
      </c>
      <c r="O28" s="916">
        <f t="shared" si="7"/>
        <v>0</v>
      </c>
      <c r="P28" s="916" t="str">
        <f>VLOOKUP($A28,'맨홀 평균 높이'!$J$4:$M$572,4,0)</f>
        <v>보  도</v>
      </c>
      <c r="Q28" s="1264" t="s">
        <v>1234</v>
      </c>
      <c r="R28" s="1264" t="s">
        <v>1251</v>
      </c>
      <c r="S28" s="1252">
        <f>VLOOKUP($R28,Sheet1!$A$3:$C$241,2,FALSE)</f>
        <v>2</v>
      </c>
      <c r="T28" s="1252">
        <f>VLOOKUP($R28,Sheet1!$A$3:$C$241,3,FALSE)</f>
        <v>0</v>
      </c>
      <c r="U28" s="1252"/>
      <c r="V28" s="1252">
        <f>VLOOKUP($R28,Sheet1!$A$3:$F$214,4,FALSE)</f>
        <v>0</v>
      </c>
      <c r="W28" s="1252">
        <f>VLOOKUP($R28,Sheet1!$A$3:$F$214,5,FALSE)</f>
        <v>2</v>
      </c>
      <c r="X28" s="1252">
        <f>VLOOKUP($R28,Sheet1!$A$3:$F$214,6,FALSE)</f>
        <v>0</v>
      </c>
      <c r="Y28" s="1252"/>
      <c r="Z28" s="1252"/>
      <c r="AA28" s="917"/>
      <c r="AB28" s="917"/>
      <c r="AC28" s="917"/>
      <c r="AD28" s="917"/>
      <c r="AE28" s="917"/>
      <c r="AF28" s="917"/>
      <c r="AG28" s="917"/>
      <c r="AH28" s="917"/>
      <c r="AI28" s="917"/>
      <c r="AJ28" s="917"/>
      <c r="AK28" s="917"/>
      <c r="AL28" s="917"/>
      <c r="AM28" s="917"/>
      <c r="AN28" s="917"/>
      <c r="AO28" s="917"/>
    </row>
    <row r="29" spans="1:41" s="913" customFormat="1" ht="15.95" customHeight="1">
      <c r="A29" s="1248" t="str">
        <f t="shared" si="1"/>
        <v>M1-033</v>
      </c>
      <c r="B29" s="915" t="str">
        <f t="shared" si="8"/>
        <v>보도</v>
      </c>
      <c r="C29" s="1251">
        <f t="shared" si="2"/>
        <v>0</v>
      </c>
      <c r="D29" s="1251"/>
      <c r="E29" s="1251">
        <f t="shared" si="3"/>
        <v>1</v>
      </c>
      <c r="F29" s="1251">
        <v>1</v>
      </c>
      <c r="G29" s="1251">
        <f t="shared" si="4"/>
        <v>0</v>
      </c>
      <c r="H29" s="1251"/>
      <c r="I29" s="1251">
        <f t="shared" si="5"/>
        <v>0</v>
      </c>
      <c r="J29" s="915"/>
      <c r="K29" s="1251">
        <f t="shared" si="6"/>
        <v>0</v>
      </c>
      <c r="L29" s="915"/>
      <c r="M29" s="915"/>
      <c r="N29" s="916">
        <f t="shared" si="0"/>
        <v>2</v>
      </c>
      <c r="O29" s="916">
        <f t="shared" si="7"/>
        <v>0</v>
      </c>
      <c r="P29" s="916" t="str">
        <f>VLOOKUP($A29,'맨홀 평균 높이'!$J$4:$M$572,4,0)</f>
        <v>보  도</v>
      </c>
      <c r="Q29" s="1264" t="s">
        <v>1234</v>
      </c>
      <c r="R29" s="1264" t="s">
        <v>1252</v>
      </c>
      <c r="S29" s="1252">
        <f>VLOOKUP($R29,Sheet1!$A$3:$C$241,2,FALSE)</f>
        <v>2</v>
      </c>
      <c r="T29" s="1252">
        <f>VLOOKUP($R29,Sheet1!$A$3:$C$241,3,FALSE)</f>
        <v>0</v>
      </c>
      <c r="U29" s="1252"/>
      <c r="V29" s="1252">
        <f>VLOOKUP($R29,Sheet1!$A$3:$F$214,4,FALSE)</f>
        <v>0</v>
      </c>
      <c r="W29" s="1252">
        <f>VLOOKUP($R29,Sheet1!$A$3:$F$214,5,FALSE)</f>
        <v>2</v>
      </c>
      <c r="X29" s="1252">
        <f>VLOOKUP($R29,Sheet1!$A$3:$F$214,6,FALSE)</f>
        <v>0</v>
      </c>
      <c r="Y29" s="1252"/>
      <c r="Z29" s="1252"/>
      <c r="AA29" s="917"/>
      <c r="AB29" s="917"/>
      <c r="AC29" s="917"/>
      <c r="AD29" s="917"/>
      <c r="AE29" s="917"/>
      <c r="AF29" s="917"/>
      <c r="AG29" s="917"/>
      <c r="AH29" s="917"/>
      <c r="AI29" s="917"/>
      <c r="AJ29" s="917"/>
      <c r="AK29" s="917"/>
      <c r="AL29" s="917"/>
      <c r="AM29" s="917"/>
      <c r="AN29" s="917"/>
      <c r="AO29" s="917"/>
    </row>
    <row r="31" spans="1:41" s="913" customFormat="1" ht="15.95" customHeight="1">
      <c r="A31" s="1248" t="str">
        <f t="shared" si="1"/>
        <v>M1-035</v>
      </c>
      <c r="B31" s="915" t="str">
        <f t="shared" si="8"/>
        <v>보도</v>
      </c>
      <c r="C31" s="1251">
        <f t="shared" si="2"/>
        <v>0</v>
      </c>
      <c r="D31" s="1251"/>
      <c r="E31" s="1251">
        <f t="shared" si="3"/>
        <v>1</v>
      </c>
      <c r="F31" s="1251">
        <v>1</v>
      </c>
      <c r="G31" s="1251">
        <f t="shared" si="4"/>
        <v>0</v>
      </c>
      <c r="H31" s="1251"/>
      <c r="I31" s="1251">
        <f t="shared" si="5"/>
        <v>0</v>
      </c>
      <c r="J31" s="915"/>
      <c r="K31" s="1251">
        <f t="shared" si="6"/>
        <v>0</v>
      </c>
      <c r="L31" s="915"/>
      <c r="M31" s="915"/>
      <c r="N31" s="916">
        <f t="shared" si="0"/>
        <v>2</v>
      </c>
      <c r="O31" s="916">
        <f t="shared" si="7"/>
        <v>0</v>
      </c>
      <c r="P31" s="916" t="str">
        <f>VLOOKUP($A31,'맨홀 평균 높이'!$J$4:$M$572,4,0)</f>
        <v>보  도</v>
      </c>
      <c r="Q31" s="1264" t="s">
        <v>1234</v>
      </c>
      <c r="R31" s="1264" t="s">
        <v>1253</v>
      </c>
      <c r="S31" s="1252">
        <f>VLOOKUP($R31,Sheet1!$A$3:$C$241,2,FALSE)</f>
        <v>2</v>
      </c>
      <c r="T31" s="1252">
        <f>VLOOKUP($R31,Sheet1!$A$3:$C$241,3,FALSE)</f>
        <v>0</v>
      </c>
      <c r="U31" s="1252"/>
      <c r="V31" s="1252">
        <f>VLOOKUP($R31,Sheet1!$A$3:$F$214,4,FALSE)</f>
        <v>0</v>
      </c>
      <c r="W31" s="1252">
        <f>VLOOKUP($R31,Sheet1!$A$3:$F$214,5,FALSE)</f>
        <v>2</v>
      </c>
      <c r="X31" s="1252">
        <f>VLOOKUP($R31,Sheet1!$A$3:$F$214,6,FALSE)</f>
        <v>0</v>
      </c>
      <c r="Y31" s="1252"/>
      <c r="Z31" s="1252"/>
      <c r="AA31" s="917"/>
      <c r="AB31" s="917"/>
      <c r="AC31" s="917"/>
      <c r="AD31" s="917"/>
      <c r="AE31" s="917"/>
      <c r="AF31" s="917"/>
      <c r="AG31" s="917"/>
      <c r="AH31" s="917"/>
      <c r="AI31" s="917"/>
      <c r="AJ31" s="917"/>
      <c r="AK31" s="917"/>
      <c r="AL31" s="917"/>
      <c r="AM31" s="917"/>
      <c r="AN31" s="917"/>
      <c r="AO31" s="917"/>
    </row>
    <row r="32" spans="1:41" s="913" customFormat="1" ht="15.95" customHeight="1">
      <c r="A32" s="1248" t="str">
        <f t="shared" si="1"/>
        <v>M1-036</v>
      </c>
      <c r="B32" s="915" t="str">
        <f t="shared" si="8"/>
        <v>보도</v>
      </c>
      <c r="C32" s="1251">
        <f t="shared" si="2"/>
        <v>0</v>
      </c>
      <c r="D32" s="1251"/>
      <c r="E32" s="1251">
        <f t="shared" si="3"/>
        <v>1</v>
      </c>
      <c r="F32" s="1251">
        <v>1</v>
      </c>
      <c r="G32" s="1251">
        <f t="shared" si="4"/>
        <v>0</v>
      </c>
      <c r="H32" s="1251"/>
      <c r="I32" s="1251">
        <f t="shared" si="5"/>
        <v>0</v>
      </c>
      <c r="J32" s="915"/>
      <c r="K32" s="1251">
        <f t="shared" si="6"/>
        <v>0</v>
      </c>
      <c r="L32" s="915"/>
      <c r="M32" s="915"/>
      <c r="N32" s="916">
        <f t="shared" si="0"/>
        <v>2</v>
      </c>
      <c r="O32" s="916">
        <f t="shared" si="7"/>
        <v>0</v>
      </c>
      <c r="P32" s="916" t="str">
        <f>VLOOKUP($A32,'맨홀 평균 높이'!$J$4:$M$572,4,0)</f>
        <v>보  도</v>
      </c>
      <c r="Q32" s="1264" t="s">
        <v>1234</v>
      </c>
      <c r="R32" s="1264" t="s">
        <v>1254</v>
      </c>
      <c r="S32" s="1252">
        <f>VLOOKUP($R32,Sheet1!$A$3:$C$241,2,FALSE)</f>
        <v>2</v>
      </c>
      <c r="T32" s="1252">
        <f>VLOOKUP($R32,Sheet1!$A$3:$C$241,3,FALSE)</f>
        <v>0</v>
      </c>
      <c r="U32" s="1252"/>
      <c r="V32" s="1252">
        <f>VLOOKUP($R32,Sheet1!$A$3:$F$214,4,FALSE)</f>
        <v>0</v>
      </c>
      <c r="W32" s="1252">
        <f>VLOOKUP($R32,Sheet1!$A$3:$F$214,5,FALSE)</f>
        <v>2</v>
      </c>
      <c r="X32" s="1252">
        <f>VLOOKUP($R32,Sheet1!$A$3:$F$214,6,FALSE)</f>
        <v>0</v>
      </c>
      <c r="Y32" s="1252"/>
      <c r="Z32" s="1252"/>
      <c r="AA32" s="917"/>
      <c r="AB32" s="917"/>
      <c r="AC32" s="917"/>
      <c r="AD32" s="917"/>
      <c r="AE32" s="917"/>
      <c r="AF32" s="917"/>
      <c r="AG32" s="917"/>
      <c r="AH32" s="917"/>
      <c r="AI32" s="917"/>
      <c r="AJ32" s="917"/>
      <c r="AK32" s="917"/>
      <c r="AL32" s="917"/>
      <c r="AM32" s="917"/>
      <c r="AN32" s="917"/>
      <c r="AO32" s="917"/>
    </row>
    <row r="33" spans="1:41" s="913" customFormat="1" ht="15.95" customHeight="1">
      <c r="A33" s="1248" t="str">
        <f t="shared" si="1"/>
        <v>M1-037</v>
      </c>
      <c r="B33" s="915" t="str">
        <f t="shared" si="8"/>
        <v>보도</v>
      </c>
      <c r="C33" s="1251">
        <f t="shared" si="2"/>
        <v>0</v>
      </c>
      <c r="D33" s="1251"/>
      <c r="E33" s="1251">
        <f t="shared" si="3"/>
        <v>1</v>
      </c>
      <c r="F33" s="1251">
        <v>1</v>
      </c>
      <c r="G33" s="1251">
        <f t="shared" si="4"/>
        <v>0</v>
      </c>
      <c r="H33" s="1251"/>
      <c r="I33" s="1251">
        <f t="shared" si="5"/>
        <v>0</v>
      </c>
      <c r="J33" s="915"/>
      <c r="K33" s="1251">
        <f t="shared" si="6"/>
        <v>0</v>
      </c>
      <c r="L33" s="915"/>
      <c r="M33" s="915"/>
      <c r="N33" s="916">
        <f t="shared" si="0"/>
        <v>2</v>
      </c>
      <c r="O33" s="916">
        <f t="shared" si="7"/>
        <v>0</v>
      </c>
      <c r="P33" s="916" t="str">
        <f>VLOOKUP($A33,'맨홀 평균 높이'!$J$4:$M$572,4,0)</f>
        <v>보  도</v>
      </c>
      <c r="Q33" s="1264" t="s">
        <v>1234</v>
      </c>
      <c r="R33" s="1264" t="s">
        <v>1255</v>
      </c>
      <c r="S33" s="1252">
        <f>VLOOKUP($R33,Sheet1!$A$3:$C$241,2,FALSE)</f>
        <v>2</v>
      </c>
      <c r="T33" s="1252">
        <f>VLOOKUP($R33,Sheet1!$A$3:$C$241,3,FALSE)</f>
        <v>0</v>
      </c>
      <c r="U33" s="1252"/>
      <c r="V33" s="1252">
        <f>VLOOKUP($R33,Sheet1!$A$3:$F$214,4,FALSE)</f>
        <v>0</v>
      </c>
      <c r="W33" s="1252">
        <f>VLOOKUP($R33,Sheet1!$A$3:$F$214,5,FALSE)</f>
        <v>2</v>
      </c>
      <c r="X33" s="1252">
        <f>VLOOKUP($R33,Sheet1!$A$3:$F$214,6,FALSE)</f>
        <v>0</v>
      </c>
      <c r="Y33" s="1252"/>
      <c r="Z33" s="1252"/>
      <c r="AA33" s="917"/>
      <c r="AB33" s="917"/>
      <c r="AC33" s="917"/>
      <c r="AD33" s="917"/>
      <c r="AE33" s="917"/>
      <c r="AF33" s="917"/>
      <c r="AG33" s="917"/>
      <c r="AH33" s="917"/>
      <c r="AI33" s="917"/>
      <c r="AJ33" s="917"/>
      <c r="AK33" s="917"/>
      <c r="AL33" s="917"/>
      <c r="AM33" s="917"/>
      <c r="AN33" s="917"/>
      <c r="AO33" s="917"/>
    </row>
    <row r="35" spans="1:41" s="913" customFormat="1" ht="15.95" customHeight="1">
      <c r="A35" s="1248" t="str">
        <f t="shared" si="1"/>
        <v>M1-039</v>
      </c>
      <c r="B35" s="915" t="str">
        <f t="shared" si="8"/>
        <v>보도</v>
      </c>
      <c r="C35" s="1251">
        <f t="shared" si="2"/>
        <v>0</v>
      </c>
      <c r="D35" s="1251"/>
      <c r="E35" s="1251">
        <f t="shared" si="3"/>
        <v>1</v>
      </c>
      <c r="F35" s="1251">
        <v>1</v>
      </c>
      <c r="G35" s="1251">
        <f t="shared" si="4"/>
        <v>0</v>
      </c>
      <c r="H35" s="1251"/>
      <c r="I35" s="1251">
        <f t="shared" si="5"/>
        <v>0</v>
      </c>
      <c r="J35" s="915"/>
      <c r="K35" s="1251">
        <f t="shared" si="6"/>
        <v>0</v>
      </c>
      <c r="L35" s="915"/>
      <c r="M35" s="915"/>
      <c r="N35" s="916">
        <f t="shared" si="0"/>
        <v>2</v>
      </c>
      <c r="O35" s="916">
        <f t="shared" si="7"/>
        <v>0</v>
      </c>
      <c r="P35" s="916" t="str">
        <f>VLOOKUP($A35,'맨홀 평균 높이'!$J$4:$M$572,4,0)</f>
        <v>보  도</v>
      </c>
      <c r="Q35" s="1264" t="s">
        <v>1257</v>
      </c>
      <c r="R35" s="1264" t="s">
        <v>1258</v>
      </c>
      <c r="S35" s="1252">
        <f>VLOOKUP($R35,Sheet1!$A$3:$C$241,2,FALSE)</f>
        <v>2</v>
      </c>
      <c r="T35" s="1252">
        <f>VLOOKUP($R35,Sheet1!$A$3:$C$241,3,FALSE)</f>
        <v>0</v>
      </c>
      <c r="U35" s="1252"/>
      <c r="V35" s="1252">
        <f>VLOOKUP($R35,Sheet1!$A$3:$F$214,4,FALSE)</f>
        <v>0</v>
      </c>
      <c r="W35" s="1252">
        <f>VLOOKUP($R35,Sheet1!$A$3:$F$214,5,FALSE)</f>
        <v>2</v>
      </c>
      <c r="X35" s="1252">
        <f>VLOOKUP($R35,Sheet1!$A$3:$F$214,6,FALSE)</f>
        <v>0</v>
      </c>
      <c r="Y35" s="1252"/>
      <c r="Z35" s="1252"/>
      <c r="AA35" s="917"/>
      <c r="AB35" s="917"/>
      <c r="AC35" s="917"/>
      <c r="AD35" s="917"/>
      <c r="AE35" s="917"/>
      <c r="AF35" s="917"/>
      <c r="AG35" s="917"/>
      <c r="AH35" s="917"/>
      <c r="AI35" s="917"/>
      <c r="AJ35" s="917"/>
      <c r="AK35" s="917"/>
      <c r="AL35" s="917"/>
      <c r="AM35" s="917"/>
      <c r="AN35" s="917"/>
      <c r="AO35" s="917"/>
    </row>
    <row r="36" spans="1:41" s="913" customFormat="1" ht="15.95" customHeight="1">
      <c r="A36" s="1248" t="str">
        <f t="shared" si="1"/>
        <v>M1-040</v>
      </c>
      <c r="B36" s="915" t="str">
        <f t="shared" si="8"/>
        <v>보도</v>
      </c>
      <c r="C36" s="1251">
        <f t="shared" si="2"/>
        <v>0</v>
      </c>
      <c r="D36" s="1251"/>
      <c r="E36" s="1251">
        <f t="shared" si="3"/>
        <v>1</v>
      </c>
      <c r="F36" s="1251">
        <v>1</v>
      </c>
      <c r="G36" s="1251">
        <f t="shared" si="4"/>
        <v>0</v>
      </c>
      <c r="H36" s="1251"/>
      <c r="I36" s="1251">
        <f t="shared" si="5"/>
        <v>0</v>
      </c>
      <c r="J36" s="915"/>
      <c r="K36" s="1251">
        <f t="shared" si="6"/>
        <v>0</v>
      </c>
      <c r="L36" s="915"/>
      <c r="M36" s="915"/>
      <c r="N36" s="916">
        <f t="shared" si="0"/>
        <v>2</v>
      </c>
      <c r="O36" s="916">
        <f t="shared" si="7"/>
        <v>0</v>
      </c>
      <c r="P36" s="916" t="str">
        <f>VLOOKUP($A36,'맨홀 평균 높이'!$J$4:$M$572,4,0)</f>
        <v>보  도</v>
      </c>
      <c r="Q36" s="1264" t="s">
        <v>1257</v>
      </c>
      <c r="R36" s="1264" t="s">
        <v>1259</v>
      </c>
      <c r="S36" s="1252">
        <f>VLOOKUP($R36,Sheet1!$A$3:$C$241,2,FALSE)</f>
        <v>2</v>
      </c>
      <c r="T36" s="1252">
        <f>VLOOKUP($R36,Sheet1!$A$3:$C$241,3,FALSE)</f>
        <v>0</v>
      </c>
      <c r="U36" s="1252"/>
      <c r="V36" s="1252">
        <f>VLOOKUP($R36,Sheet1!$A$3:$F$214,4,FALSE)</f>
        <v>0</v>
      </c>
      <c r="W36" s="1252">
        <f>VLOOKUP($R36,Sheet1!$A$3:$F$214,5,FALSE)</f>
        <v>2</v>
      </c>
      <c r="X36" s="1252">
        <f>VLOOKUP($R36,Sheet1!$A$3:$F$214,6,FALSE)</f>
        <v>0</v>
      </c>
      <c r="Y36" s="1252"/>
      <c r="Z36" s="1252"/>
      <c r="AA36" s="917"/>
      <c r="AB36" s="917"/>
      <c r="AC36" s="917"/>
      <c r="AD36" s="917"/>
      <c r="AE36" s="917"/>
      <c r="AF36" s="917"/>
      <c r="AG36" s="917"/>
      <c r="AH36" s="917"/>
      <c r="AI36" s="917"/>
      <c r="AJ36" s="917"/>
      <c r="AK36" s="917"/>
      <c r="AL36" s="917"/>
      <c r="AM36" s="917"/>
      <c r="AN36" s="917"/>
      <c r="AO36" s="917"/>
    </row>
    <row r="37" spans="1:41" s="913" customFormat="1" ht="15.95" customHeight="1">
      <c r="A37" s="1248" t="str">
        <f t="shared" si="1"/>
        <v>M1-041(1)</v>
      </c>
      <c r="B37" s="915" t="str">
        <f t="shared" si="8"/>
        <v>보도</v>
      </c>
      <c r="C37" s="1251">
        <f t="shared" si="2"/>
        <v>0</v>
      </c>
      <c r="D37" s="1251"/>
      <c r="E37" s="1251">
        <f t="shared" si="3"/>
        <v>1</v>
      </c>
      <c r="F37" s="1251">
        <v>1</v>
      </c>
      <c r="G37" s="1251">
        <f t="shared" si="4"/>
        <v>0</v>
      </c>
      <c r="H37" s="1251"/>
      <c r="I37" s="1251">
        <f t="shared" si="5"/>
        <v>0</v>
      </c>
      <c r="J37" s="915"/>
      <c r="K37" s="1251">
        <f t="shared" si="6"/>
        <v>0</v>
      </c>
      <c r="L37" s="915"/>
      <c r="M37" s="915"/>
      <c r="N37" s="916">
        <f t="shared" si="0"/>
        <v>2</v>
      </c>
      <c r="O37" s="916">
        <f t="shared" si="7"/>
        <v>0</v>
      </c>
      <c r="P37" s="916" t="str">
        <f>VLOOKUP($A37,'맨홀 평균 높이'!$J$4:$M$572,4,0)</f>
        <v>보  도</v>
      </c>
      <c r="Q37" s="1264" t="s">
        <v>1257</v>
      </c>
      <c r="R37" s="1264" t="s">
        <v>1410</v>
      </c>
      <c r="S37" s="1252">
        <f>VLOOKUP($R37,Sheet1!$A$3:$C$241,2,FALSE)</f>
        <v>2</v>
      </c>
      <c r="T37" s="1252">
        <f>VLOOKUP($R37,Sheet1!$A$3:$C$241,3,FALSE)</f>
        <v>0</v>
      </c>
      <c r="U37" s="1252"/>
      <c r="V37" s="1252">
        <f>VLOOKUP($R37,Sheet1!$A$3:$F$214,4,FALSE)</f>
        <v>0</v>
      </c>
      <c r="W37" s="1252">
        <f>VLOOKUP($R37,Sheet1!$A$3:$F$214,5,FALSE)</f>
        <v>2</v>
      </c>
      <c r="X37" s="1252">
        <f>VLOOKUP($R37,Sheet1!$A$3:$F$214,6,FALSE)</f>
        <v>0</v>
      </c>
      <c r="Y37" s="1252"/>
      <c r="Z37" s="1252"/>
      <c r="AA37" s="917"/>
      <c r="AB37" s="917"/>
      <c r="AC37" s="917"/>
      <c r="AD37" s="917"/>
      <c r="AE37" s="917"/>
      <c r="AF37" s="917"/>
      <c r="AG37" s="917"/>
      <c r="AH37" s="917"/>
      <c r="AI37" s="917"/>
      <c r="AJ37" s="917"/>
      <c r="AK37" s="917"/>
      <c r="AL37" s="917"/>
      <c r="AM37" s="917"/>
      <c r="AN37" s="917"/>
      <c r="AO37" s="917"/>
    </row>
    <row r="38" spans="1:41" s="913" customFormat="1" ht="15.95" customHeight="1">
      <c r="A38" s="1248" t="str">
        <f t="shared" si="1"/>
        <v>M1-041(2)</v>
      </c>
      <c r="B38" s="915" t="str">
        <f t="shared" si="8"/>
        <v>보도</v>
      </c>
      <c r="C38" s="1251">
        <f t="shared" si="2"/>
        <v>0</v>
      </c>
      <c r="D38" s="1251"/>
      <c r="E38" s="1251">
        <f t="shared" si="3"/>
        <v>1</v>
      </c>
      <c r="F38" s="1251">
        <v>1</v>
      </c>
      <c r="G38" s="1251">
        <f t="shared" si="4"/>
        <v>0</v>
      </c>
      <c r="H38" s="1251"/>
      <c r="I38" s="1251">
        <f t="shared" si="5"/>
        <v>0</v>
      </c>
      <c r="J38" s="915"/>
      <c r="K38" s="1251">
        <f t="shared" si="6"/>
        <v>0</v>
      </c>
      <c r="L38" s="915"/>
      <c r="M38" s="915"/>
      <c r="N38" s="916">
        <f t="shared" si="0"/>
        <v>2</v>
      </c>
      <c r="O38" s="916">
        <f t="shared" si="7"/>
        <v>0</v>
      </c>
      <c r="P38" s="916" t="str">
        <f>VLOOKUP($A38,'맨홀 평균 높이'!$J$4:$M$572,4,0)</f>
        <v>보  도</v>
      </c>
      <c r="Q38" s="1264" t="s">
        <v>1257</v>
      </c>
      <c r="R38" s="1264" t="s">
        <v>1411</v>
      </c>
      <c r="S38" s="1252">
        <f>VLOOKUP($R38,Sheet1!$A$3:$C$241,2,FALSE)</f>
        <v>2</v>
      </c>
      <c r="T38" s="1252">
        <f>VLOOKUP($R38,Sheet1!$A$3:$C$241,3,FALSE)</f>
        <v>0</v>
      </c>
      <c r="U38" s="1252"/>
      <c r="V38" s="1252">
        <f>VLOOKUP($R38,Sheet1!$A$3:$F$214,4,FALSE)</f>
        <v>0</v>
      </c>
      <c r="W38" s="1252">
        <f>VLOOKUP($R38,Sheet1!$A$3:$F$214,5,FALSE)</f>
        <v>2</v>
      </c>
      <c r="X38" s="1252">
        <f>VLOOKUP($R38,Sheet1!$A$3:$F$214,6,FALSE)</f>
        <v>0</v>
      </c>
      <c r="Y38" s="1252"/>
      <c r="Z38" s="1252"/>
      <c r="AA38" s="917"/>
      <c r="AB38" s="917"/>
      <c r="AC38" s="917"/>
      <c r="AD38" s="917"/>
      <c r="AE38" s="917"/>
      <c r="AF38" s="917"/>
      <c r="AG38" s="917"/>
      <c r="AH38" s="917"/>
      <c r="AI38" s="917"/>
      <c r="AJ38" s="917"/>
      <c r="AK38" s="917"/>
      <c r="AL38" s="917"/>
      <c r="AM38" s="917"/>
      <c r="AN38" s="917"/>
      <c r="AO38" s="917"/>
    </row>
    <row r="39" spans="1:41" s="913" customFormat="1" ht="15.95" customHeight="1">
      <c r="A39" s="1248" t="str">
        <f t="shared" si="1"/>
        <v>M1-041(3)</v>
      </c>
      <c r="B39" s="915" t="str">
        <f t="shared" si="8"/>
        <v>보도</v>
      </c>
      <c r="C39" s="1251">
        <f t="shared" si="2"/>
        <v>0</v>
      </c>
      <c r="D39" s="1251"/>
      <c r="E39" s="1251">
        <f t="shared" si="3"/>
        <v>1</v>
      </c>
      <c r="F39" s="1251">
        <v>1</v>
      </c>
      <c r="G39" s="1251">
        <f t="shared" si="4"/>
        <v>0</v>
      </c>
      <c r="H39" s="1251"/>
      <c r="I39" s="1251">
        <f t="shared" si="5"/>
        <v>0</v>
      </c>
      <c r="J39" s="915"/>
      <c r="K39" s="1251">
        <f t="shared" si="6"/>
        <v>0</v>
      </c>
      <c r="L39" s="915"/>
      <c r="M39" s="915"/>
      <c r="N39" s="916">
        <f t="shared" si="0"/>
        <v>2</v>
      </c>
      <c r="O39" s="916">
        <f t="shared" si="7"/>
        <v>0</v>
      </c>
      <c r="P39" s="916" t="str">
        <f>VLOOKUP($A39,'맨홀 평균 높이'!$J$4:$M$572,4,0)</f>
        <v>보  도</v>
      </c>
      <c r="Q39" s="1264" t="s">
        <v>1257</v>
      </c>
      <c r="R39" s="1264" t="s">
        <v>1412</v>
      </c>
      <c r="S39" s="1252">
        <f>VLOOKUP($R39,Sheet1!$A$3:$C$241,2,FALSE)</f>
        <v>2</v>
      </c>
      <c r="T39" s="1252">
        <f>VLOOKUP($R39,Sheet1!$A$3:$C$241,3,FALSE)</f>
        <v>0</v>
      </c>
      <c r="U39" s="1252"/>
      <c r="V39" s="1252">
        <f>VLOOKUP($R39,Sheet1!$A$3:$F$214,4,FALSE)</f>
        <v>0</v>
      </c>
      <c r="W39" s="1252">
        <f>VLOOKUP($R39,Sheet1!$A$3:$F$214,5,FALSE)</f>
        <v>2</v>
      </c>
      <c r="X39" s="1252">
        <f>VLOOKUP($R39,Sheet1!$A$3:$F$214,6,FALSE)</f>
        <v>0</v>
      </c>
      <c r="Y39" s="1252"/>
      <c r="Z39" s="1252"/>
      <c r="AA39" s="917"/>
      <c r="AB39" s="917"/>
      <c r="AC39" s="917"/>
      <c r="AD39" s="917"/>
      <c r="AE39" s="917"/>
      <c r="AF39" s="917"/>
      <c r="AG39" s="917"/>
      <c r="AH39" s="917"/>
      <c r="AI39" s="917"/>
      <c r="AJ39" s="917"/>
      <c r="AK39" s="917"/>
      <c r="AL39" s="917"/>
      <c r="AM39" s="917"/>
      <c r="AN39" s="917"/>
      <c r="AO39" s="917"/>
    </row>
    <row r="40" spans="1:41" s="913" customFormat="1" ht="15.95" customHeight="1">
      <c r="A40" s="1248" t="str">
        <f t="shared" si="1"/>
        <v>M1-043</v>
      </c>
      <c r="B40" s="915" t="str">
        <f t="shared" si="8"/>
        <v>보도</v>
      </c>
      <c r="C40" s="1251">
        <f t="shared" si="2"/>
        <v>0</v>
      </c>
      <c r="D40" s="1251"/>
      <c r="E40" s="1251">
        <f t="shared" si="3"/>
        <v>0</v>
      </c>
      <c r="F40" s="1251"/>
      <c r="G40" s="1251">
        <f t="shared" si="4"/>
        <v>1</v>
      </c>
      <c r="H40" s="1251">
        <v>1</v>
      </c>
      <c r="I40" s="1251">
        <f t="shared" si="5"/>
        <v>0</v>
      </c>
      <c r="J40" s="915"/>
      <c r="K40" s="1251">
        <f t="shared" si="6"/>
        <v>0</v>
      </c>
      <c r="L40" s="915"/>
      <c r="M40" s="915"/>
      <c r="N40" s="916">
        <f t="shared" si="0"/>
        <v>2</v>
      </c>
      <c r="O40" s="916">
        <f t="shared" si="7"/>
        <v>-1</v>
      </c>
      <c r="P40" s="916" t="str">
        <f>VLOOKUP($A40,'맨홀 평균 높이'!$J$4:$M$572,4,0)</f>
        <v>보  도</v>
      </c>
      <c r="Q40" s="1264" t="s">
        <v>1257</v>
      </c>
      <c r="R40" s="1264" t="s">
        <v>1260</v>
      </c>
      <c r="S40" s="1252">
        <f>VLOOKUP($R40,Sheet1!$A$3:$C$241,2,FALSE)</f>
        <v>1</v>
      </c>
      <c r="T40" s="1252">
        <f>VLOOKUP($R40,Sheet1!$A$3:$C$241,3,FALSE)</f>
        <v>0</v>
      </c>
      <c r="U40" s="1252"/>
      <c r="V40" s="1252">
        <f>VLOOKUP($R40,Sheet1!$A$3:$F$214,4,FALSE)</f>
        <v>0</v>
      </c>
      <c r="W40" s="1252">
        <f>VLOOKUP($R40,Sheet1!$A$3:$F$214,5,FALSE)</f>
        <v>0</v>
      </c>
      <c r="X40" s="1252">
        <v>2</v>
      </c>
      <c r="Y40" s="1252"/>
      <c r="Z40" s="1252"/>
      <c r="AA40" s="917"/>
      <c r="AB40" s="917"/>
      <c r="AC40" s="917"/>
      <c r="AD40" s="917"/>
      <c r="AE40" s="917"/>
      <c r="AF40" s="917"/>
      <c r="AG40" s="917"/>
      <c r="AH40" s="917"/>
      <c r="AI40" s="917"/>
      <c r="AJ40" s="917"/>
      <c r="AK40" s="917"/>
      <c r="AL40" s="917"/>
      <c r="AM40" s="917"/>
      <c r="AN40" s="917"/>
      <c r="AO40" s="917"/>
    </row>
    <row r="41" spans="1:41" s="913" customFormat="1" ht="15.95" customHeight="1">
      <c r="A41" s="1248" t="str">
        <f t="shared" si="1"/>
        <v>M1-044(1)</v>
      </c>
      <c r="B41" s="915" t="str">
        <f t="shared" si="8"/>
        <v>차도</v>
      </c>
      <c r="C41" s="1251">
        <f t="shared" si="2"/>
        <v>0</v>
      </c>
      <c r="D41" s="1251">
        <v>1</v>
      </c>
      <c r="E41" s="1251">
        <f t="shared" si="3"/>
        <v>0</v>
      </c>
      <c r="F41" s="1251"/>
      <c r="G41" s="1251">
        <f t="shared" si="4"/>
        <v>0</v>
      </c>
      <c r="H41" s="1251"/>
      <c r="I41" s="1251">
        <f t="shared" si="5"/>
        <v>0</v>
      </c>
      <c r="J41" s="915"/>
      <c r="K41" s="1251">
        <f t="shared" si="6"/>
        <v>0</v>
      </c>
      <c r="L41" s="915"/>
      <c r="M41" s="915"/>
      <c r="N41" s="916">
        <f t="shared" si="0"/>
        <v>1</v>
      </c>
      <c r="O41" s="916">
        <f t="shared" si="7"/>
        <v>0</v>
      </c>
      <c r="P41" s="916" t="str">
        <f>VLOOKUP($A41,'맨홀 평균 높이'!$J$4:$M$572,4,0)</f>
        <v>차  도</v>
      </c>
      <c r="Q41" s="1264" t="s">
        <v>1261</v>
      </c>
      <c r="R41" s="1264" t="s">
        <v>1492</v>
      </c>
      <c r="S41" s="1252">
        <f>VLOOKUP($R41,Sheet1!$A$3:$C$241,2,FALSE)</f>
        <v>1</v>
      </c>
      <c r="T41" s="1252">
        <f>VLOOKUP($R41,Sheet1!$A$3:$C$241,3,FALSE)</f>
        <v>0</v>
      </c>
      <c r="U41" s="1252"/>
      <c r="V41" s="1252">
        <f>VLOOKUP($R41,Sheet1!$A$3:$F$214,4,FALSE)</f>
        <v>1</v>
      </c>
      <c r="W41" s="1252">
        <f>VLOOKUP($R41,Sheet1!$A$3:$F$214,5,FALSE)</f>
        <v>0</v>
      </c>
      <c r="X41" s="1252">
        <f>VLOOKUP($R41,Sheet1!$A$3:$F$214,6,FALSE)</f>
        <v>0</v>
      </c>
      <c r="Y41" s="1252"/>
      <c r="Z41" s="1252"/>
      <c r="AA41" s="917"/>
      <c r="AB41" s="917"/>
      <c r="AC41" s="917"/>
      <c r="AD41" s="917"/>
      <c r="AE41" s="917"/>
      <c r="AF41" s="917"/>
      <c r="AG41" s="917"/>
      <c r="AH41" s="917"/>
      <c r="AI41" s="917"/>
      <c r="AJ41" s="917"/>
      <c r="AK41" s="917"/>
      <c r="AL41" s="917"/>
      <c r="AM41" s="917"/>
      <c r="AN41" s="917"/>
      <c r="AO41" s="917"/>
    </row>
    <row r="42" spans="1:41" s="913" customFormat="1" ht="15.95" customHeight="1">
      <c r="A42" s="1248" t="str">
        <f t="shared" si="1"/>
        <v>M1-058(1)</v>
      </c>
      <c r="B42" s="915" t="str">
        <f t="shared" si="8"/>
        <v>보도</v>
      </c>
      <c r="C42" s="1251">
        <f t="shared" si="2"/>
        <v>0</v>
      </c>
      <c r="D42" s="1251">
        <v>1</v>
      </c>
      <c r="E42" s="1251">
        <f t="shared" si="3"/>
        <v>0</v>
      </c>
      <c r="F42" s="1251"/>
      <c r="G42" s="1251">
        <f t="shared" si="4"/>
        <v>0</v>
      </c>
      <c r="H42" s="1251"/>
      <c r="I42" s="1251">
        <f t="shared" si="5"/>
        <v>0</v>
      </c>
      <c r="J42" s="915"/>
      <c r="K42" s="1251">
        <f t="shared" si="6"/>
        <v>0</v>
      </c>
      <c r="L42" s="915"/>
      <c r="M42" s="915"/>
      <c r="N42" s="916">
        <f t="shared" si="0"/>
        <v>1</v>
      </c>
      <c r="O42" s="916">
        <f t="shared" si="7"/>
        <v>0</v>
      </c>
      <c r="P42" s="916" t="str">
        <f>VLOOKUP($A42,'맨홀 평균 높이'!$J$4:$M$572,4,0)</f>
        <v>보  도</v>
      </c>
      <c r="Q42" s="1264" t="s">
        <v>1265</v>
      </c>
      <c r="R42" s="1264" t="s">
        <v>1413</v>
      </c>
      <c r="S42" s="1252">
        <f>VLOOKUP($R42,Sheet1!$A$3:$C$241,2,FALSE)</f>
        <v>1</v>
      </c>
      <c r="T42" s="1252">
        <f>VLOOKUP($R42,Sheet1!$A$3:$C$241,3,FALSE)</f>
        <v>0</v>
      </c>
      <c r="U42" s="1252"/>
      <c r="V42" s="1252">
        <f>VLOOKUP($R42,Sheet1!$A$3:$F$214,4,FALSE)</f>
        <v>1</v>
      </c>
      <c r="W42" s="1252">
        <f>VLOOKUP($R42,Sheet1!$A$3:$F$214,5,FALSE)</f>
        <v>0</v>
      </c>
      <c r="X42" s="1252">
        <f>VLOOKUP($R42,Sheet1!$A$3:$F$214,6,FALSE)</f>
        <v>0</v>
      </c>
      <c r="Y42" s="1252"/>
      <c r="Z42" s="1252"/>
      <c r="AA42" s="917"/>
      <c r="AB42" s="917"/>
      <c r="AC42" s="917"/>
      <c r="AD42" s="917"/>
      <c r="AE42" s="917"/>
      <c r="AF42" s="917"/>
      <c r="AG42" s="917"/>
      <c r="AH42" s="917"/>
      <c r="AI42" s="917"/>
      <c r="AJ42" s="917"/>
      <c r="AK42" s="917"/>
      <c r="AL42" s="917"/>
      <c r="AM42" s="917"/>
      <c r="AN42" s="917"/>
      <c r="AO42" s="917"/>
    </row>
    <row r="43" spans="1:41" s="913" customFormat="1" ht="15.95" customHeight="1">
      <c r="A43" s="1248" t="str">
        <f t="shared" si="1"/>
        <v>M1-059(1)</v>
      </c>
      <c r="B43" s="915" t="str">
        <f t="shared" si="8"/>
        <v>보도</v>
      </c>
      <c r="C43" s="1251">
        <f t="shared" si="2"/>
        <v>1</v>
      </c>
      <c r="D43" s="1251">
        <v>1</v>
      </c>
      <c r="E43" s="1251">
        <f t="shared" si="3"/>
        <v>0</v>
      </c>
      <c r="F43" s="1251"/>
      <c r="G43" s="1251">
        <f t="shared" si="4"/>
        <v>0</v>
      </c>
      <c r="H43" s="1251"/>
      <c r="I43" s="1251">
        <f t="shared" si="5"/>
        <v>0</v>
      </c>
      <c r="J43" s="915"/>
      <c r="K43" s="1251">
        <f t="shared" si="6"/>
        <v>0</v>
      </c>
      <c r="L43" s="915"/>
      <c r="M43" s="915"/>
      <c r="N43" s="916">
        <f t="shared" si="0"/>
        <v>2</v>
      </c>
      <c r="O43" s="916">
        <f t="shared" si="7"/>
        <v>0</v>
      </c>
      <c r="P43" s="916" t="str">
        <f>VLOOKUP($A43,'맨홀 평균 높이'!$J$4:$M$572,4,0)</f>
        <v>보  도</v>
      </c>
      <c r="Q43" s="1264" t="s">
        <v>1265</v>
      </c>
      <c r="R43" s="1264" t="s">
        <v>1414</v>
      </c>
      <c r="S43" s="1252">
        <f>VLOOKUP($R43,Sheet1!$A$3:$C$241,2,FALSE)</f>
        <v>2</v>
      </c>
      <c r="T43" s="1252">
        <f>VLOOKUP($R43,Sheet1!$A$3:$C$241,3,FALSE)</f>
        <v>0</v>
      </c>
      <c r="U43" s="1252"/>
      <c r="V43" s="1252">
        <f>VLOOKUP($R43,Sheet1!$A$3:$F$214,4,FALSE)</f>
        <v>2</v>
      </c>
      <c r="W43" s="1252">
        <f>VLOOKUP($R43,Sheet1!$A$3:$F$214,5,FALSE)</f>
        <v>0</v>
      </c>
      <c r="X43" s="1252">
        <f>VLOOKUP($R43,Sheet1!$A$3:$F$214,6,FALSE)</f>
        <v>0</v>
      </c>
      <c r="Y43" s="1252"/>
      <c r="Z43" s="1252"/>
      <c r="AA43" s="917"/>
      <c r="AB43" s="917"/>
      <c r="AC43" s="917"/>
      <c r="AD43" s="917"/>
      <c r="AE43" s="917"/>
      <c r="AF43" s="917"/>
      <c r="AG43" s="917"/>
      <c r="AH43" s="917"/>
      <c r="AI43" s="917"/>
      <c r="AJ43" s="917"/>
      <c r="AK43" s="917"/>
      <c r="AL43" s="917"/>
      <c r="AM43" s="917"/>
      <c r="AN43" s="917"/>
      <c r="AO43" s="917"/>
    </row>
    <row r="44" spans="1:41" s="913" customFormat="1" ht="15.95" customHeight="1">
      <c r="A44" s="1248" t="str">
        <f t="shared" ref="A44:A65" si="9">R44</f>
        <v>M1-063(1)</v>
      </c>
      <c r="B44" s="915" t="str">
        <f t="shared" si="8"/>
        <v>차도</v>
      </c>
      <c r="C44" s="1251">
        <f t="shared" ref="C44:C86" si="10">V44-D44</f>
        <v>0</v>
      </c>
      <c r="D44" s="1251">
        <v>1</v>
      </c>
      <c r="E44" s="1251">
        <f t="shared" ref="E44:E86" si="11">W44-F44</f>
        <v>0</v>
      </c>
      <c r="F44" s="1251"/>
      <c r="G44" s="1251">
        <f t="shared" ref="G44:G86" si="12">X44-H44</f>
        <v>0</v>
      </c>
      <c r="H44" s="1251"/>
      <c r="I44" s="1251">
        <f t="shared" ref="I44:I86" si="13">Y44-J44</f>
        <v>0</v>
      </c>
      <c r="J44" s="915"/>
      <c r="K44" s="1251">
        <f t="shared" ref="K44:K86" si="14">Z44-L44</f>
        <v>0</v>
      </c>
      <c r="L44" s="915"/>
      <c r="M44" s="915"/>
      <c r="N44" s="916">
        <f t="shared" ref="N44:N65" si="15">SUM(C44:L44)</f>
        <v>1</v>
      </c>
      <c r="O44" s="916">
        <f t="shared" ref="O44:O65" si="16">S44-N44</f>
        <v>0</v>
      </c>
      <c r="P44" s="916" t="str">
        <f>VLOOKUP($A44,'맨홀 평균 높이'!$J$4:$M$572,4,0)</f>
        <v>차  도</v>
      </c>
      <c r="Q44" s="1264" t="s">
        <v>1266</v>
      </c>
      <c r="R44" s="1264" t="s">
        <v>1493</v>
      </c>
      <c r="S44" s="1252">
        <f>VLOOKUP($R44,Sheet1!$A$3:$C$241,2,FALSE)</f>
        <v>1</v>
      </c>
      <c r="T44" s="1252">
        <f>VLOOKUP($R44,Sheet1!$A$3:$C$241,3,FALSE)</f>
        <v>0</v>
      </c>
      <c r="U44" s="1252"/>
      <c r="V44" s="1252">
        <f>VLOOKUP($R44,Sheet1!$A$3:$F$214,4,FALSE)</f>
        <v>1</v>
      </c>
      <c r="W44" s="1252">
        <f>VLOOKUP($R44,Sheet1!$A$3:$F$214,5,FALSE)</f>
        <v>0</v>
      </c>
      <c r="X44" s="1252">
        <f>VLOOKUP($R44,Sheet1!$A$3:$F$214,6,FALSE)</f>
        <v>0</v>
      </c>
      <c r="Y44" s="1252"/>
      <c r="Z44" s="1252"/>
      <c r="AA44" s="917"/>
      <c r="AB44" s="917"/>
      <c r="AC44" s="917"/>
      <c r="AD44" s="917"/>
      <c r="AE44" s="917"/>
      <c r="AF44" s="917"/>
      <c r="AG44" s="917"/>
      <c r="AH44" s="917"/>
      <c r="AI44" s="917"/>
      <c r="AJ44" s="917"/>
      <c r="AK44" s="917"/>
      <c r="AL44" s="917"/>
      <c r="AM44" s="917"/>
      <c r="AN44" s="917"/>
      <c r="AO44" s="917"/>
    </row>
    <row r="45" spans="1:41" s="913" customFormat="1" ht="15.95" customHeight="1">
      <c r="A45" s="1248" t="str">
        <f t="shared" si="9"/>
        <v>M1-064</v>
      </c>
      <c r="B45" s="915" t="str">
        <f t="shared" ref="B45:B86" si="17">IF($P45="보  도","보도","차도")</f>
        <v>차도</v>
      </c>
      <c r="C45" s="1251">
        <f t="shared" si="10"/>
        <v>0</v>
      </c>
      <c r="D45" s="1251">
        <v>1</v>
      </c>
      <c r="E45" s="1251">
        <f t="shared" si="11"/>
        <v>0</v>
      </c>
      <c r="F45" s="1251"/>
      <c r="G45" s="1251">
        <f t="shared" si="12"/>
        <v>0</v>
      </c>
      <c r="H45" s="1251"/>
      <c r="I45" s="1251">
        <f t="shared" si="13"/>
        <v>0</v>
      </c>
      <c r="J45" s="915"/>
      <c r="K45" s="1251">
        <f t="shared" si="14"/>
        <v>0</v>
      </c>
      <c r="L45" s="915"/>
      <c r="M45" s="915"/>
      <c r="N45" s="916">
        <f t="shared" si="15"/>
        <v>1</v>
      </c>
      <c r="O45" s="916">
        <f t="shared" si="16"/>
        <v>0</v>
      </c>
      <c r="P45" s="916" t="str">
        <f>VLOOKUP($A45,'맨홀 평균 높이'!$J$4:$M$572,4,0)</f>
        <v>차  도</v>
      </c>
      <c r="Q45" s="1264" t="s">
        <v>1267</v>
      </c>
      <c r="R45" s="1264" t="s">
        <v>1309</v>
      </c>
      <c r="S45" s="1252">
        <f>VLOOKUP($R45,Sheet1!$A$3:$C$241,2,FALSE)</f>
        <v>1</v>
      </c>
      <c r="T45" s="1252">
        <f>VLOOKUP($R45,Sheet1!$A$3:$C$241,3,FALSE)</f>
        <v>0</v>
      </c>
      <c r="U45" s="1252"/>
      <c r="V45" s="1252">
        <f>VLOOKUP($R45,Sheet1!$A$3:$F$214,4,FALSE)</f>
        <v>1</v>
      </c>
      <c r="W45" s="1252">
        <f>VLOOKUP($R45,Sheet1!$A$3:$F$214,5,FALSE)</f>
        <v>0</v>
      </c>
      <c r="X45" s="1252">
        <f>VLOOKUP($R45,Sheet1!$A$3:$F$214,6,FALSE)</f>
        <v>0</v>
      </c>
      <c r="Y45" s="1252"/>
      <c r="Z45" s="1252"/>
      <c r="AA45" s="917"/>
      <c r="AB45" s="917"/>
      <c r="AC45" s="917"/>
      <c r="AD45" s="917"/>
      <c r="AE45" s="917"/>
      <c r="AF45" s="917"/>
      <c r="AG45" s="917"/>
      <c r="AH45" s="917"/>
      <c r="AI45" s="917"/>
      <c r="AJ45" s="917"/>
      <c r="AK45" s="917"/>
      <c r="AL45" s="917"/>
      <c r="AM45" s="917"/>
      <c r="AN45" s="917"/>
      <c r="AO45" s="917"/>
    </row>
    <row r="46" spans="1:41" s="913" customFormat="1" ht="15.95" customHeight="1">
      <c r="A46" s="1248" t="str">
        <f t="shared" si="9"/>
        <v>M1-066(1)</v>
      </c>
      <c r="B46" s="915" t="str">
        <f t="shared" si="17"/>
        <v>차도</v>
      </c>
      <c r="C46" s="1251">
        <f t="shared" si="10"/>
        <v>0</v>
      </c>
      <c r="D46" s="1251"/>
      <c r="E46" s="1251">
        <f t="shared" si="11"/>
        <v>0</v>
      </c>
      <c r="F46" s="1251">
        <v>1</v>
      </c>
      <c r="G46" s="1251">
        <f t="shared" si="12"/>
        <v>0</v>
      </c>
      <c r="H46" s="1251"/>
      <c r="I46" s="1251">
        <f t="shared" si="13"/>
        <v>0</v>
      </c>
      <c r="J46" s="915"/>
      <c r="K46" s="1251">
        <f t="shared" si="14"/>
        <v>0</v>
      </c>
      <c r="L46" s="915"/>
      <c r="M46" s="915"/>
      <c r="N46" s="916">
        <f t="shared" si="15"/>
        <v>1</v>
      </c>
      <c r="O46" s="916">
        <f t="shared" si="16"/>
        <v>1</v>
      </c>
      <c r="P46" s="916" t="str">
        <f>VLOOKUP($A46,'맨홀 평균 높이'!$J$4:$M$572,4,0)</f>
        <v>차  도</v>
      </c>
      <c r="Q46" s="1264" t="s">
        <v>1338</v>
      </c>
      <c r="R46" s="1264" t="s">
        <v>1339</v>
      </c>
      <c r="S46" s="1252">
        <f>VLOOKUP($R46,Sheet1!$A$3:$C$241,2,FALSE)</f>
        <v>2</v>
      </c>
      <c r="T46" s="1252">
        <f>VLOOKUP($R46,Sheet1!$A$3:$C$241,3,FALSE)</f>
        <v>0</v>
      </c>
      <c r="U46" s="1252"/>
      <c r="V46" s="1252">
        <f>VLOOKUP($R46,Sheet1!$A$3:$F$214,4,FALSE)</f>
        <v>0</v>
      </c>
      <c r="W46" s="1252">
        <f>VLOOKUP($R46,Sheet1!$A$3:$F$214,5,FALSE)</f>
        <v>1</v>
      </c>
      <c r="X46" s="1252">
        <f>VLOOKUP($R46,Sheet1!$A$3:$F$214,6,FALSE)</f>
        <v>0</v>
      </c>
      <c r="Y46" s="1252"/>
      <c r="Z46" s="1252"/>
      <c r="AA46" s="917"/>
      <c r="AB46" s="917"/>
      <c r="AC46" s="917"/>
      <c r="AD46" s="917"/>
      <c r="AE46" s="917"/>
      <c r="AF46" s="917"/>
      <c r="AG46" s="917"/>
      <c r="AH46" s="917"/>
      <c r="AI46" s="917"/>
      <c r="AJ46" s="917"/>
      <c r="AK46" s="917"/>
      <c r="AL46" s="917"/>
      <c r="AM46" s="917"/>
      <c r="AN46" s="917"/>
      <c r="AO46" s="917"/>
    </row>
    <row r="47" spans="1:41" s="913" customFormat="1" ht="15.95" customHeight="1">
      <c r="A47" s="1248" t="str">
        <f t="shared" si="9"/>
        <v>M1-067(2)</v>
      </c>
      <c r="B47" s="915" t="str">
        <f t="shared" si="17"/>
        <v>보도</v>
      </c>
      <c r="C47" s="1251">
        <f t="shared" si="10"/>
        <v>0</v>
      </c>
      <c r="D47" s="1251"/>
      <c r="E47" s="1251">
        <f t="shared" si="11"/>
        <v>1</v>
      </c>
      <c r="F47" s="1251">
        <v>1</v>
      </c>
      <c r="G47" s="1251">
        <f t="shared" si="12"/>
        <v>0</v>
      </c>
      <c r="H47" s="1251"/>
      <c r="I47" s="1251">
        <f t="shared" si="13"/>
        <v>0</v>
      </c>
      <c r="J47" s="915"/>
      <c r="K47" s="1251">
        <f t="shared" si="14"/>
        <v>0</v>
      </c>
      <c r="L47" s="915"/>
      <c r="M47" s="915"/>
      <c r="N47" s="916">
        <f t="shared" si="15"/>
        <v>2</v>
      </c>
      <c r="O47" s="916">
        <f t="shared" si="16"/>
        <v>0</v>
      </c>
      <c r="P47" s="916" t="str">
        <f>VLOOKUP($A47,'맨홀 평균 높이'!$J$4:$M$572,4,0)</f>
        <v>보  도</v>
      </c>
      <c r="Q47" s="1264" t="s">
        <v>1338</v>
      </c>
      <c r="R47" s="1264" t="s">
        <v>1340</v>
      </c>
      <c r="S47" s="1252">
        <f>VLOOKUP($R47,Sheet1!$A$3:$C$241,2,FALSE)</f>
        <v>2</v>
      </c>
      <c r="T47" s="1252">
        <f>VLOOKUP($R47,Sheet1!$A$3:$C$241,3,FALSE)</f>
        <v>0</v>
      </c>
      <c r="U47" s="1252"/>
      <c r="V47" s="1252">
        <f>VLOOKUP($R47,Sheet1!$A$3:$F$214,4,FALSE)</f>
        <v>0</v>
      </c>
      <c r="W47" s="1252">
        <f>VLOOKUP($R47,Sheet1!$A$3:$F$214,5,FALSE)</f>
        <v>2</v>
      </c>
      <c r="X47" s="1252">
        <f>VLOOKUP($R47,Sheet1!$A$3:$F$214,6,FALSE)</f>
        <v>0</v>
      </c>
      <c r="Y47" s="1252"/>
      <c r="Z47" s="1252"/>
      <c r="AA47" s="917"/>
      <c r="AB47" s="917"/>
      <c r="AC47" s="917"/>
      <c r="AD47" s="917"/>
      <c r="AE47" s="917"/>
      <c r="AF47" s="917"/>
      <c r="AG47" s="917"/>
      <c r="AH47" s="917"/>
      <c r="AI47" s="917"/>
      <c r="AJ47" s="917"/>
      <c r="AK47" s="917"/>
      <c r="AL47" s="917"/>
      <c r="AM47" s="917"/>
      <c r="AN47" s="917"/>
      <c r="AO47" s="917"/>
    </row>
    <row r="48" spans="1:41" s="913" customFormat="1" ht="15.95" customHeight="1">
      <c r="A48" s="1248" t="str">
        <f t="shared" si="9"/>
        <v>M1-071</v>
      </c>
      <c r="B48" s="915" t="str">
        <f t="shared" si="17"/>
        <v>보도</v>
      </c>
      <c r="C48" s="1251">
        <f t="shared" si="10"/>
        <v>1</v>
      </c>
      <c r="D48" s="1251">
        <v>1</v>
      </c>
      <c r="E48" s="1251">
        <f t="shared" si="11"/>
        <v>0</v>
      </c>
      <c r="F48" s="1251"/>
      <c r="G48" s="1251">
        <f t="shared" si="12"/>
        <v>0</v>
      </c>
      <c r="H48" s="1251"/>
      <c r="I48" s="1251">
        <f t="shared" si="13"/>
        <v>0</v>
      </c>
      <c r="J48" s="915"/>
      <c r="K48" s="1251">
        <f t="shared" si="14"/>
        <v>0</v>
      </c>
      <c r="L48" s="915"/>
      <c r="M48" s="915"/>
      <c r="N48" s="916">
        <f t="shared" si="15"/>
        <v>2</v>
      </c>
      <c r="O48" s="916">
        <f t="shared" si="16"/>
        <v>0</v>
      </c>
      <c r="P48" s="916" t="str">
        <f>VLOOKUP($A48,'맨홀 평균 높이'!$J$4:$M$572,4,0)</f>
        <v>보  도</v>
      </c>
      <c r="Q48" s="1264" t="s">
        <v>1270</v>
      </c>
      <c r="R48" s="1264" t="s">
        <v>1271</v>
      </c>
      <c r="S48" s="1252">
        <f>VLOOKUP($R48,Sheet1!$A$3:$C$241,2,FALSE)</f>
        <v>2</v>
      </c>
      <c r="T48" s="1252">
        <f>VLOOKUP($R48,Sheet1!$A$3:$C$241,3,FALSE)</f>
        <v>0</v>
      </c>
      <c r="U48" s="1252"/>
      <c r="V48" s="1252">
        <f>VLOOKUP($R48,Sheet1!$A$3:$F$214,4,FALSE)</f>
        <v>2</v>
      </c>
      <c r="W48" s="1252">
        <f>VLOOKUP($R48,Sheet1!$A$3:$F$214,5,FALSE)</f>
        <v>0</v>
      </c>
      <c r="X48" s="1252">
        <f>VLOOKUP($R48,Sheet1!$A$3:$F$214,6,FALSE)</f>
        <v>0</v>
      </c>
      <c r="Y48" s="1252"/>
      <c r="Z48" s="1252"/>
      <c r="AA48" s="917"/>
      <c r="AB48" s="917"/>
      <c r="AC48" s="917"/>
      <c r="AD48" s="917"/>
      <c r="AE48" s="917"/>
      <c r="AF48" s="917"/>
      <c r="AG48" s="917"/>
      <c r="AH48" s="917"/>
      <c r="AI48" s="917"/>
      <c r="AJ48" s="917"/>
      <c r="AK48" s="917"/>
      <c r="AL48" s="917"/>
      <c r="AM48" s="917"/>
      <c r="AN48" s="917"/>
      <c r="AO48" s="917"/>
    </row>
    <row r="49" spans="1:41" s="913" customFormat="1" ht="15.95" customHeight="1">
      <c r="A49" s="1248" t="str">
        <f t="shared" si="9"/>
        <v>M1-072(2)</v>
      </c>
      <c r="B49" s="915" t="str">
        <f t="shared" si="17"/>
        <v>보도</v>
      </c>
      <c r="C49" s="1251">
        <f t="shared" si="10"/>
        <v>1</v>
      </c>
      <c r="D49" s="1251">
        <v>1</v>
      </c>
      <c r="E49" s="1251">
        <f t="shared" si="11"/>
        <v>0</v>
      </c>
      <c r="F49" s="1251"/>
      <c r="G49" s="1251">
        <f t="shared" si="12"/>
        <v>0</v>
      </c>
      <c r="H49" s="1251"/>
      <c r="I49" s="1251">
        <f t="shared" si="13"/>
        <v>0</v>
      </c>
      <c r="J49" s="915"/>
      <c r="K49" s="1251">
        <f t="shared" si="14"/>
        <v>0</v>
      </c>
      <c r="L49" s="915"/>
      <c r="M49" s="915"/>
      <c r="N49" s="916">
        <f t="shared" si="15"/>
        <v>2</v>
      </c>
      <c r="O49" s="916">
        <f t="shared" si="16"/>
        <v>0</v>
      </c>
      <c r="P49" s="916" t="str">
        <f>VLOOKUP($A49,'맨홀 평균 높이'!$J$4:$M$572,4,0)</f>
        <v>보  도</v>
      </c>
      <c r="Q49" s="1264" t="s">
        <v>1270</v>
      </c>
      <c r="R49" s="1264" t="s">
        <v>1415</v>
      </c>
      <c r="S49" s="1252">
        <f>VLOOKUP($R49,Sheet1!$A$3:$C$241,2,FALSE)</f>
        <v>2</v>
      </c>
      <c r="T49" s="1252">
        <f>VLOOKUP($R49,Sheet1!$A$3:$C$241,3,FALSE)</f>
        <v>0</v>
      </c>
      <c r="U49" s="1252"/>
      <c r="V49" s="1252">
        <f>VLOOKUP($R49,Sheet1!$A$3:$F$214,4,FALSE)</f>
        <v>2</v>
      </c>
      <c r="W49" s="1252">
        <f>VLOOKUP($R49,Sheet1!$A$3:$F$214,5,FALSE)</f>
        <v>0</v>
      </c>
      <c r="X49" s="1252">
        <f>VLOOKUP($R49,Sheet1!$A$3:$F$214,6,FALSE)</f>
        <v>0</v>
      </c>
      <c r="Y49" s="1252"/>
      <c r="Z49" s="1252"/>
      <c r="AA49" s="917"/>
      <c r="AB49" s="917"/>
      <c r="AC49" s="917"/>
      <c r="AD49" s="917"/>
      <c r="AE49" s="917"/>
      <c r="AF49" s="917"/>
      <c r="AG49" s="917"/>
      <c r="AH49" s="917"/>
      <c r="AI49" s="917"/>
      <c r="AJ49" s="917"/>
      <c r="AK49" s="917"/>
      <c r="AL49" s="917"/>
      <c r="AM49" s="917"/>
      <c r="AN49" s="917"/>
      <c r="AO49" s="917"/>
    </row>
    <row r="50" spans="1:41" s="913" customFormat="1" ht="15.95" customHeight="1">
      <c r="A50" s="1248" t="str">
        <f t="shared" si="9"/>
        <v>M1-072(3)</v>
      </c>
      <c r="B50" s="915" t="str">
        <f t="shared" si="17"/>
        <v>보도</v>
      </c>
      <c r="C50" s="1251">
        <f t="shared" si="10"/>
        <v>1</v>
      </c>
      <c r="D50" s="1251">
        <v>1</v>
      </c>
      <c r="E50" s="1251">
        <f t="shared" si="11"/>
        <v>0</v>
      </c>
      <c r="F50" s="1251"/>
      <c r="G50" s="1251">
        <f t="shared" si="12"/>
        <v>0</v>
      </c>
      <c r="H50" s="1251"/>
      <c r="I50" s="1251">
        <f t="shared" si="13"/>
        <v>0</v>
      </c>
      <c r="J50" s="915"/>
      <c r="K50" s="1251">
        <f t="shared" si="14"/>
        <v>0</v>
      </c>
      <c r="L50" s="915"/>
      <c r="M50" s="915"/>
      <c r="N50" s="916">
        <f t="shared" si="15"/>
        <v>2</v>
      </c>
      <c r="O50" s="916">
        <f t="shared" si="16"/>
        <v>0</v>
      </c>
      <c r="P50" s="916" t="str">
        <f>VLOOKUP($A50,'맨홀 평균 높이'!$J$4:$M$572,4,0)</f>
        <v>보  도</v>
      </c>
      <c r="Q50" s="1264" t="s">
        <v>1270</v>
      </c>
      <c r="R50" s="1264" t="s">
        <v>1416</v>
      </c>
      <c r="S50" s="1252">
        <f>VLOOKUP($R50,Sheet1!$A$3:$C$241,2,FALSE)</f>
        <v>2</v>
      </c>
      <c r="T50" s="1252">
        <f>VLOOKUP($R50,Sheet1!$A$3:$C$241,3,FALSE)</f>
        <v>0</v>
      </c>
      <c r="U50" s="1252"/>
      <c r="V50" s="1252">
        <f>VLOOKUP($R50,Sheet1!$A$3:$F$214,4,FALSE)</f>
        <v>2</v>
      </c>
      <c r="W50" s="1252">
        <f>VLOOKUP($R50,Sheet1!$A$3:$F$214,5,FALSE)</f>
        <v>0</v>
      </c>
      <c r="X50" s="1252">
        <f>VLOOKUP($R50,Sheet1!$A$3:$F$214,6,FALSE)</f>
        <v>0</v>
      </c>
      <c r="Y50" s="1252"/>
      <c r="Z50" s="1252"/>
      <c r="AA50" s="917"/>
      <c r="AB50" s="917"/>
      <c r="AC50" s="917"/>
      <c r="AD50" s="917"/>
      <c r="AE50" s="917"/>
      <c r="AF50" s="917"/>
      <c r="AG50" s="917"/>
      <c r="AH50" s="917"/>
      <c r="AI50" s="917"/>
      <c r="AJ50" s="917"/>
      <c r="AK50" s="917"/>
      <c r="AL50" s="917"/>
      <c r="AM50" s="917"/>
      <c r="AN50" s="917"/>
      <c r="AO50" s="917"/>
    </row>
    <row r="51" spans="1:41" s="913" customFormat="1" ht="15.95" customHeight="1">
      <c r="A51" s="1248" t="str">
        <f t="shared" si="9"/>
        <v>M1-072(4)</v>
      </c>
      <c r="B51" s="915" t="str">
        <f t="shared" si="17"/>
        <v>보도</v>
      </c>
      <c r="C51" s="1251">
        <f t="shared" si="10"/>
        <v>1</v>
      </c>
      <c r="D51" s="1251">
        <v>1</v>
      </c>
      <c r="E51" s="1251">
        <f t="shared" si="11"/>
        <v>0</v>
      </c>
      <c r="F51" s="1251"/>
      <c r="G51" s="1251">
        <f t="shared" si="12"/>
        <v>0</v>
      </c>
      <c r="H51" s="1251"/>
      <c r="I51" s="1251">
        <f t="shared" si="13"/>
        <v>0</v>
      </c>
      <c r="J51" s="915"/>
      <c r="K51" s="1251">
        <f t="shared" si="14"/>
        <v>0</v>
      </c>
      <c r="L51" s="915"/>
      <c r="M51" s="915"/>
      <c r="N51" s="916">
        <f t="shared" si="15"/>
        <v>2</v>
      </c>
      <c r="O51" s="916">
        <f t="shared" si="16"/>
        <v>0</v>
      </c>
      <c r="P51" s="916" t="str">
        <f>VLOOKUP($A51,'맨홀 평균 높이'!$J$4:$M$572,4,0)</f>
        <v>보  도</v>
      </c>
      <c r="Q51" s="1264" t="s">
        <v>1270</v>
      </c>
      <c r="R51" s="1264" t="s">
        <v>1417</v>
      </c>
      <c r="S51" s="1252">
        <f>VLOOKUP($R51,Sheet1!$A$3:$C$241,2,FALSE)</f>
        <v>2</v>
      </c>
      <c r="T51" s="1252">
        <f>VLOOKUP($R51,Sheet1!$A$3:$C$241,3,FALSE)</f>
        <v>0</v>
      </c>
      <c r="U51" s="1252"/>
      <c r="V51" s="1252">
        <f>VLOOKUP($R51,Sheet1!$A$3:$F$214,4,FALSE)</f>
        <v>2</v>
      </c>
      <c r="W51" s="1252">
        <f>VLOOKUP($R51,Sheet1!$A$3:$F$214,5,FALSE)</f>
        <v>0</v>
      </c>
      <c r="X51" s="1252">
        <f>VLOOKUP($R51,Sheet1!$A$3:$F$214,6,FALSE)</f>
        <v>0</v>
      </c>
      <c r="Y51" s="1252"/>
      <c r="Z51" s="1252"/>
      <c r="AA51" s="917"/>
      <c r="AB51" s="917"/>
      <c r="AC51" s="917"/>
      <c r="AD51" s="917"/>
      <c r="AE51" s="917"/>
      <c r="AF51" s="917"/>
      <c r="AG51" s="917"/>
      <c r="AH51" s="917"/>
      <c r="AI51" s="917"/>
      <c r="AJ51" s="917"/>
      <c r="AK51" s="917"/>
      <c r="AL51" s="917"/>
      <c r="AM51" s="917"/>
      <c r="AN51" s="917"/>
      <c r="AO51" s="917"/>
    </row>
    <row r="52" spans="1:41" s="913" customFormat="1" ht="15.95" customHeight="1">
      <c r="A52" s="1248" t="str">
        <f t="shared" si="9"/>
        <v>M1-073(1)</v>
      </c>
      <c r="B52" s="915" t="str">
        <f t="shared" si="17"/>
        <v>보도</v>
      </c>
      <c r="C52" s="1251">
        <f t="shared" si="10"/>
        <v>0</v>
      </c>
      <c r="D52" s="1251">
        <v>1</v>
      </c>
      <c r="E52" s="1251">
        <f t="shared" si="11"/>
        <v>0</v>
      </c>
      <c r="F52" s="1251">
        <v>1</v>
      </c>
      <c r="G52" s="1251">
        <f t="shared" si="12"/>
        <v>0</v>
      </c>
      <c r="H52" s="1251"/>
      <c r="I52" s="1251">
        <f t="shared" si="13"/>
        <v>0</v>
      </c>
      <c r="J52" s="915"/>
      <c r="K52" s="1251">
        <f t="shared" si="14"/>
        <v>0</v>
      </c>
      <c r="L52" s="915"/>
      <c r="M52" s="915"/>
      <c r="N52" s="916">
        <f t="shared" si="15"/>
        <v>2</v>
      </c>
      <c r="O52" s="916">
        <f t="shared" si="16"/>
        <v>0</v>
      </c>
      <c r="P52" s="916" t="str">
        <f>VLOOKUP($A52,'맨홀 평균 높이'!$J$4:$M$572,4,0)</f>
        <v>보  도</v>
      </c>
      <c r="Q52" s="1264" t="s">
        <v>1270</v>
      </c>
      <c r="R52" s="1264" t="s">
        <v>1418</v>
      </c>
      <c r="S52" s="1252">
        <f>VLOOKUP($R52,Sheet1!$A$3:$C$241,2,FALSE)</f>
        <v>2</v>
      </c>
      <c r="T52" s="1252">
        <f>VLOOKUP($R52,Sheet1!$A$3:$C$241,3,FALSE)</f>
        <v>0</v>
      </c>
      <c r="U52" s="1252"/>
      <c r="V52" s="1252">
        <f>VLOOKUP($R52,Sheet1!$A$3:$F$214,4,FALSE)</f>
        <v>1</v>
      </c>
      <c r="W52" s="1252">
        <f>VLOOKUP($R52,Sheet1!$A$3:$F$214,5,FALSE)</f>
        <v>1</v>
      </c>
      <c r="X52" s="1252">
        <f>VLOOKUP($R52,Sheet1!$A$3:$F$214,6,FALSE)</f>
        <v>0</v>
      </c>
      <c r="Y52" s="1252"/>
      <c r="Z52" s="1252"/>
      <c r="AA52" s="917"/>
      <c r="AB52" s="917"/>
      <c r="AC52" s="917"/>
      <c r="AD52" s="917"/>
      <c r="AE52" s="917"/>
      <c r="AF52" s="917"/>
      <c r="AG52" s="917"/>
      <c r="AH52" s="917"/>
      <c r="AI52" s="917"/>
      <c r="AJ52" s="917"/>
      <c r="AK52" s="917"/>
      <c r="AL52" s="917"/>
      <c r="AM52" s="917"/>
      <c r="AN52" s="917"/>
      <c r="AO52" s="917"/>
    </row>
    <row r="53" spans="1:41" s="913" customFormat="1" ht="15.95" customHeight="1">
      <c r="A53" s="1248" t="str">
        <f t="shared" si="9"/>
        <v>M1-073(2)</v>
      </c>
      <c r="B53" s="915" t="str">
        <f t="shared" si="17"/>
        <v>보도</v>
      </c>
      <c r="C53" s="1251">
        <f t="shared" si="10"/>
        <v>0</v>
      </c>
      <c r="D53" s="1251"/>
      <c r="E53" s="1251">
        <f t="shared" si="11"/>
        <v>1</v>
      </c>
      <c r="F53" s="1251">
        <v>1</v>
      </c>
      <c r="G53" s="1251">
        <f t="shared" si="12"/>
        <v>0</v>
      </c>
      <c r="H53" s="1251"/>
      <c r="I53" s="1251">
        <f t="shared" si="13"/>
        <v>0</v>
      </c>
      <c r="J53" s="915"/>
      <c r="K53" s="1251">
        <f t="shared" si="14"/>
        <v>0</v>
      </c>
      <c r="L53" s="915"/>
      <c r="M53" s="915"/>
      <c r="N53" s="916">
        <f t="shared" si="15"/>
        <v>2</v>
      </c>
      <c r="O53" s="916">
        <f t="shared" si="16"/>
        <v>0</v>
      </c>
      <c r="P53" s="916" t="str">
        <f>VLOOKUP($A53,'맨홀 평균 높이'!$J$4:$M$572,4,0)</f>
        <v>보  도</v>
      </c>
      <c r="Q53" s="1264" t="s">
        <v>1270</v>
      </c>
      <c r="R53" s="1264" t="s">
        <v>1419</v>
      </c>
      <c r="S53" s="1252">
        <f>VLOOKUP($R53,Sheet1!$A$3:$C$241,2,FALSE)</f>
        <v>2</v>
      </c>
      <c r="T53" s="1252">
        <f>VLOOKUP($R53,Sheet1!$A$3:$C$241,3,FALSE)</f>
        <v>0</v>
      </c>
      <c r="U53" s="1252"/>
      <c r="V53" s="1252">
        <f>VLOOKUP($R53,Sheet1!$A$3:$F$214,4,FALSE)</f>
        <v>0</v>
      </c>
      <c r="W53" s="1252">
        <f>VLOOKUP($R53,Sheet1!$A$3:$F$214,5,FALSE)</f>
        <v>2</v>
      </c>
      <c r="X53" s="1252">
        <f>VLOOKUP($R53,Sheet1!$A$3:$F$214,6,FALSE)</f>
        <v>0</v>
      </c>
      <c r="Y53" s="1252"/>
      <c r="Z53" s="1252"/>
      <c r="AA53" s="917"/>
      <c r="AB53" s="917"/>
      <c r="AC53" s="917"/>
      <c r="AD53" s="917"/>
      <c r="AE53" s="917"/>
      <c r="AF53" s="917"/>
      <c r="AG53" s="917"/>
      <c r="AH53" s="917"/>
      <c r="AI53" s="917"/>
      <c r="AJ53" s="917"/>
      <c r="AK53" s="917"/>
      <c r="AL53" s="917"/>
      <c r="AM53" s="917"/>
      <c r="AN53" s="917"/>
      <c r="AO53" s="917"/>
    </row>
    <row r="54" spans="1:41" s="913" customFormat="1" ht="15.95" customHeight="1">
      <c r="A54" s="1248" t="str">
        <f t="shared" si="9"/>
        <v>M1-073(3)</v>
      </c>
      <c r="B54" s="915" t="str">
        <f t="shared" si="17"/>
        <v>보도</v>
      </c>
      <c r="C54" s="1251">
        <f t="shared" si="10"/>
        <v>0</v>
      </c>
      <c r="D54" s="1251"/>
      <c r="E54" s="1251">
        <f t="shared" si="11"/>
        <v>1</v>
      </c>
      <c r="F54" s="1251">
        <v>1</v>
      </c>
      <c r="G54" s="1251">
        <f t="shared" si="12"/>
        <v>0</v>
      </c>
      <c r="H54" s="1251"/>
      <c r="I54" s="1251">
        <f t="shared" si="13"/>
        <v>0</v>
      </c>
      <c r="J54" s="915"/>
      <c r="K54" s="1251">
        <f t="shared" si="14"/>
        <v>0</v>
      </c>
      <c r="L54" s="915"/>
      <c r="M54" s="915"/>
      <c r="N54" s="916">
        <f t="shared" si="15"/>
        <v>2</v>
      </c>
      <c r="O54" s="916">
        <f t="shared" si="16"/>
        <v>0</v>
      </c>
      <c r="P54" s="916" t="str">
        <f>VLOOKUP($A54,'맨홀 평균 높이'!$J$4:$M$572,4,0)</f>
        <v>보  도</v>
      </c>
      <c r="Q54" s="1264" t="s">
        <v>1270</v>
      </c>
      <c r="R54" s="1264" t="s">
        <v>1420</v>
      </c>
      <c r="S54" s="1252">
        <f>VLOOKUP($R54,Sheet1!$A$3:$C$241,2,FALSE)</f>
        <v>2</v>
      </c>
      <c r="T54" s="1252">
        <f>VLOOKUP($R54,Sheet1!$A$3:$C$241,3,FALSE)</f>
        <v>0</v>
      </c>
      <c r="U54" s="1252"/>
      <c r="V54" s="1252">
        <f>VLOOKUP($R54,Sheet1!$A$3:$F$214,4,FALSE)</f>
        <v>0</v>
      </c>
      <c r="W54" s="1252">
        <f>VLOOKUP($R54,Sheet1!$A$3:$F$214,5,FALSE)</f>
        <v>2</v>
      </c>
      <c r="X54" s="1252">
        <f>VLOOKUP($R54,Sheet1!$A$3:$F$214,6,FALSE)</f>
        <v>0</v>
      </c>
      <c r="Y54" s="1252"/>
      <c r="Z54" s="1252"/>
      <c r="AA54" s="917"/>
      <c r="AB54" s="917"/>
      <c r="AC54" s="917"/>
      <c r="AD54" s="917"/>
      <c r="AE54" s="917"/>
      <c r="AF54" s="917"/>
      <c r="AG54" s="917"/>
      <c r="AH54" s="917"/>
      <c r="AI54" s="917"/>
      <c r="AJ54" s="917"/>
      <c r="AK54" s="917"/>
      <c r="AL54" s="917"/>
      <c r="AM54" s="917"/>
      <c r="AN54" s="917"/>
      <c r="AO54" s="917"/>
    </row>
    <row r="55" spans="1:41" s="913" customFormat="1" ht="15.95" customHeight="1">
      <c r="A55" s="1248" t="str">
        <f t="shared" si="9"/>
        <v>M1-073(4)</v>
      </c>
      <c r="B55" s="915" t="str">
        <f t="shared" si="17"/>
        <v>보도</v>
      </c>
      <c r="C55" s="1251">
        <f t="shared" si="10"/>
        <v>0</v>
      </c>
      <c r="D55" s="1251"/>
      <c r="E55" s="1251">
        <f t="shared" si="11"/>
        <v>1</v>
      </c>
      <c r="F55" s="1251">
        <v>1</v>
      </c>
      <c r="G55" s="1251">
        <f t="shared" si="12"/>
        <v>0</v>
      </c>
      <c r="H55" s="1251"/>
      <c r="I55" s="1251">
        <f t="shared" si="13"/>
        <v>0</v>
      </c>
      <c r="J55" s="915"/>
      <c r="K55" s="1251">
        <f t="shared" si="14"/>
        <v>0</v>
      </c>
      <c r="L55" s="915"/>
      <c r="M55" s="915"/>
      <c r="N55" s="916">
        <f t="shared" si="15"/>
        <v>2</v>
      </c>
      <c r="O55" s="916">
        <f t="shared" si="16"/>
        <v>0</v>
      </c>
      <c r="P55" s="916" t="str">
        <f>VLOOKUP($A55,'맨홀 평균 높이'!$J$4:$M$572,4,0)</f>
        <v>보  도</v>
      </c>
      <c r="Q55" s="1264" t="s">
        <v>1270</v>
      </c>
      <c r="R55" s="1264" t="s">
        <v>1421</v>
      </c>
      <c r="S55" s="1252">
        <f>VLOOKUP($R55,Sheet1!$A$3:$C$241,2,FALSE)</f>
        <v>2</v>
      </c>
      <c r="T55" s="1252">
        <f>VLOOKUP($R55,Sheet1!$A$3:$C$241,3,FALSE)</f>
        <v>0</v>
      </c>
      <c r="U55" s="1252"/>
      <c r="V55" s="1252">
        <f>VLOOKUP($R55,Sheet1!$A$3:$F$214,4,FALSE)</f>
        <v>0</v>
      </c>
      <c r="W55" s="1252">
        <f>VLOOKUP($R55,Sheet1!$A$3:$F$214,5,FALSE)</f>
        <v>2</v>
      </c>
      <c r="X55" s="1252">
        <f>VLOOKUP($R55,Sheet1!$A$3:$F$214,6,FALSE)</f>
        <v>0</v>
      </c>
      <c r="Y55" s="1252"/>
      <c r="Z55" s="1252"/>
      <c r="AA55" s="917"/>
      <c r="AB55" s="917"/>
      <c r="AC55" s="917"/>
      <c r="AD55" s="917"/>
      <c r="AE55" s="917"/>
      <c r="AF55" s="917"/>
      <c r="AG55" s="917"/>
      <c r="AH55" s="917"/>
      <c r="AI55" s="917"/>
      <c r="AJ55" s="917"/>
      <c r="AK55" s="917"/>
      <c r="AL55" s="917"/>
      <c r="AM55" s="917"/>
      <c r="AN55" s="917"/>
      <c r="AO55" s="917"/>
    </row>
    <row r="56" spans="1:41" s="913" customFormat="1" ht="15.95" customHeight="1">
      <c r="A56" s="1248" t="str">
        <f t="shared" si="9"/>
        <v>M1-074(1)</v>
      </c>
      <c r="B56" s="915" t="str">
        <f t="shared" si="17"/>
        <v>보도</v>
      </c>
      <c r="C56" s="1251">
        <f t="shared" si="10"/>
        <v>0</v>
      </c>
      <c r="D56" s="1251"/>
      <c r="E56" s="1251">
        <f t="shared" si="11"/>
        <v>1</v>
      </c>
      <c r="F56" s="1251">
        <v>1</v>
      </c>
      <c r="G56" s="1251">
        <f t="shared" si="12"/>
        <v>0</v>
      </c>
      <c r="H56" s="1251"/>
      <c r="I56" s="1251">
        <f t="shared" si="13"/>
        <v>0</v>
      </c>
      <c r="J56" s="915"/>
      <c r="K56" s="1251">
        <f t="shared" si="14"/>
        <v>0</v>
      </c>
      <c r="L56" s="915"/>
      <c r="M56" s="915"/>
      <c r="N56" s="916">
        <f t="shared" si="15"/>
        <v>2</v>
      </c>
      <c r="O56" s="916">
        <f t="shared" si="16"/>
        <v>0</v>
      </c>
      <c r="P56" s="916" t="str">
        <f>VLOOKUP($A56,'맨홀 평균 높이'!$J$4:$M$572,4,0)</f>
        <v>보  도</v>
      </c>
      <c r="Q56" s="1264" t="s">
        <v>1270</v>
      </c>
      <c r="R56" s="1264" t="s">
        <v>1422</v>
      </c>
      <c r="S56" s="1252">
        <f>VLOOKUP($R56,Sheet1!$A$3:$C$241,2,FALSE)</f>
        <v>2</v>
      </c>
      <c r="T56" s="1252">
        <f>VLOOKUP($R56,Sheet1!$A$3:$C$241,3,FALSE)</f>
        <v>0</v>
      </c>
      <c r="U56" s="1252"/>
      <c r="V56" s="1252">
        <f>VLOOKUP($R56,Sheet1!$A$3:$F$214,4,FALSE)</f>
        <v>0</v>
      </c>
      <c r="W56" s="1252">
        <f>VLOOKUP($R56,Sheet1!$A$3:$F$214,5,FALSE)</f>
        <v>2</v>
      </c>
      <c r="X56" s="1252">
        <f>VLOOKUP($R56,Sheet1!$A$3:$F$214,6,FALSE)</f>
        <v>0</v>
      </c>
      <c r="Y56" s="1252"/>
      <c r="Z56" s="1252"/>
      <c r="AA56" s="917"/>
      <c r="AB56" s="917"/>
      <c r="AC56" s="917"/>
      <c r="AD56" s="917"/>
      <c r="AE56" s="917"/>
      <c r="AF56" s="917"/>
      <c r="AG56" s="917"/>
      <c r="AH56" s="917"/>
      <c r="AI56" s="917"/>
      <c r="AJ56" s="917"/>
      <c r="AK56" s="917"/>
      <c r="AL56" s="917"/>
      <c r="AM56" s="917"/>
      <c r="AN56" s="917"/>
      <c r="AO56" s="917"/>
    </row>
    <row r="57" spans="1:41" s="913" customFormat="1" ht="15.95" customHeight="1">
      <c r="A57" s="1248" t="str">
        <f t="shared" si="9"/>
        <v>M1-074(2)</v>
      </c>
      <c r="B57" s="915" t="str">
        <f t="shared" si="17"/>
        <v>보도</v>
      </c>
      <c r="C57" s="1251">
        <f t="shared" si="10"/>
        <v>0</v>
      </c>
      <c r="D57" s="1251"/>
      <c r="E57" s="1251">
        <f t="shared" si="11"/>
        <v>1</v>
      </c>
      <c r="F57" s="1251">
        <v>1</v>
      </c>
      <c r="G57" s="1251">
        <f t="shared" si="12"/>
        <v>0</v>
      </c>
      <c r="H57" s="1251"/>
      <c r="I57" s="1251">
        <f t="shared" si="13"/>
        <v>0</v>
      </c>
      <c r="J57" s="915"/>
      <c r="K57" s="1251">
        <f t="shared" si="14"/>
        <v>0</v>
      </c>
      <c r="L57" s="915"/>
      <c r="M57" s="915"/>
      <c r="N57" s="916">
        <f t="shared" si="15"/>
        <v>2</v>
      </c>
      <c r="O57" s="916">
        <f t="shared" si="16"/>
        <v>0</v>
      </c>
      <c r="P57" s="916" t="str">
        <f>VLOOKUP($A57,'맨홀 평균 높이'!$J$4:$M$572,4,0)</f>
        <v>보  도</v>
      </c>
      <c r="Q57" s="1264" t="s">
        <v>1270</v>
      </c>
      <c r="R57" s="1264" t="s">
        <v>1423</v>
      </c>
      <c r="S57" s="1252">
        <f>VLOOKUP($R57,Sheet1!$A$3:$C$241,2,FALSE)</f>
        <v>2</v>
      </c>
      <c r="T57" s="1252">
        <f>VLOOKUP($R57,Sheet1!$A$3:$C$241,3,FALSE)</f>
        <v>0</v>
      </c>
      <c r="U57" s="1252"/>
      <c r="V57" s="1252">
        <f>VLOOKUP($R57,Sheet1!$A$3:$F$214,4,FALSE)</f>
        <v>0</v>
      </c>
      <c r="W57" s="1252">
        <f>VLOOKUP($R57,Sheet1!$A$3:$F$214,5,FALSE)</f>
        <v>2</v>
      </c>
      <c r="X57" s="1252">
        <f>VLOOKUP($R57,Sheet1!$A$3:$F$214,6,FALSE)</f>
        <v>0</v>
      </c>
      <c r="Y57" s="1252"/>
      <c r="Z57" s="1252"/>
      <c r="AA57" s="917"/>
      <c r="AB57" s="917"/>
      <c r="AC57" s="917"/>
      <c r="AD57" s="917"/>
      <c r="AE57" s="917"/>
      <c r="AF57" s="917"/>
      <c r="AG57" s="917"/>
      <c r="AH57" s="917"/>
      <c r="AI57" s="917"/>
      <c r="AJ57" s="917"/>
      <c r="AK57" s="917"/>
      <c r="AL57" s="917"/>
      <c r="AM57" s="917"/>
      <c r="AN57" s="917"/>
      <c r="AO57" s="917"/>
    </row>
    <row r="58" spans="1:41" s="913" customFormat="1" ht="15.95" customHeight="1">
      <c r="A58" s="1248" t="str">
        <f t="shared" si="9"/>
        <v>M1-074(3)</v>
      </c>
      <c r="B58" s="915" t="str">
        <f t="shared" si="17"/>
        <v>보도</v>
      </c>
      <c r="C58" s="1251">
        <f t="shared" si="10"/>
        <v>0</v>
      </c>
      <c r="D58" s="1251"/>
      <c r="E58" s="1251">
        <f t="shared" si="11"/>
        <v>1</v>
      </c>
      <c r="F58" s="1251">
        <v>1</v>
      </c>
      <c r="G58" s="1251">
        <f t="shared" si="12"/>
        <v>0</v>
      </c>
      <c r="H58" s="1251"/>
      <c r="I58" s="1251">
        <f t="shared" si="13"/>
        <v>0</v>
      </c>
      <c r="J58" s="915"/>
      <c r="K58" s="1251">
        <f t="shared" si="14"/>
        <v>0</v>
      </c>
      <c r="L58" s="915"/>
      <c r="M58" s="915"/>
      <c r="N58" s="916">
        <f t="shared" si="15"/>
        <v>2</v>
      </c>
      <c r="O58" s="916">
        <f t="shared" si="16"/>
        <v>0</v>
      </c>
      <c r="P58" s="916" t="str">
        <f>VLOOKUP($A58,'맨홀 평균 높이'!$J$4:$M$572,4,0)</f>
        <v>보  도</v>
      </c>
      <c r="Q58" s="1264" t="s">
        <v>1270</v>
      </c>
      <c r="R58" s="1264" t="s">
        <v>1424</v>
      </c>
      <c r="S58" s="1252">
        <f>VLOOKUP($R58,Sheet1!$A$3:$C$241,2,FALSE)</f>
        <v>2</v>
      </c>
      <c r="T58" s="1252">
        <f>VLOOKUP($R58,Sheet1!$A$3:$C$241,3,FALSE)</f>
        <v>0</v>
      </c>
      <c r="U58" s="1252"/>
      <c r="V58" s="1252">
        <f>VLOOKUP($R58,Sheet1!$A$3:$F$214,4,FALSE)</f>
        <v>0</v>
      </c>
      <c r="W58" s="1252">
        <f>VLOOKUP($R58,Sheet1!$A$3:$F$214,5,FALSE)</f>
        <v>2</v>
      </c>
      <c r="X58" s="1252">
        <f>VLOOKUP($R58,Sheet1!$A$3:$F$214,6,FALSE)</f>
        <v>0</v>
      </c>
      <c r="Y58" s="1252"/>
      <c r="Z58" s="1252"/>
      <c r="AA58" s="917"/>
      <c r="AB58" s="917"/>
      <c r="AC58" s="917"/>
      <c r="AD58" s="917"/>
      <c r="AE58" s="917"/>
      <c r="AF58" s="917"/>
      <c r="AG58" s="917"/>
      <c r="AH58" s="917"/>
      <c r="AI58" s="917"/>
      <c r="AJ58" s="917"/>
      <c r="AK58" s="917"/>
      <c r="AL58" s="917"/>
      <c r="AM58" s="917"/>
      <c r="AN58" s="917"/>
      <c r="AO58" s="917"/>
    </row>
    <row r="59" spans="1:41" s="913" customFormat="1" ht="15.95" customHeight="1">
      <c r="A59" s="1248" t="str">
        <f t="shared" si="9"/>
        <v>M1-074(4)</v>
      </c>
      <c r="B59" s="915" t="str">
        <f t="shared" si="17"/>
        <v>보도</v>
      </c>
      <c r="C59" s="1251">
        <f t="shared" si="10"/>
        <v>0</v>
      </c>
      <c r="D59" s="1251"/>
      <c r="E59" s="1251">
        <f t="shared" si="11"/>
        <v>1</v>
      </c>
      <c r="F59" s="1251">
        <v>1</v>
      </c>
      <c r="G59" s="1251">
        <f t="shared" si="12"/>
        <v>0</v>
      </c>
      <c r="H59" s="1251"/>
      <c r="I59" s="1251">
        <f t="shared" si="13"/>
        <v>0</v>
      </c>
      <c r="J59" s="915"/>
      <c r="K59" s="1251">
        <f t="shared" si="14"/>
        <v>0</v>
      </c>
      <c r="L59" s="915"/>
      <c r="M59" s="915"/>
      <c r="N59" s="916">
        <f t="shared" si="15"/>
        <v>2</v>
      </c>
      <c r="O59" s="916">
        <f t="shared" si="16"/>
        <v>0</v>
      </c>
      <c r="P59" s="916" t="str">
        <f>VLOOKUP($A59,'맨홀 평균 높이'!$J$4:$M$572,4,0)</f>
        <v>보  도</v>
      </c>
      <c r="Q59" s="1264" t="s">
        <v>1270</v>
      </c>
      <c r="R59" s="1264" t="s">
        <v>1425</v>
      </c>
      <c r="S59" s="1252">
        <f>VLOOKUP($R59,Sheet1!$A$3:$C$241,2,FALSE)</f>
        <v>2</v>
      </c>
      <c r="T59" s="1252">
        <f>VLOOKUP($R59,Sheet1!$A$3:$C$241,3,FALSE)</f>
        <v>0</v>
      </c>
      <c r="U59" s="1252"/>
      <c r="V59" s="1252">
        <f>VLOOKUP($R59,Sheet1!$A$3:$F$214,4,FALSE)</f>
        <v>0</v>
      </c>
      <c r="W59" s="1252">
        <f>VLOOKUP($R59,Sheet1!$A$3:$F$214,5,FALSE)</f>
        <v>2</v>
      </c>
      <c r="X59" s="1252">
        <f>VLOOKUP($R59,Sheet1!$A$3:$F$214,6,FALSE)</f>
        <v>0</v>
      </c>
      <c r="Y59" s="1252"/>
      <c r="Z59" s="1252"/>
      <c r="AA59" s="917"/>
      <c r="AB59" s="917"/>
      <c r="AC59" s="917"/>
      <c r="AD59" s="917"/>
      <c r="AE59" s="917"/>
      <c r="AF59" s="917"/>
      <c r="AG59" s="917"/>
      <c r="AH59" s="917"/>
      <c r="AI59" s="917"/>
      <c r="AJ59" s="917"/>
      <c r="AK59" s="917"/>
      <c r="AL59" s="917"/>
      <c r="AM59" s="917"/>
      <c r="AN59" s="917"/>
      <c r="AO59" s="917"/>
    </row>
    <row r="60" spans="1:41" s="913" customFormat="1" ht="15.95" customHeight="1">
      <c r="A60" s="1248" t="str">
        <f t="shared" si="9"/>
        <v>M1-074(5)</v>
      </c>
      <c r="B60" s="915" t="str">
        <f t="shared" si="17"/>
        <v>보도</v>
      </c>
      <c r="C60" s="1251">
        <f t="shared" si="10"/>
        <v>0</v>
      </c>
      <c r="D60" s="1251"/>
      <c r="E60" s="1251">
        <f t="shared" si="11"/>
        <v>1</v>
      </c>
      <c r="F60" s="1251">
        <v>1</v>
      </c>
      <c r="G60" s="1251">
        <f t="shared" si="12"/>
        <v>0</v>
      </c>
      <c r="H60" s="1251"/>
      <c r="I60" s="1251">
        <f t="shared" si="13"/>
        <v>0</v>
      </c>
      <c r="J60" s="915"/>
      <c r="K60" s="1251">
        <f t="shared" si="14"/>
        <v>0</v>
      </c>
      <c r="L60" s="915"/>
      <c r="M60" s="915"/>
      <c r="N60" s="916">
        <f t="shared" si="15"/>
        <v>2</v>
      </c>
      <c r="O60" s="916">
        <f t="shared" si="16"/>
        <v>0</v>
      </c>
      <c r="P60" s="916" t="str">
        <f>VLOOKUP($A60,'맨홀 평균 높이'!$J$4:$M$572,4,0)</f>
        <v>보  도</v>
      </c>
      <c r="Q60" s="1264" t="s">
        <v>1270</v>
      </c>
      <c r="R60" s="1264" t="s">
        <v>1426</v>
      </c>
      <c r="S60" s="1252">
        <f>VLOOKUP($R60,Sheet1!$A$3:$C$241,2,FALSE)</f>
        <v>2</v>
      </c>
      <c r="T60" s="1252">
        <f>VLOOKUP($R60,Sheet1!$A$3:$C$241,3,FALSE)</f>
        <v>0</v>
      </c>
      <c r="U60" s="1252"/>
      <c r="V60" s="1252">
        <f>VLOOKUP($R60,Sheet1!$A$3:$F$214,4,FALSE)</f>
        <v>0</v>
      </c>
      <c r="W60" s="1252">
        <f>VLOOKUP($R60,Sheet1!$A$3:$F$214,5,FALSE)</f>
        <v>2</v>
      </c>
      <c r="X60" s="1252">
        <f>VLOOKUP($R60,Sheet1!$A$3:$F$214,6,FALSE)</f>
        <v>0</v>
      </c>
      <c r="Y60" s="1252"/>
      <c r="Z60" s="1252"/>
      <c r="AA60" s="917"/>
      <c r="AB60" s="917"/>
      <c r="AC60" s="917"/>
      <c r="AD60" s="917"/>
      <c r="AE60" s="917"/>
      <c r="AF60" s="917"/>
      <c r="AG60" s="917"/>
      <c r="AH60" s="917"/>
      <c r="AI60" s="917"/>
      <c r="AJ60" s="917"/>
      <c r="AK60" s="917"/>
      <c r="AL60" s="917"/>
      <c r="AM60" s="917"/>
      <c r="AN60" s="917"/>
      <c r="AO60" s="917"/>
    </row>
    <row r="61" spans="1:41" s="913" customFormat="1" ht="15.95" customHeight="1">
      <c r="A61" s="1248" t="str">
        <f t="shared" si="9"/>
        <v>M1-075</v>
      </c>
      <c r="B61" s="915" t="str">
        <f t="shared" si="17"/>
        <v>차도</v>
      </c>
      <c r="C61" s="1251">
        <f t="shared" si="10"/>
        <v>0</v>
      </c>
      <c r="D61" s="1251">
        <v>1</v>
      </c>
      <c r="E61" s="1251">
        <f t="shared" si="11"/>
        <v>0</v>
      </c>
      <c r="F61" s="1251"/>
      <c r="G61" s="1251">
        <f t="shared" si="12"/>
        <v>0</v>
      </c>
      <c r="H61" s="1251"/>
      <c r="I61" s="1251">
        <f t="shared" si="13"/>
        <v>0</v>
      </c>
      <c r="J61" s="915"/>
      <c r="K61" s="1251">
        <f t="shared" si="14"/>
        <v>0</v>
      </c>
      <c r="L61" s="915"/>
      <c r="M61" s="915"/>
      <c r="N61" s="916">
        <f t="shared" si="15"/>
        <v>1</v>
      </c>
      <c r="O61" s="916">
        <f t="shared" si="16"/>
        <v>0</v>
      </c>
      <c r="P61" s="916" t="str">
        <f>VLOOKUP($A61,'맨홀 평균 높이'!$J$4:$M$572,4,0)</f>
        <v>차  도</v>
      </c>
      <c r="Q61" s="1264" t="s">
        <v>1268</v>
      </c>
      <c r="R61" s="1264" t="s">
        <v>1269</v>
      </c>
      <c r="S61" s="1252">
        <f>VLOOKUP($R61,Sheet1!$A$3:$C$241,2,FALSE)</f>
        <v>1</v>
      </c>
      <c r="T61" s="1252">
        <f>VLOOKUP($R61,Sheet1!$A$3:$C$241,3,FALSE)</f>
        <v>0</v>
      </c>
      <c r="U61" s="1252"/>
      <c r="V61" s="1252">
        <f>VLOOKUP($R61,Sheet1!$A$3:$F$214,4,FALSE)</f>
        <v>1</v>
      </c>
      <c r="W61" s="1252">
        <f>VLOOKUP($R61,Sheet1!$A$3:$F$214,5,FALSE)</f>
        <v>0</v>
      </c>
      <c r="X61" s="1252">
        <f>VLOOKUP($R61,Sheet1!$A$3:$F$214,6,FALSE)</f>
        <v>0</v>
      </c>
      <c r="Y61" s="1252"/>
      <c r="Z61" s="1252"/>
      <c r="AA61" s="917"/>
      <c r="AB61" s="917"/>
      <c r="AC61" s="917"/>
      <c r="AD61" s="917"/>
      <c r="AE61" s="917"/>
      <c r="AF61" s="917"/>
      <c r="AG61" s="917"/>
      <c r="AH61" s="917"/>
      <c r="AI61" s="917"/>
      <c r="AJ61" s="917"/>
      <c r="AK61" s="917"/>
      <c r="AL61" s="917"/>
      <c r="AM61" s="917"/>
      <c r="AN61" s="917"/>
      <c r="AO61" s="917"/>
    </row>
    <row r="62" spans="1:41" s="913" customFormat="1" ht="15.95" customHeight="1">
      <c r="A62" s="1248" t="str">
        <f t="shared" si="9"/>
        <v>M1-077</v>
      </c>
      <c r="B62" s="915" t="str">
        <f t="shared" si="17"/>
        <v>차도</v>
      </c>
      <c r="C62" s="1251">
        <f t="shared" si="10"/>
        <v>0</v>
      </c>
      <c r="D62" s="1251">
        <v>1</v>
      </c>
      <c r="E62" s="1251">
        <f t="shared" si="11"/>
        <v>0</v>
      </c>
      <c r="F62" s="1251"/>
      <c r="G62" s="1251">
        <f t="shared" si="12"/>
        <v>0</v>
      </c>
      <c r="H62" s="1251"/>
      <c r="I62" s="1251">
        <f t="shared" si="13"/>
        <v>0</v>
      </c>
      <c r="J62" s="915"/>
      <c r="K62" s="1251">
        <f t="shared" si="14"/>
        <v>0</v>
      </c>
      <c r="L62" s="915"/>
      <c r="M62" s="915"/>
      <c r="N62" s="916">
        <f t="shared" si="15"/>
        <v>1</v>
      </c>
      <c r="O62" s="916">
        <f t="shared" si="16"/>
        <v>0</v>
      </c>
      <c r="P62" s="916" t="str">
        <f>VLOOKUP($A62,'맨홀 평균 높이'!$J$4:$M$572,4,0)</f>
        <v>차  도</v>
      </c>
      <c r="Q62" s="1264" t="s">
        <v>1272</v>
      </c>
      <c r="R62" s="1264" t="s">
        <v>1273</v>
      </c>
      <c r="S62" s="1252">
        <f>VLOOKUP($R62,Sheet1!$A$3:$C$241,2,FALSE)</f>
        <v>1</v>
      </c>
      <c r="T62" s="1252">
        <f>VLOOKUP($R62,Sheet1!$A$3:$C$241,3,FALSE)</f>
        <v>0</v>
      </c>
      <c r="U62" s="1252"/>
      <c r="V62" s="1252">
        <f>VLOOKUP($R62,Sheet1!$A$3:$F$214,4,FALSE)</f>
        <v>1</v>
      </c>
      <c r="W62" s="1252">
        <f>VLOOKUP($R62,Sheet1!$A$3:$F$214,5,FALSE)</f>
        <v>0</v>
      </c>
      <c r="X62" s="1252">
        <f>VLOOKUP($R62,Sheet1!$A$3:$F$214,6,FALSE)</f>
        <v>0</v>
      </c>
      <c r="Y62" s="1252"/>
      <c r="Z62" s="1252"/>
      <c r="AA62" s="917"/>
      <c r="AB62" s="917"/>
      <c r="AC62" s="917"/>
      <c r="AD62" s="917"/>
      <c r="AE62" s="917"/>
      <c r="AF62" s="917"/>
      <c r="AG62" s="917"/>
      <c r="AH62" s="917"/>
      <c r="AI62" s="917"/>
      <c r="AJ62" s="917"/>
      <c r="AK62" s="917"/>
      <c r="AL62" s="917"/>
      <c r="AM62" s="917"/>
      <c r="AN62" s="917"/>
      <c r="AO62" s="917"/>
    </row>
    <row r="63" spans="1:41" s="913" customFormat="1" ht="15.95" customHeight="1">
      <c r="A63" s="1248" t="str">
        <f t="shared" si="9"/>
        <v>M1-081(1)</v>
      </c>
      <c r="B63" s="915" t="str">
        <f t="shared" si="17"/>
        <v>차도</v>
      </c>
      <c r="C63" s="1251">
        <f t="shared" si="10"/>
        <v>0</v>
      </c>
      <c r="D63" s="1251">
        <v>1</v>
      </c>
      <c r="E63" s="1251">
        <f t="shared" si="11"/>
        <v>0</v>
      </c>
      <c r="F63" s="1251"/>
      <c r="G63" s="1251">
        <f t="shared" si="12"/>
        <v>0</v>
      </c>
      <c r="H63" s="1251"/>
      <c r="I63" s="1251">
        <f t="shared" si="13"/>
        <v>0</v>
      </c>
      <c r="J63" s="915"/>
      <c r="K63" s="1251">
        <f t="shared" si="14"/>
        <v>0</v>
      </c>
      <c r="L63" s="915"/>
      <c r="M63" s="915"/>
      <c r="N63" s="916">
        <f t="shared" si="15"/>
        <v>1</v>
      </c>
      <c r="O63" s="916">
        <f t="shared" si="16"/>
        <v>0</v>
      </c>
      <c r="P63" s="916" t="str">
        <f>VLOOKUP($A63,'맨홀 평균 높이'!$J$4:$M$572,4,0)</f>
        <v>차  도</v>
      </c>
      <c r="Q63" s="1264" t="s">
        <v>1274</v>
      </c>
      <c r="R63" s="1264" t="s">
        <v>1427</v>
      </c>
      <c r="S63" s="1252">
        <f>VLOOKUP($R63,Sheet1!$A$3:$C$241,2,FALSE)</f>
        <v>1</v>
      </c>
      <c r="T63" s="1252">
        <f>VLOOKUP($R63,Sheet1!$A$3:$C$241,3,FALSE)</f>
        <v>0</v>
      </c>
      <c r="U63" s="1252"/>
      <c r="V63" s="1252">
        <f>VLOOKUP($R63,Sheet1!$A$3:$F$214,4,FALSE)</f>
        <v>1</v>
      </c>
      <c r="W63" s="1252">
        <f>VLOOKUP($R63,Sheet1!$A$3:$F$214,5,FALSE)</f>
        <v>0</v>
      </c>
      <c r="X63" s="1252">
        <f>VLOOKUP($R63,Sheet1!$A$3:$F$214,6,FALSE)</f>
        <v>0</v>
      </c>
      <c r="Y63" s="1252"/>
      <c r="Z63" s="1252"/>
      <c r="AA63" s="917"/>
      <c r="AB63" s="917"/>
      <c r="AC63" s="917"/>
      <c r="AD63" s="917"/>
      <c r="AE63" s="917"/>
      <c r="AF63" s="917"/>
      <c r="AG63" s="917"/>
      <c r="AH63" s="917"/>
      <c r="AI63" s="917"/>
      <c r="AJ63" s="917"/>
      <c r="AK63" s="917"/>
      <c r="AL63" s="917"/>
      <c r="AM63" s="917"/>
      <c r="AN63" s="917"/>
      <c r="AO63" s="917"/>
    </row>
    <row r="64" spans="1:41" s="913" customFormat="1" ht="15.95" customHeight="1">
      <c r="A64" s="1248" t="str">
        <f t="shared" si="9"/>
        <v>M1-082</v>
      </c>
      <c r="B64" s="915" t="str">
        <f t="shared" si="17"/>
        <v>차도</v>
      </c>
      <c r="C64" s="1251">
        <f t="shared" si="10"/>
        <v>0</v>
      </c>
      <c r="D64" s="1251"/>
      <c r="E64" s="1251">
        <f t="shared" si="11"/>
        <v>0</v>
      </c>
      <c r="F64" s="1251">
        <v>1</v>
      </c>
      <c r="G64" s="1251">
        <f t="shared" si="12"/>
        <v>0</v>
      </c>
      <c r="H64" s="1251"/>
      <c r="I64" s="1251">
        <f t="shared" si="13"/>
        <v>0</v>
      </c>
      <c r="J64" s="915"/>
      <c r="K64" s="1251">
        <f t="shared" si="14"/>
        <v>0</v>
      </c>
      <c r="L64" s="915"/>
      <c r="M64" s="915"/>
      <c r="N64" s="916">
        <f t="shared" si="15"/>
        <v>1</v>
      </c>
      <c r="O64" s="916">
        <f t="shared" si="16"/>
        <v>0</v>
      </c>
      <c r="P64" s="916" t="str">
        <f>VLOOKUP($A64,'맨홀 평균 높이'!$J$4:$M$572,4,0)</f>
        <v>차  도</v>
      </c>
      <c r="Q64" s="1264" t="s">
        <v>1428</v>
      </c>
      <c r="R64" s="1264" t="s">
        <v>1275</v>
      </c>
      <c r="S64" s="1252">
        <f>VLOOKUP($R64,Sheet1!$A$3:$C$241,2,FALSE)</f>
        <v>1</v>
      </c>
      <c r="T64" s="1252">
        <f>VLOOKUP($R64,Sheet1!$A$3:$C$241,3,FALSE)</f>
        <v>0</v>
      </c>
      <c r="U64" s="1252"/>
      <c r="V64" s="1252">
        <f>VLOOKUP($R64,Sheet1!$A$3:$F$214,4,FALSE)</f>
        <v>0</v>
      </c>
      <c r="W64" s="1252">
        <f>VLOOKUP($R64,Sheet1!$A$3:$F$214,5,FALSE)</f>
        <v>1</v>
      </c>
      <c r="X64" s="1252">
        <f>VLOOKUP($R64,Sheet1!$A$3:$F$214,6,FALSE)</f>
        <v>0</v>
      </c>
      <c r="Y64" s="1252"/>
      <c r="Z64" s="1252"/>
      <c r="AA64" s="917"/>
      <c r="AB64" s="917"/>
      <c r="AC64" s="917"/>
      <c r="AD64" s="917"/>
      <c r="AE64" s="917"/>
      <c r="AF64" s="917"/>
      <c r="AG64" s="917"/>
      <c r="AH64" s="917"/>
      <c r="AI64" s="917"/>
      <c r="AJ64" s="917"/>
      <c r="AK64" s="917"/>
      <c r="AL64" s="917"/>
      <c r="AM64" s="917"/>
      <c r="AN64" s="917"/>
      <c r="AO64" s="917"/>
    </row>
    <row r="65" spans="1:41" s="913" customFormat="1" ht="15.95" customHeight="1">
      <c r="A65" s="1248" t="str">
        <f t="shared" si="9"/>
        <v>M1-083</v>
      </c>
      <c r="B65" s="915" t="str">
        <f t="shared" si="17"/>
        <v>차도</v>
      </c>
      <c r="C65" s="1251">
        <f t="shared" si="10"/>
        <v>0</v>
      </c>
      <c r="D65" s="1251"/>
      <c r="E65" s="1251">
        <f t="shared" si="11"/>
        <v>0</v>
      </c>
      <c r="F65" s="1251">
        <v>1</v>
      </c>
      <c r="G65" s="1251">
        <f t="shared" si="12"/>
        <v>0</v>
      </c>
      <c r="H65" s="1251"/>
      <c r="I65" s="1251">
        <f t="shared" si="13"/>
        <v>0</v>
      </c>
      <c r="J65" s="915"/>
      <c r="K65" s="1251">
        <f t="shared" si="14"/>
        <v>0</v>
      </c>
      <c r="L65" s="915"/>
      <c r="M65" s="915"/>
      <c r="N65" s="916">
        <f t="shared" si="15"/>
        <v>1</v>
      </c>
      <c r="O65" s="916">
        <f t="shared" si="16"/>
        <v>0</v>
      </c>
      <c r="P65" s="916" t="str">
        <f>VLOOKUP($A65,'맨홀 평균 높이'!$J$4:$M$572,4,0)</f>
        <v>차  도</v>
      </c>
      <c r="Q65" s="1264" t="s">
        <v>1276</v>
      </c>
      <c r="R65" s="1264" t="s">
        <v>1277</v>
      </c>
      <c r="S65" s="1252">
        <f>VLOOKUP($R65,Sheet1!$A$3:$C$241,2,FALSE)</f>
        <v>1</v>
      </c>
      <c r="T65" s="1252">
        <f>VLOOKUP($R65,Sheet1!$A$3:$C$241,3,FALSE)</f>
        <v>0</v>
      </c>
      <c r="U65" s="1252"/>
      <c r="V65" s="1252">
        <f>VLOOKUP($R65,Sheet1!$A$3:$F$214,4,FALSE)</f>
        <v>0</v>
      </c>
      <c r="W65" s="1252">
        <f>VLOOKUP($R65,Sheet1!$A$3:$F$214,5,FALSE)</f>
        <v>1</v>
      </c>
      <c r="X65" s="1252">
        <f>VLOOKUP($R65,Sheet1!$A$3:$F$214,6,FALSE)</f>
        <v>0</v>
      </c>
      <c r="Y65" s="1252"/>
      <c r="Z65" s="1252"/>
      <c r="AA65" s="917"/>
      <c r="AB65" s="917"/>
      <c r="AC65" s="917"/>
      <c r="AD65" s="917"/>
      <c r="AE65" s="917"/>
      <c r="AF65" s="917"/>
      <c r="AG65" s="917"/>
      <c r="AH65" s="917"/>
      <c r="AI65" s="917"/>
      <c r="AJ65" s="917"/>
      <c r="AK65" s="917"/>
      <c r="AL65" s="917"/>
      <c r="AM65" s="917"/>
      <c r="AN65" s="917"/>
      <c r="AO65" s="917"/>
    </row>
    <row r="66" spans="1:41" s="913" customFormat="1" ht="15.95" customHeight="1">
      <c r="A66" s="1248" t="str">
        <f t="shared" ref="A66:A97" si="18">R66</f>
        <v>M1-084</v>
      </c>
      <c r="B66" s="915" t="str">
        <f t="shared" si="17"/>
        <v>차도</v>
      </c>
      <c r="C66" s="1251">
        <f t="shared" si="10"/>
        <v>0</v>
      </c>
      <c r="D66" s="1251"/>
      <c r="E66" s="1251">
        <f t="shared" si="11"/>
        <v>0</v>
      </c>
      <c r="F66" s="1251">
        <v>1</v>
      </c>
      <c r="G66" s="1251">
        <f t="shared" si="12"/>
        <v>0</v>
      </c>
      <c r="H66" s="1251"/>
      <c r="I66" s="1251">
        <f t="shared" si="13"/>
        <v>0</v>
      </c>
      <c r="J66" s="915"/>
      <c r="K66" s="1251">
        <f t="shared" si="14"/>
        <v>0</v>
      </c>
      <c r="L66" s="915"/>
      <c r="M66" s="915"/>
      <c r="N66" s="916">
        <f t="shared" ref="N66:N97" si="19">SUM(C66:L66)</f>
        <v>1</v>
      </c>
      <c r="O66" s="916">
        <f t="shared" ref="O66:O97" si="20">S66-N66</f>
        <v>0</v>
      </c>
      <c r="P66" s="916" t="str">
        <f>VLOOKUP($A66,'맨홀 평균 높이'!$J$4:$M$572,4,0)</f>
        <v>차  도</v>
      </c>
      <c r="Q66" s="1264" t="s">
        <v>1278</v>
      </c>
      <c r="R66" s="1264" t="s">
        <v>1279</v>
      </c>
      <c r="S66" s="1252">
        <f>VLOOKUP($R66,Sheet1!$A$3:$C$241,2,FALSE)</f>
        <v>1</v>
      </c>
      <c r="T66" s="1252">
        <f>VLOOKUP($R66,Sheet1!$A$3:$C$241,3,FALSE)</f>
        <v>0</v>
      </c>
      <c r="U66" s="1252"/>
      <c r="V66" s="1252">
        <f>VLOOKUP($R66,Sheet1!$A$3:$F$214,4,FALSE)</f>
        <v>0</v>
      </c>
      <c r="W66" s="1252">
        <f>VLOOKUP($R66,Sheet1!$A$3:$F$214,5,FALSE)</f>
        <v>1</v>
      </c>
      <c r="X66" s="1252">
        <f>VLOOKUP($R66,Sheet1!$A$3:$F$214,6,FALSE)</f>
        <v>0</v>
      </c>
      <c r="Y66" s="1252"/>
      <c r="Z66" s="1252"/>
      <c r="AA66" s="917"/>
      <c r="AB66" s="917"/>
      <c r="AC66" s="917"/>
      <c r="AD66" s="917"/>
      <c r="AE66" s="917"/>
      <c r="AF66" s="917"/>
      <c r="AG66" s="917"/>
      <c r="AH66" s="917"/>
      <c r="AI66" s="917"/>
      <c r="AJ66" s="917"/>
      <c r="AK66" s="917"/>
      <c r="AL66" s="917"/>
      <c r="AM66" s="917"/>
      <c r="AN66" s="917"/>
      <c r="AO66" s="917"/>
    </row>
    <row r="67" spans="1:41" s="913" customFormat="1" ht="15.95" customHeight="1">
      <c r="A67" s="1248" t="str">
        <f t="shared" si="18"/>
        <v>M1-085</v>
      </c>
      <c r="B67" s="915" t="str">
        <f t="shared" si="17"/>
        <v>보도</v>
      </c>
      <c r="C67" s="1251">
        <f t="shared" si="10"/>
        <v>0</v>
      </c>
      <c r="D67" s="1251"/>
      <c r="E67" s="1251">
        <f t="shared" si="11"/>
        <v>0</v>
      </c>
      <c r="F67" s="1251">
        <v>1</v>
      </c>
      <c r="G67" s="1251">
        <f t="shared" si="12"/>
        <v>0</v>
      </c>
      <c r="H67" s="1251"/>
      <c r="I67" s="1251">
        <f t="shared" si="13"/>
        <v>0</v>
      </c>
      <c r="J67" s="915"/>
      <c r="K67" s="1251">
        <f t="shared" si="14"/>
        <v>0</v>
      </c>
      <c r="L67" s="915"/>
      <c r="M67" s="915"/>
      <c r="N67" s="916">
        <f t="shared" si="19"/>
        <v>1</v>
      </c>
      <c r="O67" s="916">
        <f t="shared" si="20"/>
        <v>0</v>
      </c>
      <c r="P67" s="916" t="str">
        <f>VLOOKUP($A67,'맨홀 평균 높이'!$J$4:$M$572,4,0)</f>
        <v>보  도</v>
      </c>
      <c r="Q67" s="1264" t="s">
        <v>1280</v>
      </c>
      <c r="R67" s="1264" t="s">
        <v>1281</v>
      </c>
      <c r="S67" s="1252">
        <f>VLOOKUP($R67,Sheet1!$A$3:$C$241,2,FALSE)</f>
        <v>1</v>
      </c>
      <c r="T67" s="1252">
        <f>VLOOKUP($R67,Sheet1!$A$3:$C$241,3,FALSE)</f>
        <v>0</v>
      </c>
      <c r="U67" s="1252"/>
      <c r="V67" s="1252">
        <f>VLOOKUP($R67,Sheet1!$A$3:$F$214,4,FALSE)</f>
        <v>0</v>
      </c>
      <c r="W67" s="1252">
        <f>VLOOKUP($R67,Sheet1!$A$3:$F$214,5,FALSE)</f>
        <v>1</v>
      </c>
      <c r="X67" s="1252">
        <f>VLOOKUP($R67,Sheet1!$A$3:$F$214,6,FALSE)</f>
        <v>0</v>
      </c>
      <c r="Y67" s="1252"/>
      <c r="Z67" s="1252"/>
      <c r="AA67" s="917"/>
      <c r="AB67" s="917"/>
      <c r="AC67" s="917"/>
      <c r="AD67" s="917"/>
      <c r="AE67" s="917"/>
      <c r="AF67" s="917"/>
      <c r="AG67" s="917"/>
      <c r="AH67" s="917"/>
      <c r="AI67" s="917"/>
      <c r="AJ67" s="917"/>
      <c r="AK67" s="917"/>
      <c r="AL67" s="917"/>
      <c r="AM67" s="917"/>
      <c r="AN67" s="917"/>
      <c r="AO67" s="917"/>
    </row>
    <row r="68" spans="1:41" s="913" customFormat="1" ht="15.95" customHeight="1">
      <c r="A68" s="1248" t="str">
        <f t="shared" si="18"/>
        <v>M1-089</v>
      </c>
      <c r="B68" s="915" t="str">
        <f t="shared" si="17"/>
        <v>보도</v>
      </c>
      <c r="C68" s="1251">
        <f t="shared" si="10"/>
        <v>0</v>
      </c>
      <c r="D68" s="1251"/>
      <c r="E68" s="1251">
        <f t="shared" si="11"/>
        <v>1</v>
      </c>
      <c r="F68" s="1251">
        <v>1</v>
      </c>
      <c r="G68" s="1251">
        <f t="shared" si="12"/>
        <v>0</v>
      </c>
      <c r="H68" s="1251"/>
      <c r="I68" s="1251">
        <f t="shared" si="13"/>
        <v>0</v>
      </c>
      <c r="J68" s="915"/>
      <c r="K68" s="1251">
        <f t="shared" si="14"/>
        <v>0</v>
      </c>
      <c r="L68" s="915"/>
      <c r="M68" s="915"/>
      <c r="N68" s="916">
        <f t="shared" si="19"/>
        <v>2</v>
      </c>
      <c r="O68" s="916">
        <f t="shared" si="20"/>
        <v>0</v>
      </c>
      <c r="P68" s="916" t="str">
        <f>VLOOKUP($A68,'맨홀 평균 높이'!$J$4:$M$572,4,0)</f>
        <v>보  도</v>
      </c>
      <c r="Q68" s="1264" t="s">
        <v>1280</v>
      </c>
      <c r="R68" s="1264" t="s">
        <v>1282</v>
      </c>
      <c r="S68" s="1252">
        <f>VLOOKUP($R68,Sheet1!$A$3:$C$241,2,FALSE)</f>
        <v>2</v>
      </c>
      <c r="T68" s="1252">
        <f>VLOOKUP($R68,Sheet1!$A$3:$C$241,3,FALSE)</f>
        <v>0</v>
      </c>
      <c r="U68" s="1252"/>
      <c r="V68" s="1252">
        <f>VLOOKUP($R68,Sheet1!$A$3:$F$214,4,FALSE)</f>
        <v>0</v>
      </c>
      <c r="W68" s="1252">
        <f>VLOOKUP($R68,Sheet1!$A$3:$F$214,5,FALSE)</f>
        <v>2</v>
      </c>
      <c r="X68" s="1252">
        <f>VLOOKUP($R68,Sheet1!$A$3:$F$214,6,FALSE)</f>
        <v>0</v>
      </c>
      <c r="Y68" s="1252"/>
      <c r="Z68" s="1252"/>
      <c r="AA68" s="917"/>
      <c r="AB68" s="917"/>
      <c r="AC68" s="917"/>
      <c r="AD68" s="917"/>
      <c r="AE68" s="917"/>
      <c r="AF68" s="917"/>
      <c r="AG68" s="917"/>
      <c r="AH68" s="917"/>
      <c r="AI68" s="917"/>
      <c r="AJ68" s="917"/>
      <c r="AK68" s="917"/>
      <c r="AL68" s="917"/>
      <c r="AM68" s="917"/>
      <c r="AN68" s="917"/>
      <c r="AO68" s="917"/>
    </row>
    <row r="69" spans="1:41" s="913" customFormat="1" ht="15.95" customHeight="1">
      <c r="A69" s="1248" t="str">
        <f t="shared" si="18"/>
        <v>M1-090</v>
      </c>
      <c r="B69" s="915" t="str">
        <f t="shared" si="17"/>
        <v>보도</v>
      </c>
      <c r="C69" s="1251">
        <f t="shared" si="10"/>
        <v>0</v>
      </c>
      <c r="D69" s="1251"/>
      <c r="E69" s="1251">
        <f t="shared" si="11"/>
        <v>1</v>
      </c>
      <c r="F69" s="1251">
        <v>1</v>
      </c>
      <c r="G69" s="1251">
        <f t="shared" si="12"/>
        <v>0</v>
      </c>
      <c r="H69" s="1251"/>
      <c r="I69" s="1251">
        <f t="shared" si="13"/>
        <v>0</v>
      </c>
      <c r="J69" s="915"/>
      <c r="K69" s="1251">
        <f t="shared" si="14"/>
        <v>0</v>
      </c>
      <c r="L69" s="915"/>
      <c r="M69" s="915"/>
      <c r="N69" s="916">
        <f t="shared" si="19"/>
        <v>2</v>
      </c>
      <c r="O69" s="916">
        <f t="shared" si="20"/>
        <v>0</v>
      </c>
      <c r="P69" s="916" t="str">
        <f>VLOOKUP($A69,'맨홀 평균 높이'!$J$4:$M$572,4,0)</f>
        <v>보  도</v>
      </c>
      <c r="Q69" s="1264" t="s">
        <v>1280</v>
      </c>
      <c r="R69" s="1264" t="s">
        <v>1283</v>
      </c>
      <c r="S69" s="1252">
        <f>VLOOKUP($R69,Sheet1!$A$3:$C$241,2,FALSE)</f>
        <v>2</v>
      </c>
      <c r="T69" s="1252">
        <f>VLOOKUP($R69,Sheet1!$A$3:$C$241,3,FALSE)</f>
        <v>0</v>
      </c>
      <c r="U69" s="1252"/>
      <c r="V69" s="1252">
        <f>VLOOKUP($R69,Sheet1!$A$3:$F$214,4,FALSE)</f>
        <v>0</v>
      </c>
      <c r="W69" s="1252">
        <f>VLOOKUP($R69,Sheet1!$A$3:$F$214,5,FALSE)</f>
        <v>2</v>
      </c>
      <c r="X69" s="1252">
        <f>VLOOKUP($R69,Sheet1!$A$3:$F$214,6,FALSE)</f>
        <v>0</v>
      </c>
      <c r="Y69" s="1252"/>
      <c r="Z69" s="1252"/>
      <c r="AA69" s="917"/>
      <c r="AB69" s="917"/>
      <c r="AC69" s="917"/>
      <c r="AD69" s="917"/>
      <c r="AE69" s="917"/>
      <c r="AF69" s="917"/>
      <c r="AG69" s="917"/>
      <c r="AH69" s="917"/>
      <c r="AI69" s="917"/>
      <c r="AJ69" s="917"/>
      <c r="AK69" s="917"/>
      <c r="AL69" s="917"/>
      <c r="AM69" s="917"/>
      <c r="AN69" s="917"/>
      <c r="AO69" s="917"/>
    </row>
    <row r="70" spans="1:41" s="913" customFormat="1" ht="15.95" customHeight="1">
      <c r="A70" s="1248" t="str">
        <f t="shared" si="18"/>
        <v>M1-091</v>
      </c>
      <c r="B70" s="915" t="str">
        <f t="shared" si="17"/>
        <v>차도</v>
      </c>
      <c r="C70" s="1251">
        <f t="shared" si="10"/>
        <v>0</v>
      </c>
      <c r="D70" s="1251"/>
      <c r="E70" s="1251">
        <f t="shared" si="11"/>
        <v>0</v>
      </c>
      <c r="F70" s="1251">
        <v>1</v>
      </c>
      <c r="G70" s="1251">
        <f t="shared" si="12"/>
        <v>0</v>
      </c>
      <c r="H70" s="1251"/>
      <c r="I70" s="1251">
        <f t="shared" si="13"/>
        <v>0</v>
      </c>
      <c r="J70" s="915"/>
      <c r="K70" s="1251">
        <f t="shared" si="14"/>
        <v>0</v>
      </c>
      <c r="L70" s="915"/>
      <c r="M70" s="915"/>
      <c r="N70" s="916">
        <f t="shared" si="19"/>
        <v>1</v>
      </c>
      <c r="O70" s="916">
        <f t="shared" si="20"/>
        <v>0</v>
      </c>
      <c r="P70" s="916" t="str">
        <f>VLOOKUP($A70,'맨홀 평균 높이'!$J$4:$M$572,4,0)</f>
        <v>차  도</v>
      </c>
      <c r="Q70" s="1264" t="s">
        <v>1284</v>
      </c>
      <c r="R70" s="1264" t="s">
        <v>1285</v>
      </c>
      <c r="S70" s="1252">
        <f>VLOOKUP($R70,Sheet1!$A$3:$C$241,2,FALSE)</f>
        <v>1</v>
      </c>
      <c r="T70" s="1252">
        <f>VLOOKUP($R70,Sheet1!$A$3:$C$241,3,FALSE)</f>
        <v>0</v>
      </c>
      <c r="U70" s="1252"/>
      <c r="V70" s="1252">
        <f>VLOOKUP($R70,Sheet1!$A$3:$F$214,4,FALSE)</f>
        <v>0</v>
      </c>
      <c r="W70" s="1252">
        <f>VLOOKUP($R70,Sheet1!$A$3:$F$214,5,FALSE)</f>
        <v>1</v>
      </c>
      <c r="X70" s="1252">
        <f>VLOOKUP($R70,Sheet1!$A$3:$F$214,6,FALSE)</f>
        <v>0</v>
      </c>
      <c r="Y70" s="1252"/>
      <c r="Z70" s="1252"/>
      <c r="AA70" s="917"/>
      <c r="AB70" s="917"/>
      <c r="AC70" s="917"/>
      <c r="AD70" s="917"/>
      <c r="AE70" s="917"/>
      <c r="AF70" s="917"/>
      <c r="AG70" s="917"/>
      <c r="AH70" s="917"/>
      <c r="AI70" s="917"/>
      <c r="AJ70" s="917"/>
      <c r="AK70" s="917"/>
      <c r="AL70" s="917"/>
      <c r="AM70" s="917"/>
      <c r="AN70" s="917"/>
      <c r="AO70" s="917"/>
    </row>
    <row r="71" spans="1:41" s="913" customFormat="1" ht="15.95" customHeight="1">
      <c r="A71" s="1248" t="str">
        <f t="shared" si="18"/>
        <v>M1-092</v>
      </c>
      <c r="B71" s="915" t="str">
        <f t="shared" si="17"/>
        <v>차도</v>
      </c>
      <c r="C71" s="1251">
        <f t="shared" si="10"/>
        <v>0</v>
      </c>
      <c r="D71" s="1251"/>
      <c r="E71" s="1251">
        <f t="shared" si="11"/>
        <v>0</v>
      </c>
      <c r="F71" s="1251">
        <v>1</v>
      </c>
      <c r="G71" s="1251">
        <f t="shared" si="12"/>
        <v>0</v>
      </c>
      <c r="H71" s="1251"/>
      <c r="I71" s="1251">
        <f t="shared" si="13"/>
        <v>0</v>
      </c>
      <c r="J71" s="915"/>
      <c r="K71" s="1251">
        <f t="shared" si="14"/>
        <v>0</v>
      </c>
      <c r="L71" s="915"/>
      <c r="M71" s="915"/>
      <c r="N71" s="916">
        <f t="shared" si="19"/>
        <v>1</v>
      </c>
      <c r="O71" s="916">
        <f t="shared" si="20"/>
        <v>0</v>
      </c>
      <c r="P71" s="916" t="str">
        <f>VLOOKUP($A71,'맨홀 평균 높이'!$J$4:$M$572,4,0)</f>
        <v>차  도</v>
      </c>
      <c r="Q71" s="1264" t="s">
        <v>1234</v>
      </c>
      <c r="R71" s="1264" t="s">
        <v>1256</v>
      </c>
      <c r="S71" s="1252">
        <f>VLOOKUP($R71,Sheet1!$A$3:$C$241,2,FALSE)</f>
        <v>1</v>
      </c>
      <c r="T71" s="1252">
        <f>VLOOKUP($R71,Sheet1!$A$3:$C$241,3,FALSE)</f>
        <v>0</v>
      </c>
      <c r="U71" s="1252"/>
      <c r="V71" s="1252">
        <f>VLOOKUP($R71,Sheet1!$A$3:$F$214,4,FALSE)</f>
        <v>0</v>
      </c>
      <c r="W71" s="1252">
        <f>VLOOKUP($R71,Sheet1!$A$3:$F$214,5,FALSE)</f>
        <v>1</v>
      </c>
      <c r="X71" s="1252">
        <f>VLOOKUP($R71,Sheet1!$A$3:$F$214,6,FALSE)</f>
        <v>0</v>
      </c>
      <c r="Y71" s="1252"/>
      <c r="Z71" s="1252"/>
      <c r="AA71" s="917"/>
      <c r="AB71" s="917"/>
      <c r="AC71" s="917"/>
      <c r="AD71" s="917"/>
      <c r="AE71" s="917"/>
      <c r="AF71" s="917"/>
      <c r="AG71" s="917"/>
      <c r="AH71" s="917"/>
      <c r="AI71" s="917"/>
      <c r="AJ71" s="917"/>
      <c r="AK71" s="917"/>
      <c r="AL71" s="917"/>
      <c r="AM71" s="917"/>
      <c r="AN71" s="917"/>
      <c r="AO71" s="917"/>
    </row>
    <row r="72" spans="1:41" s="913" customFormat="1" ht="15.95" customHeight="1">
      <c r="A72" s="1248" t="str">
        <f t="shared" si="18"/>
        <v>M1-093(1)</v>
      </c>
      <c r="B72" s="915" t="str">
        <f t="shared" si="17"/>
        <v>차도</v>
      </c>
      <c r="C72" s="1251">
        <f t="shared" si="10"/>
        <v>0</v>
      </c>
      <c r="D72" s="1251">
        <v>1</v>
      </c>
      <c r="E72" s="1251">
        <f t="shared" si="11"/>
        <v>0</v>
      </c>
      <c r="F72" s="1251"/>
      <c r="G72" s="1251">
        <f t="shared" si="12"/>
        <v>0</v>
      </c>
      <c r="H72" s="1251"/>
      <c r="I72" s="1251">
        <f t="shared" si="13"/>
        <v>0</v>
      </c>
      <c r="J72" s="915"/>
      <c r="K72" s="1251">
        <f t="shared" si="14"/>
        <v>0</v>
      </c>
      <c r="L72" s="915"/>
      <c r="M72" s="915"/>
      <c r="N72" s="916">
        <f t="shared" si="19"/>
        <v>1</v>
      </c>
      <c r="O72" s="916">
        <f t="shared" si="20"/>
        <v>0</v>
      </c>
      <c r="P72" s="916" t="str">
        <f>VLOOKUP($A72,'맨홀 평균 높이'!$J$4:$M$572,4,0)</f>
        <v>차  도</v>
      </c>
      <c r="Q72" s="1264" t="s">
        <v>1286</v>
      </c>
      <c r="R72" s="1264" t="s">
        <v>1429</v>
      </c>
      <c r="S72" s="1252">
        <f>VLOOKUP($R72,Sheet1!$A$3:$C$241,2,FALSE)</f>
        <v>1</v>
      </c>
      <c r="T72" s="1252">
        <f>VLOOKUP($R72,Sheet1!$A$3:$C$241,3,FALSE)</f>
        <v>0</v>
      </c>
      <c r="U72" s="1252"/>
      <c r="V72" s="1252">
        <f>VLOOKUP($R72,Sheet1!$A$3:$F$214,4,FALSE)</f>
        <v>1</v>
      </c>
      <c r="W72" s="1252">
        <f>VLOOKUP($R72,Sheet1!$A$3:$F$214,5,FALSE)</f>
        <v>0</v>
      </c>
      <c r="X72" s="1252">
        <f>VLOOKUP($R72,Sheet1!$A$3:$F$214,6,FALSE)</f>
        <v>0</v>
      </c>
      <c r="Y72" s="1252"/>
      <c r="Z72" s="1252"/>
      <c r="AA72" s="917"/>
      <c r="AB72" s="917"/>
      <c r="AC72" s="917"/>
      <c r="AD72" s="917"/>
      <c r="AE72" s="917"/>
      <c r="AF72" s="917"/>
      <c r="AG72" s="917"/>
      <c r="AH72" s="917"/>
      <c r="AI72" s="917"/>
      <c r="AJ72" s="917"/>
      <c r="AK72" s="917"/>
      <c r="AL72" s="917"/>
      <c r="AM72" s="917"/>
      <c r="AN72" s="917"/>
      <c r="AO72" s="917"/>
    </row>
    <row r="73" spans="1:41" s="913" customFormat="1" ht="15.95" customHeight="1">
      <c r="A73" s="1248" t="str">
        <f t="shared" si="18"/>
        <v>M1-095</v>
      </c>
      <c r="B73" s="915" t="str">
        <f t="shared" si="17"/>
        <v>차도</v>
      </c>
      <c r="C73" s="1251">
        <f t="shared" si="10"/>
        <v>1</v>
      </c>
      <c r="D73" s="1251">
        <v>1</v>
      </c>
      <c r="E73" s="1251">
        <f t="shared" si="11"/>
        <v>0</v>
      </c>
      <c r="F73" s="1251"/>
      <c r="G73" s="1251">
        <f t="shared" si="12"/>
        <v>0</v>
      </c>
      <c r="H73" s="1251"/>
      <c r="I73" s="1251">
        <f t="shared" si="13"/>
        <v>0</v>
      </c>
      <c r="J73" s="915"/>
      <c r="K73" s="1251">
        <f t="shared" si="14"/>
        <v>0</v>
      </c>
      <c r="L73" s="915"/>
      <c r="M73" s="915"/>
      <c r="N73" s="916">
        <f t="shared" si="19"/>
        <v>2</v>
      </c>
      <c r="O73" s="916">
        <f t="shared" si="20"/>
        <v>0</v>
      </c>
      <c r="P73" s="916" t="str">
        <f>VLOOKUP($A73,'맨홀 평균 높이'!$J$4:$M$572,4,0)</f>
        <v>차  도</v>
      </c>
      <c r="Q73" s="1264" t="s">
        <v>1286</v>
      </c>
      <c r="R73" s="1264" t="s">
        <v>1288</v>
      </c>
      <c r="S73" s="1252">
        <f>VLOOKUP($R73,Sheet1!$A$3:$C$241,2,FALSE)</f>
        <v>2</v>
      </c>
      <c r="T73" s="1252">
        <f>VLOOKUP($R73,Sheet1!$A$3:$C$241,3,FALSE)</f>
        <v>0</v>
      </c>
      <c r="U73" s="1252"/>
      <c r="V73" s="1252">
        <f>VLOOKUP($R73,Sheet1!$A$3:$F$214,4,FALSE)</f>
        <v>2</v>
      </c>
      <c r="W73" s="1252">
        <f>VLOOKUP($R73,Sheet1!$A$3:$F$214,5,FALSE)</f>
        <v>0</v>
      </c>
      <c r="X73" s="1252">
        <f>VLOOKUP($R73,Sheet1!$A$3:$F$214,6,FALSE)</f>
        <v>0</v>
      </c>
      <c r="Y73" s="1252"/>
      <c r="Z73" s="1252"/>
      <c r="AA73" s="917"/>
      <c r="AB73" s="917"/>
      <c r="AC73" s="917"/>
      <c r="AD73" s="917"/>
      <c r="AE73" s="917"/>
      <c r="AF73" s="917"/>
      <c r="AG73" s="917"/>
      <c r="AH73" s="917"/>
      <c r="AI73" s="917"/>
      <c r="AJ73" s="917"/>
      <c r="AK73" s="917"/>
      <c r="AL73" s="917"/>
      <c r="AM73" s="917"/>
      <c r="AN73" s="917"/>
      <c r="AO73" s="917"/>
    </row>
    <row r="74" spans="1:41" s="913" customFormat="1" ht="15.95" customHeight="1">
      <c r="A74" s="1248" t="str">
        <f t="shared" si="18"/>
        <v>M1-101</v>
      </c>
      <c r="B74" s="915" t="str">
        <f t="shared" si="17"/>
        <v>보도</v>
      </c>
      <c r="C74" s="1251">
        <f t="shared" si="10"/>
        <v>0</v>
      </c>
      <c r="D74" s="1251"/>
      <c r="E74" s="1251">
        <f t="shared" si="11"/>
        <v>1</v>
      </c>
      <c r="F74" s="1251">
        <v>1</v>
      </c>
      <c r="G74" s="1251">
        <f t="shared" si="12"/>
        <v>0</v>
      </c>
      <c r="H74" s="1251"/>
      <c r="I74" s="1251">
        <f t="shared" si="13"/>
        <v>0</v>
      </c>
      <c r="J74" s="915"/>
      <c r="K74" s="1251">
        <f t="shared" si="14"/>
        <v>0</v>
      </c>
      <c r="L74" s="915"/>
      <c r="M74" s="915"/>
      <c r="N74" s="916">
        <f t="shared" si="19"/>
        <v>2</v>
      </c>
      <c r="O74" s="916">
        <f t="shared" si="20"/>
        <v>0</v>
      </c>
      <c r="P74" s="916" t="str">
        <f>VLOOKUP($A74,'맨홀 평균 높이'!$J$4:$M$572,4,0)</f>
        <v>보  도</v>
      </c>
      <c r="Q74" s="1264" t="s">
        <v>1290</v>
      </c>
      <c r="R74" s="1264" t="s">
        <v>535</v>
      </c>
      <c r="S74" s="1252">
        <f>VLOOKUP($R74,Sheet1!$A$3:$C$241,2,FALSE)</f>
        <v>2</v>
      </c>
      <c r="T74" s="1252">
        <f>VLOOKUP($R74,Sheet1!$A$3:$C$241,3,FALSE)</f>
        <v>0</v>
      </c>
      <c r="U74" s="1252"/>
      <c r="V74" s="1252">
        <f>VLOOKUP($R74,Sheet1!$A$3:$F$214,4,FALSE)</f>
        <v>0</v>
      </c>
      <c r="W74" s="1252">
        <f>VLOOKUP($R74,Sheet1!$A$3:$F$214,5,FALSE)</f>
        <v>2</v>
      </c>
      <c r="X74" s="1252">
        <f>VLOOKUP($R74,Sheet1!$A$3:$F$214,6,FALSE)</f>
        <v>0</v>
      </c>
      <c r="Y74" s="1252"/>
      <c r="Z74" s="1252"/>
      <c r="AA74" s="917"/>
      <c r="AB74" s="917"/>
      <c r="AC74" s="917"/>
      <c r="AD74" s="917"/>
      <c r="AE74" s="917"/>
      <c r="AF74" s="917"/>
      <c r="AG74" s="917"/>
      <c r="AH74" s="917"/>
      <c r="AI74" s="917"/>
      <c r="AJ74" s="917"/>
      <c r="AK74" s="917"/>
      <c r="AL74" s="917"/>
      <c r="AM74" s="917"/>
      <c r="AN74" s="917"/>
      <c r="AO74" s="917"/>
    </row>
    <row r="75" spans="1:41" s="913" customFormat="1" ht="15.95" customHeight="1">
      <c r="A75" s="1248" t="str">
        <f t="shared" si="18"/>
        <v>M1-102</v>
      </c>
      <c r="B75" s="915" t="str">
        <f t="shared" si="17"/>
        <v>보도</v>
      </c>
      <c r="C75" s="1251">
        <f t="shared" si="10"/>
        <v>0</v>
      </c>
      <c r="D75" s="1251"/>
      <c r="E75" s="1251">
        <f t="shared" si="11"/>
        <v>1</v>
      </c>
      <c r="F75" s="1251">
        <v>1</v>
      </c>
      <c r="G75" s="1251">
        <f t="shared" si="12"/>
        <v>0</v>
      </c>
      <c r="H75" s="1251"/>
      <c r="I75" s="1251">
        <f t="shared" si="13"/>
        <v>0</v>
      </c>
      <c r="J75" s="915"/>
      <c r="K75" s="1251">
        <f t="shared" si="14"/>
        <v>0</v>
      </c>
      <c r="L75" s="915"/>
      <c r="M75" s="915"/>
      <c r="N75" s="916">
        <f t="shared" si="19"/>
        <v>2</v>
      </c>
      <c r="O75" s="916">
        <f t="shared" si="20"/>
        <v>0</v>
      </c>
      <c r="P75" s="916" t="str">
        <f>VLOOKUP($A75,'맨홀 평균 높이'!$J$4:$M$572,4,0)</f>
        <v>보  도</v>
      </c>
      <c r="Q75" s="1264" t="s">
        <v>1290</v>
      </c>
      <c r="R75" s="1264" t="s">
        <v>536</v>
      </c>
      <c r="S75" s="1252">
        <f>VLOOKUP($R75,Sheet1!$A$3:$C$241,2,FALSE)</f>
        <v>2</v>
      </c>
      <c r="T75" s="1252">
        <f>VLOOKUP($R75,Sheet1!$A$3:$C$241,3,FALSE)</f>
        <v>0</v>
      </c>
      <c r="U75" s="1252"/>
      <c r="V75" s="1252">
        <f>VLOOKUP($R75,Sheet1!$A$3:$F$214,4,FALSE)</f>
        <v>0</v>
      </c>
      <c r="W75" s="1252">
        <f>VLOOKUP($R75,Sheet1!$A$3:$F$214,5,FALSE)</f>
        <v>2</v>
      </c>
      <c r="X75" s="1252">
        <f>VLOOKUP($R75,Sheet1!$A$3:$F$214,6,FALSE)</f>
        <v>0</v>
      </c>
      <c r="Y75" s="1252"/>
      <c r="Z75" s="1252"/>
      <c r="AA75" s="917"/>
      <c r="AB75" s="917"/>
      <c r="AC75" s="917"/>
      <c r="AD75" s="917"/>
      <c r="AE75" s="917"/>
      <c r="AF75" s="917"/>
      <c r="AG75" s="917"/>
      <c r="AH75" s="917"/>
      <c r="AI75" s="917"/>
      <c r="AJ75" s="917"/>
      <c r="AK75" s="917"/>
      <c r="AL75" s="917"/>
      <c r="AM75" s="917"/>
      <c r="AN75" s="917"/>
      <c r="AO75" s="917"/>
    </row>
    <row r="76" spans="1:41" s="913" customFormat="1" ht="15.95" customHeight="1">
      <c r="A76" s="1248" t="str">
        <f t="shared" si="18"/>
        <v>M1-103</v>
      </c>
      <c r="B76" s="915" t="str">
        <f t="shared" si="17"/>
        <v>보도</v>
      </c>
      <c r="C76" s="1251">
        <f t="shared" si="10"/>
        <v>0</v>
      </c>
      <c r="D76" s="1251"/>
      <c r="E76" s="1251">
        <f t="shared" si="11"/>
        <v>1</v>
      </c>
      <c r="F76" s="1251">
        <v>1</v>
      </c>
      <c r="G76" s="1251">
        <f t="shared" si="12"/>
        <v>0</v>
      </c>
      <c r="H76" s="1251"/>
      <c r="I76" s="1251">
        <f t="shared" si="13"/>
        <v>0</v>
      </c>
      <c r="J76" s="915"/>
      <c r="K76" s="1251">
        <f t="shared" si="14"/>
        <v>0</v>
      </c>
      <c r="L76" s="915"/>
      <c r="M76" s="915"/>
      <c r="N76" s="916">
        <f t="shared" si="19"/>
        <v>2</v>
      </c>
      <c r="O76" s="916">
        <f t="shared" si="20"/>
        <v>0</v>
      </c>
      <c r="P76" s="916" t="str">
        <f>VLOOKUP($A76,'맨홀 평균 높이'!$J$4:$M$572,4,0)</f>
        <v>보  도</v>
      </c>
      <c r="Q76" s="1264" t="s">
        <v>1290</v>
      </c>
      <c r="R76" s="1264" t="s">
        <v>426</v>
      </c>
      <c r="S76" s="1252">
        <f>VLOOKUP($R76,Sheet1!$A$3:$C$241,2,FALSE)</f>
        <v>2</v>
      </c>
      <c r="T76" s="1252">
        <f>VLOOKUP($R76,Sheet1!$A$3:$C$241,3,FALSE)</f>
        <v>0</v>
      </c>
      <c r="U76" s="1252"/>
      <c r="V76" s="1252">
        <f>VLOOKUP($R76,Sheet1!$A$3:$F$214,4,FALSE)</f>
        <v>0</v>
      </c>
      <c r="W76" s="1252">
        <f>VLOOKUP($R76,Sheet1!$A$3:$F$214,5,FALSE)</f>
        <v>2</v>
      </c>
      <c r="X76" s="1252">
        <f>VLOOKUP($R76,Sheet1!$A$3:$F$214,6,FALSE)</f>
        <v>0</v>
      </c>
      <c r="Y76" s="1252"/>
      <c r="Z76" s="1252"/>
      <c r="AA76" s="917"/>
      <c r="AB76" s="917"/>
      <c r="AC76" s="917"/>
      <c r="AD76" s="917"/>
      <c r="AE76" s="917"/>
      <c r="AF76" s="917"/>
      <c r="AG76" s="917"/>
      <c r="AH76" s="917"/>
      <c r="AI76" s="917"/>
      <c r="AJ76" s="917"/>
      <c r="AK76" s="917"/>
      <c r="AL76" s="917"/>
      <c r="AM76" s="917"/>
      <c r="AN76" s="917"/>
      <c r="AO76" s="917"/>
    </row>
    <row r="77" spans="1:41" s="913" customFormat="1" ht="15.95" customHeight="1">
      <c r="A77" s="1248" t="str">
        <f t="shared" si="18"/>
        <v>M1-108(1)</v>
      </c>
      <c r="B77" s="915" t="str">
        <f t="shared" si="17"/>
        <v>차도</v>
      </c>
      <c r="C77" s="1251">
        <f t="shared" si="10"/>
        <v>0</v>
      </c>
      <c r="D77" s="1251">
        <v>1</v>
      </c>
      <c r="E77" s="1251">
        <f t="shared" si="11"/>
        <v>0</v>
      </c>
      <c r="F77" s="1251"/>
      <c r="G77" s="1251">
        <f t="shared" si="12"/>
        <v>0</v>
      </c>
      <c r="H77" s="1251"/>
      <c r="I77" s="1251">
        <f t="shared" si="13"/>
        <v>0</v>
      </c>
      <c r="J77" s="915"/>
      <c r="K77" s="1251">
        <f t="shared" si="14"/>
        <v>0</v>
      </c>
      <c r="L77" s="915"/>
      <c r="M77" s="915"/>
      <c r="N77" s="916">
        <f t="shared" si="19"/>
        <v>1</v>
      </c>
      <c r="O77" s="916">
        <f t="shared" si="20"/>
        <v>0</v>
      </c>
      <c r="P77" s="916" t="str">
        <f>VLOOKUP($A77,'맨홀 평균 높이'!$J$4:$M$572,4,0)</f>
        <v>차  도</v>
      </c>
      <c r="Q77" s="1264" t="s">
        <v>1291</v>
      </c>
      <c r="R77" s="1264" t="s">
        <v>1430</v>
      </c>
      <c r="S77" s="1252">
        <f>VLOOKUP($R77,Sheet1!$A$3:$C$241,2,FALSE)</f>
        <v>1</v>
      </c>
      <c r="T77" s="1252">
        <f>VLOOKUP($R77,Sheet1!$A$3:$C$241,3,FALSE)</f>
        <v>0</v>
      </c>
      <c r="U77" s="1252"/>
      <c r="V77" s="1252">
        <f>VLOOKUP($R77,Sheet1!$A$3:$F$214,4,FALSE)</f>
        <v>1</v>
      </c>
      <c r="W77" s="1252">
        <f>VLOOKUP($R77,Sheet1!$A$3:$F$214,5,FALSE)</f>
        <v>0</v>
      </c>
      <c r="X77" s="1252">
        <f>VLOOKUP($R77,Sheet1!$A$3:$F$214,6,FALSE)</f>
        <v>0</v>
      </c>
      <c r="Y77" s="1252"/>
      <c r="Z77" s="1252"/>
      <c r="AA77" s="917"/>
      <c r="AB77" s="917"/>
      <c r="AC77" s="917"/>
      <c r="AD77" s="917"/>
      <c r="AE77" s="917"/>
      <c r="AF77" s="917"/>
      <c r="AG77" s="917"/>
      <c r="AH77" s="917"/>
      <c r="AI77" s="917"/>
      <c r="AJ77" s="917"/>
      <c r="AK77" s="917"/>
      <c r="AL77" s="917"/>
      <c r="AM77" s="917"/>
      <c r="AN77" s="917"/>
      <c r="AO77" s="917"/>
    </row>
    <row r="78" spans="1:41" s="913" customFormat="1" ht="15.95" customHeight="1">
      <c r="A78" s="1248" t="str">
        <f t="shared" si="18"/>
        <v>M1-109</v>
      </c>
      <c r="B78" s="915" t="str">
        <f t="shared" si="17"/>
        <v>차도</v>
      </c>
      <c r="C78" s="1251">
        <f t="shared" si="10"/>
        <v>0</v>
      </c>
      <c r="D78" s="1251">
        <v>1</v>
      </c>
      <c r="E78" s="1251">
        <f t="shared" si="11"/>
        <v>0</v>
      </c>
      <c r="F78" s="1251"/>
      <c r="G78" s="1251">
        <f t="shared" si="12"/>
        <v>0</v>
      </c>
      <c r="H78" s="1251"/>
      <c r="I78" s="1251">
        <f t="shared" si="13"/>
        <v>0</v>
      </c>
      <c r="J78" s="915"/>
      <c r="K78" s="1251">
        <f t="shared" si="14"/>
        <v>0</v>
      </c>
      <c r="L78" s="915"/>
      <c r="M78" s="915"/>
      <c r="N78" s="916">
        <f t="shared" si="19"/>
        <v>1</v>
      </c>
      <c r="O78" s="916">
        <f t="shared" si="20"/>
        <v>0</v>
      </c>
      <c r="P78" s="916" t="str">
        <f>VLOOKUP($A78,'맨홀 평균 높이'!$J$4:$M$572,4,0)</f>
        <v>차  도</v>
      </c>
      <c r="Q78" s="1264" t="s">
        <v>1292</v>
      </c>
      <c r="R78" s="1264" t="s">
        <v>423</v>
      </c>
      <c r="S78" s="1252">
        <f>VLOOKUP($R78,Sheet1!$A$3:$C$241,2,FALSE)</f>
        <v>1</v>
      </c>
      <c r="T78" s="1252">
        <f>VLOOKUP($R78,Sheet1!$A$3:$C$241,3,FALSE)</f>
        <v>0</v>
      </c>
      <c r="U78" s="1252"/>
      <c r="V78" s="1252">
        <f>VLOOKUP($R78,Sheet1!$A$3:$F$214,4,FALSE)</f>
        <v>1</v>
      </c>
      <c r="W78" s="1252">
        <f>VLOOKUP($R78,Sheet1!$A$3:$F$214,5,FALSE)</f>
        <v>0</v>
      </c>
      <c r="X78" s="1252">
        <f>VLOOKUP($R78,Sheet1!$A$3:$F$214,6,FALSE)</f>
        <v>0</v>
      </c>
      <c r="Y78" s="1252"/>
      <c r="Z78" s="1252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</row>
    <row r="79" spans="1:41" s="913" customFormat="1" ht="15.95" customHeight="1">
      <c r="A79" s="1248" t="str">
        <f t="shared" si="18"/>
        <v>M1-110(1)</v>
      </c>
      <c r="B79" s="915" t="str">
        <f t="shared" si="17"/>
        <v>보도</v>
      </c>
      <c r="C79" s="1251">
        <f t="shared" si="10"/>
        <v>0</v>
      </c>
      <c r="D79" s="1251">
        <v>1</v>
      </c>
      <c r="E79" s="1251">
        <f t="shared" si="11"/>
        <v>0</v>
      </c>
      <c r="F79" s="1251"/>
      <c r="G79" s="1251">
        <f t="shared" si="12"/>
        <v>0</v>
      </c>
      <c r="H79" s="1251"/>
      <c r="I79" s="1251">
        <f t="shared" si="13"/>
        <v>0</v>
      </c>
      <c r="J79" s="915"/>
      <c r="K79" s="1251">
        <f t="shared" si="14"/>
        <v>0</v>
      </c>
      <c r="L79" s="915"/>
      <c r="M79" s="915"/>
      <c r="N79" s="916">
        <f t="shared" si="19"/>
        <v>1</v>
      </c>
      <c r="O79" s="916">
        <f t="shared" si="20"/>
        <v>0</v>
      </c>
      <c r="P79" s="916" t="str">
        <f>VLOOKUP($A79,'맨홀 평균 높이'!$J$4:$M$572,4,0)</f>
        <v>보  도</v>
      </c>
      <c r="Q79" s="1264" t="s">
        <v>1293</v>
      </c>
      <c r="R79" s="1264" t="s">
        <v>1431</v>
      </c>
      <c r="S79" s="1252">
        <f>VLOOKUP($R79,Sheet1!$A$3:$C$241,2,FALSE)</f>
        <v>1</v>
      </c>
      <c r="T79" s="1252">
        <f>VLOOKUP($R79,Sheet1!$A$3:$C$241,3,FALSE)</f>
        <v>0</v>
      </c>
      <c r="U79" s="1252"/>
      <c r="V79" s="1252">
        <f>VLOOKUP($R79,Sheet1!$A$3:$F$214,4,FALSE)</f>
        <v>1</v>
      </c>
      <c r="W79" s="1252">
        <f>VLOOKUP($R79,Sheet1!$A$3:$F$214,5,FALSE)</f>
        <v>0</v>
      </c>
      <c r="X79" s="1252">
        <f>VLOOKUP($R79,Sheet1!$A$3:$F$214,6,FALSE)</f>
        <v>0</v>
      </c>
      <c r="Y79" s="1252"/>
      <c r="Z79" s="1252"/>
      <c r="AA79" s="917"/>
      <c r="AB79" s="917"/>
      <c r="AC79" s="917"/>
      <c r="AD79" s="917"/>
      <c r="AE79" s="917"/>
      <c r="AF79" s="917"/>
      <c r="AG79" s="917"/>
      <c r="AH79" s="917"/>
      <c r="AI79" s="917"/>
      <c r="AJ79" s="917"/>
      <c r="AK79" s="917"/>
      <c r="AL79" s="917"/>
      <c r="AM79" s="917"/>
      <c r="AN79" s="917"/>
      <c r="AO79" s="917"/>
    </row>
    <row r="80" spans="1:41" s="913" customFormat="1" ht="15.95" customHeight="1">
      <c r="A80" s="1248" t="str">
        <f t="shared" si="18"/>
        <v>M1-111(2)</v>
      </c>
      <c r="B80" s="915" t="str">
        <f t="shared" si="17"/>
        <v>차도</v>
      </c>
      <c r="C80" s="1251">
        <f t="shared" si="10"/>
        <v>0</v>
      </c>
      <c r="D80" s="1251"/>
      <c r="E80" s="1251">
        <f t="shared" si="11"/>
        <v>0</v>
      </c>
      <c r="F80" s="1251">
        <v>1</v>
      </c>
      <c r="G80" s="1251">
        <f t="shared" si="12"/>
        <v>0</v>
      </c>
      <c r="H80" s="1251"/>
      <c r="I80" s="1251">
        <f t="shared" si="13"/>
        <v>0</v>
      </c>
      <c r="J80" s="915"/>
      <c r="K80" s="1251">
        <f t="shared" si="14"/>
        <v>0</v>
      </c>
      <c r="L80" s="915"/>
      <c r="M80" s="915"/>
      <c r="N80" s="916">
        <f t="shared" si="19"/>
        <v>1</v>
      </c>
      <c r="O80" s="916">
        <f t="shared" si="20"/>
        <v>0</v>
      </c>
      <c r="P80" s="916" t="str">
        <f>VLOOKUP($A80,'맨홀 평균 높이'!$J$4:$M$572,4,0)</f>
        <v>차  도</v>
      </c>
      <c r="Q80" s="1264" t="s">
        <v>1337</v>
      </c>
      <c r="R80" s="1264" t="s">
        <v>1341</v>
      </c>
      <c r="S80" s="1252">
        <f>VLOOKUP($R80,Sheet1!$A$3:$C$241,2,FALSE)</f>
        <v>1</v>
      </c>
      <c r="T80" s="1252">
        <f>VLOOKUP($R80,Sheet1!$A$3:$C$241,3,FALSE)</f>
        <v>0</v>
      </c>
      <c r="U80" s="1252"/>
      <c r="V80" s="1252">
        <f>VLOOKUP($R80,Sheet1!$A$3:$F$214,4,FALSE)</f>
        <v>0</v>
      </c>
      <c r="W80" s="1252">
        <f>VLOOKUP($R80,Sheet1!$A$3:$F$214,5,FALSE)</f>
        <v>1</v>
      </c>
      <c r="X80" s="1252">
        <f>VLOOKUP($R80,Sheet1!$A$3:$F$214,6,FALSE)</f>
        <v>0</v>
      </c>
      <c r="Y80" s="1252"/>
      <c r="Z80" s="1252"/>
      <c r="AA80" s="917"/>
      <c r="AB80" s="917"/>
      <c r="AC80" s="917"/>
      <c r="AD80" s="917"/>
      <c r="AE80" s="917"/>
      <c r="AF80" s="917"/>
      <c r="AG80" s="917"/>
      <c r="AH80" s="917"/>
      <c r="AI80" s="917"/>
      <c r="AJ80" s="917"/>
      <c r="AK80" s="917"/>
      <c r="AL80" s="917"/>
      <c r="AM80" s="917"/>
      <c r="AN80" s="917"/>
      <c r="AO80" s="917"/>
    </row>
    <row r="81" spans="1:41" s="913" customFormat="1" ht="15.95" customHeight="1">
      <c r="A81" s="1248" t="str">
        <f t="shared" si="18"/>
        <v>M1-111(3)</v>
      </c>
      <c r="B81" s="915" t="str">
        <f t="shared" si="17"/>
        <v>차도</v>
      </c>
      <c r="C81" s="1251">
        <f t="shared" si="10"/>
        <v>0</v>
      </c>
      <c r="D81" s="1251"/>
      <c r="E81" s="1251">
        <f t="shared" si="11"/>
        <v>0</v>
      </c>
      <c r="F81" s="1251">
        <v>1</v>
      </c>
      <c r="G81" s="1251">
        <f t="shared" si="12"/>
        <v>0</v>
      </c>
      <c r="H81" s="1251"/>
      <c r="I81" s="1251">
        <f t="shared" si="13"/>
        <v>0</v>
      </c>
      <c r="J81" s="915"/>
      <c r="K81" s="1251">
        <f t="shared" si="14"/>
        <v>0</v>
      </c>
      <c r="L81" s="915"/>
      <c r="M81" s="915"/>
      <c r="N81" s="916">
        <f t="shared" si="19"/>
        <v>1</v>
      </c>
      <c r="O81" s="916">
        <f t="shared" si="20"/>
        <v>0</v>
      </c>
      <c r="P81" s="916" t="str">
        <f>VLOOKUP($A81,'맨홀 평균 높이'!$J$4:$M$572,4,0)</f>
        <v>차  도</v>
      </c>
      <c r="Q81" s="1264" t="s">
        <v>1337</v>
      </c>
      <c r="R81" s="1264" t="s">
        <v>1342</v>
      </c>
      <c r="S81" s="1252">
        <f>VLOOKUP($R81,Sheet1!$A$3:$C$241,2,FALSE)</f>
        <v>1</v>
      </c>
      <c r="T81" s="1252">
        <f>VLOOKUP($R81,Sheet1!$A$3:$C$241,3,FALSE)</f>
        <v>0</v>
      </c>
      <c r="U81" s="1252"/>
      <c r="V81" s="1252">
        <f>VLOOKUP($R81,Sheet1!$A$3:$F$214,4,FALSE)</f>
        <v>0</v>
      </c>
      <c r="W81" s="1252">
        <f>VLOOKUP($R81,Sheet1!$A$3:$F$214,5,FALSE)</f>
        <v>1</v>
      </c>
      <c r="X81" s="1252">
        <f>VLOOKUP($R81,Sheet1!$A$3:$F$214,6,FALSE)</f>
        <v>0</v>
      </c>
      <c r="Y81" s="1252"/>
      <c r="Z81" s="1252"/>
      <c r="AA81" s="917"/>
      <c r="AB81" s="917"/>
      <c r="AC81" s="917"/>
      <c r="AD81" s="917"/>
      <c r="AE81" s="917"/>
      <c r="AF81" s="917"/>
      <c r="AG81" s="917"/>
      <c r="AH81" s="917"/>
      <c r="AI81" s="917"/>
      <c r="AJ81" s="917"/>
      <c r="AK81" s="917"/>
      <c r="AL81" s="917"/>
      <c r="AM81" s="917"/>
      <c r="AN81" s="917"/>
      <c r="AO81" s="917"/>
    </row>
    <row r="82" spans="1:41" s="913" customFormat="1" ht="15.95" customHeight="1">
      <c r="A82" s="1248" t="str">
        <f t="shared" si="18"/>
        <v>M1-112</v>
      </c>
      <c r="B82" s="915" t="str">
        <f t="shared" si="17"/>
        <v>보도</v>
      </c>
      <c r="C82" s="1251">
        <f t="shared" si="10"/>
        <v>0</v>
      </c>
      <c r="D82" s="1251"/>
      <c r="E82" s="1251">
        <f t="shared" si="11"/>
        <v>0</v>
      </c>
      <c r="F82" s="1251">
        <v>1</v>
      </c>
      <c r="G82" s="1251">
        <f t="shared" si="12"/>
        <v>0</v>
      </c>
      <c r="H82" s="1251"/>
      <c r="I82" s="1251">
        <f t="shared" si="13"/>
        <v>0</v>
      </c>
      <c r="J82" s="915"/>
      <c r="K82" s="1251">
        <f t="shared" si="14"/>
        <v>0</v>
      </c>
      <c r="L82" s="915"/>
      <c r="M82" s="915"/>
      <c r="N82" s="916">
        <f t="shared" si="19"/>
        <v>1</v>
      </c>
      <c r="O82" s="916">
        <f t="shared" si="20"/>
        <v>0</v>
      </c>
      <c r="P82" s="916" t="str">
        <f>VLOOKUP($A82,'맨홀 평균 높이'!$J$4:$M$572,4,0)</f>
        <v>보  도</v>
      </c>
      <c r="Q82" s="1264" t="s">
        <v>1294</v>
      </c>
      <c r="R82" s="1264" t="s">
        <v>424</v>
      </c>
      <c r="S82" s="1252">
        <f>VLOOKUP($R82,Sheet1!$A$3:$C$241,2,FALSE)</f>
        <v>1</v>
      </c>
      <c r="T82" s="1252">
        <f>VLOOKUP($R82,Sheet1!$A$3:$C$241,3,FALSE)</f>
        <v>0</v>
      </c>
      <c r="U82" s="1252"/>
      <c r="V82" s="1252">
        <f>VLOOKUP($R82,Sheet1!$A$3:$F$214,4,FALSE)</f>
        <v>0</v>
      </c>
      <c r="W82" s="1252">
        <f>VLOOKUP($R82,Sheet1!$A$3:$F$214,5,FALSE)</f>
        <v>1</v>
      </c>
      <c r="X82" s="1252">
        <f>VLOOKUP($R82,Sheet1!$A$3:$F$214,6,FALSE)</f>
        <v>0</v>
      </c>
      <c r="Y82" s="1252"/>
      <c r="Z82" s="1252"/>
      <c r="AA82" s="917"/>
      <c r="AB82" s="917"/>
      <c r="AC82" s="917"/>
      <c r="AD82" s="917"/>
      <c r="AE82" s="917"/>
      <c r="AF82" s="917"/>
      <c r="AG82" s="917"/>
      <c r="AH82" s="917"/>
      <c r="AI82" s="917"/>
      <c r="AJ82" s="917"/>
      <c r="AK82" s="917"/>
      <c r="AL82" s="917"/>
      <c r="AM82" s="917"/>
      <c r="AN82" s="917"/>
      <c r="AO82" s="917"/>
    </row>
    <row r="84" spans="1:41" s="913" customFormat="1" ht="15.95" customHeight="1">
      <c r="A84" s="1248" t="str">
        <f t="shared" si="18"/>
        <v>M1-114</v>
      </c>
      <c r="B84" s="915" t="str">
        <f t="shared" si="17"/>
        <v>보도</v>
      </c>
      <c r="C84" s="1251">
        <f t="shared" si="10"/>
        <v>0</v>
      </c>
      <c r="D84" s="1251"/>
      <c r="E84" s="1251">
        <f t="shared" si="11"/>
        <v>1</v>
      </c>
      <c r="F84" s="1251">
        <v>1</v>
      </c>
      <c r="G84" s="1251">
        <f t="shared" si="12"/>
        <v>0</v>
      </c>
      <c r="H84" s="1251"/>
      <c r="I84" s="1251">
        <f t="shared" si="13"/>
        <v>0</v>
      </c>
      <c r="J84" s="915"/>
      <c r="K84" s="1251">
        <f t="shared" si="14"/>
        <v>0</v>
      </c>
      <c r="L84" s="915"/>
      <c r="M84" s="915"/>
      <c r="N84" s="916">
        <f t="shared" si="19"/>
        <v>2</v>
      </c>
      <c r="O84" s="916">
        <f t="shared" si="20"/>
        <v>0</v>
      </c>
      <c r="P84" s="916" t="str">
        <f>VLOOKUP($A84,'맨홀 평균 높이'!$J$4:$M$572,4,0)</f>
        <v>보  도</v>
      </c>
      <c r="Q84" s="1264" t="s">
        <v>1294</v>
      </c>
      <c r="R84" s="1264" t="s">
        <v>425</v>
      </c>
      <c r="S84" s="1252">
        <f>VLOOKUP($R84,Sheet1!$A$3:$C$241,2,FALSE)</f>
        <v>2</v>
      </c>
      <c r="T84" s="1252">
        <f>VLOOKUP($R84,Sheet1!$A$3:$C$241,3,FALSE)</f>
        <v>0</v>
      </c>
      <c r="U84" s="1252"/>
      <c r="V84" s="1252">
        <f>VLOOKUP($R84,Sheet1!$A$3:$F$214,4,FALSE)</f>
        <v>0</v>
      </c>
      <c r="W84" s="1252">
        <f>VLOOKUP($R84,Sheet1!$A$3:$F$214,5,FALSE)</f>
        <v>2</v>
      </c>
      <c r="X84" s="1252">
        <f>VLOOKUP($R84,Sheet1!$A$3:$F$214,6,FALSE)</f>
        <v>0</v>
      </c>
      <c r="Y84" s="1252"/>
      <c r="Z84" s="1252"/>
      <c r="AA84" s="917"/>
      <c r="AB84" s="917"/>
      <c r="AC84" s="917"/>
      <c r="AD84" s="917"/>
      <c r="AE84" s="917"/>
      <c r="AF84" s="917"/>
      <c r="AG84" s="917"/>
      <c r="AH84" s="917"/>
      <c r="AI84" s="917"/>
      <c r="AJ84" s="917"/>
      <c r="AK84" s="917"/>
      <c r="AL84" s="917"/>
      <c r="AM84" s="917"/>
      <c r="AN84" s="917"/>
      <c r="AO84" s="917"/>
    </row>
    <row r="85" spans="1:41" s="913" customFormat="1" ht="15.95" customHeight="1">
      <c r="A85" s="1248" t="str">
        <f t="shared" si="18"/>
        <v>M1-115</v>
      </c>
      <c r="B85" s="915" t="str">
        <f t="shared" si="17"/>
        <v>보도</v>
      </c>
      <c r="C85" s="1251">
        <f t="shared" si="10"/>
        <v>0</v>
      </c>
      <c r="D85" s="1251"/>
      <c r="E85" s="1251">
        <f t="shared" si="11"/>
        <v>1</v>
      </c>
      <c r="F85" s="1251">
        <v>1</v>
      </c>
      <c r="G85" s="1251">
        <f t="shared" si="12"/>
        <v>0</v>
      </c>
      <c r="H85" s="1251"/>
      <c r="I85" s="1251">
        <f t="shared" si="13"/>
        <v>0</v>
      </c>
      <c r="J85" s="915"/>
      <c r="K85" s="1251">
        <f t="shared" si="14"/>
        <v>0</v>
      </c>
      <c r="L85" s="915"/>
      <c r="M85" s="915"/>
      <c r="N85" s="916">
        <f t="shared" si="19"/>
        <v>2</v>
      </c>
      <c r="O85" s="916">
        <f t="shared" si="20"/>
        <v>0</v>
      </c>
      <c r="P85" s="916" t="str">
        <f>VLOOKUP($A85,'맨홀 평균 높이'!$J$4:$M$572,4,0)</f>
        <v>보  도</v>
      </c>
      <c r="Q85" s="1264" t="s">
        <v>1294</v>
      </c>
      <c r="R85" s="1264" t="s">
        <v>943</v>
      </c>
      <c r="S85" s="1252">
        <f>VLOOKUP($R85,Sheet1!$A$3:$C$241,2,FALSE)</f>
        <v>2</v>
      </c>
      <c r="T85" s="1252">
        <f>VLOOKUP($R85,Sheet1!$A$3:$C$241,3,FALSE)</f>
        <v>0</v>
      </c>
      <c r="U85" s="1252"/>
      <c r="V85" s="1252">
        <f>VLOOKUP($R85,Sheet1!$A$3:$F$214,4,FALSE)</f>
        <v>0</v>
      </c>
      <c r="W85" s="1252">
        <f>VLOOKUP($R85,Sheet1!$A$3:$F$214,5,FALSE)</f>
        <v>2</v>
      </c>
      <c r="X85" s="1252">
        <f>VLOOKUP($R85,Sheet1!$A$3:$F$214,6,FALSE)</f>
        <v>0</v>
      </c>
      <c r="Y85" s="1252"/>
      <c r="Z85" s="1252"/>
      <c r="AA85" s="917"/>
      <c r="AB85" s="917"/>
      <c r="AC85" s="917"/>
      <c r="AD85" s="917"/>
      <c r="AE85" s="917"/>
      <c r="AF85" s="917"/>
      <c r="AG85" s="917"/>
      <c r="AH85" s="917"/>
      <c r="AI85" s="917"/>
      <c r="AJ85" s="917"/>
      <c r="AK85" s="917"/>
      <c r="AL85" s="917"/>
      <c r="AM85" s="917"/>
      <c r="AN85" s="917"/>
      <c r="AO85" s="917"/>
    </row>
    <row r="86" spans="1:41" s="913" customFormat="1" ht="15.95" customHeight="1">
      <c r="A86" s="1248" t="str">
        <f t="shared" si="18"/>
        <v>M1-116</v>
      </c>
      <c r="B86" s="915" t="str">
        <f t="shared" si="17"/>
        <v>보도</v>
      </c>
      <c r="C86" s="1251">
        <f t="shared" si="10"/>
        <v>0</v>
      </c>
      <c r="D86" s="1251"/>
      <c r="E86" s="1251">
        <f t="shared" si="11"/>
        <v>1</v>
      </c>
      <c r="F86" s="1251">
        <v>1</v>
      </c>
      <c r="G86" s="1251">
        <f t="shared" si="12"/>
        <v>0</v>
      </c>
      <c r="H86" s="1251"/>
      <c r="I86" s="1251">
        <f t="shared" si="13"/>
        <v>0</v>
      </c>
      <c r="J86" s="915"/>
      <c r="K86" s="1251">
        <f t="shared" si="14"/>
        <v>0</v>
      </c>
      <c r="L86" s="915"/>
      <c r="M86" s="915"/>
      <c r="N86" s="916">
        <f t="shared" si="19"/>
        <v>2</v>
      </c>
      <c r="O86" s="916">
        <f t="shared" si="20"/>
        <v>0</v>
      </c>
      <c r="P86" s="916" t="str">
        <f>VLOOKUP($A86,'맨홀 평균 높이'!$J$4:$M$572,4,0)</f>
        <v>보  도</v>
      </c>
      <c r="Q86" s="1264" t="s">
        <v>1294</v>
      </c>
      <c r="R86" s="1264" t="s">
        <v>537</v>
      </c>
      <c r="S86" s="1252">
        <f>VLOOKUP($R86,Sheet1!$A$3:$C$241,2,FALSE)</f>
        <v>2</v>
      </c>
      <c r="T86" s="1252">
        <f>VLOOKUP($R86,Sheet1!$A$3:$C$241,3,FALSE)</f>
        <v>0</v>
      </c>
      <c r="U86" s="1252"/>
      <c r="V86" s="1252">
        <f>VLOOKUP($R86,Sheet1!$A$3:$F$214,4,FALSE)</f>
        <v>0</v>
      </c>
      <c r="W86" s="1252">
        <f>VLOOKUP($R86,Sheet1!$A$3:$F$214,5,FALSE)</f>
        <v>2</v>
      </c>
      <c r="X86" s="1252">
        <f>VLOOKUP($R86,Sheet1!$A$3:$F$214,6,FALSE)</f>
        <v>0</v>
      </c>
      <c r="Y86" s="1252"/>
      <c r="Z86" s="1252"/>
      <c r="AA86" s="917"/>
      <c r="AB86" s="917"/>
      <c r="AC86" s="917"/>
      <c r="AD86" s="917"/>
      <c r="AE86" s="917"/>
      <c r="AF86" s="917"/>
      <c r="AG86" s="917"/>
      <c r="AH86" s="917"/>
      <c r="AI86" s="917"/>
      <c r="AJ86" s="917"/>
      <c r="AK86" s="917"/>
      <c r="AL86" s="917"/>
      <c r="AM86" s="917"/>
      <c r="AN86" s="917"/>
      <c r="AO86" s="917"/>
    </row>
    <row r="88" spans="1:41" s="913" customFormat="1" ht="15.95" customHeight="1">
      <c r="A88" s="1248" t="str">
        <f t="shared" si="18"/>
        <v>M1-118</v>
      </c>
      <c r="B88" s="915" t="str">
        <f t="shared" ref="B88:B125" si="21">IF($P88="보  도","보도","차도")</f>
        <v>차도</v>
      </c>
      <c r="C88" s="1251">
        <f t="shared" ref="C88:C97" si="22">V88-D88</f>
        <v>0</v>
      </c>
      <c r="D88" s="1251"/>
      <c r="E88" s="1251">
        <f t="shared" ref="E88:E97" si="23">W88-F88</f>
        <v>0</v>
      </c>
      <c r="F88" s="1251">
        <v>1</v>
      </c>
      <c r="G88" s="1251">
        <f t="shared" ref="G88:G97" si="24">X88-H88</f>
        <v>0</v>
      </c>
      <c r="H88" s="1251"/>
      <c r="I88" s="1251">
        <f t="shared" ref="I88:I97" si="25">Y88-J88</f>
        <v>0</v>
      </c>
      <c r="J88" s="915"/>
      <c r="K88" s="1251">
        <f t="shared" ref="K88:K97" si="26">Z88-L88</f>
        <v>0</v>
      </c>
      <c r="L88" s="915"/>
      <c r="M88" s="915"/>
      <c r="N88" s="916">
        <f t="shared" si="19"/>
        <v>1</v>
      </c>
      <c r="O88" s="916">
        <f t="shared" si="20"/>
        <v>0</v>
      </c>
      <c r="P88" s="916" t="str">
        <f>VLOOKUP($A88,'맨홀 평균 높이'!$J$4:$M$572,4,0)</f>
        <v>차  도</v>
      </c>
      <c r="Q88" s="1264" t="s">
        <v>1294</v>
      </c>
      <c r="R88" s="1264" t="s">
        <v>944</v>
      </c>
      <c r="S88" s="1252">
        <f>VLOOKUP($R88,Sheet1!$A$3:$C$241,2,FALSE)</f>
        <v>1</v>
      </c>
      <c r="T88" s="1252">
        <f>VLOOKUP($R88,Sheet1!$A$3:$C$241,3,FALSE)</f>
        <v>0</v>
      </c>
      <c r="U88" s="1252"/>
      <c r="V88" s="1252">
        <f>VLOOKUP($R88,Sheet1!$A$3:$F$214,4,FALSE)</f>
        <v>0</v>
      </c>
      <c r="W88" s="1252">
        <f>VLOOKUP($R88,Sheet1!$A$3:$F$214,5,FALSE)</f>
        <v>1</v>
      </c>
      <c r="X88" s="1252">
        <f>VLOOKUP($R88,Sheet1!$A$3:$F$214,6,FALSE)</f>
        <v>0</v>
      </c>
      <c r="Y88" s="1252"/>
      <c r="Z88" s="1252"/>
      <c r="AA88" s="917"/>
      <c r="AB88" s="917"/>
      <c r="AC88" s="917"/>
      <c r="AD88" s="917"/>
      <c r="AE88" s="917"/>
      <c r="AF88" s="917"/>
      <c r="AG88" s="917"/>
      <c r="AH88" s="917"/>
      <c r="AI88" s="917"/>
      <c r="AJ88" s="917"/>
      <c r="AK88" s="917"/>
      <c r="AL88" s="917"/>
      <c r="AM88" s="917"/>
      <c r="AN88" s="917"/>
      <c r="AO88" s="917"/>
    </row>
    <row r="89" spans="1:41" s="913" customFormat="1" ht="15.95" customHeight="1">
      <c r="A89" s="1248" t="str">
        <f t="shared" si="18"/>
        <v>M1-119</v>
      </c>
      <c r="B89" s="915" t="str">
        <f t="shared" si="21"/>
        <v>차도</v>
      </c>
      <c r="C89" s="1251">
        <f t="shared" si="22"/>
        <v>0</v>
      </c>
      <c r="D89" s="1251"/>
      <c r="E89" s="1251">
        <f t="shared" si="23"/>
        <v>1</v>
      </c>
      <c r="F89" s="1251">
        <v>1</v>
      </c>
      <c r="G89" s="1251">
        <f t="shared" si="24"/>
        <v>0</v>
      </c>
      <c r="H89" s="1251"/>
      <c r="I89" s="1251">
        <f t="shared" si="25"/>
        <v>0</v>
      </c>
      <c r="J89" s="915"/>
      <c r="K89" s="1251">
        <f t="shared" si="26"/>
        <v>0</v>
      </c>
      <c r="L89" s="915"/>
      <c r="M89" s="915"/>
      <c r="N89" s="916">
        <f t="shared" si="19"/>
        <v>2</v>
      </c>
      <c r="O89" s="916">
        <f t="shared" si="20"/>
        <v>0</v>
      </c>
      <c r="P89" s="916" t="str">
        <f>VLOOKUP($A89,'맨홀 평균 높이'!$J$4:$M$572,4,0)</f>
        <v>차  도</v>
      </c>
      <c r="Q89" s="1264" t="s">
        <v>1294</v>
      </c>
      <c r="R89" s="1264" t="s">
        <v>427</v>
      </c>
      <c r="S89" s="1252">
        <f>VLOOKUP($R89,Sheet1!$A$3:$C$241,2,FALSE)</f>
        <v>2</v>
      </c>
      <c r="T89" s="1252">
        <f>VLOOKUP($R89,Sheet1!$A$3:$C$241,3,FALSE)</f>
        <v>0</v>
      </c>
      <c r="U89" s="1252"/>
      <c r="V89" s="1252">
        <f>VLOOKUP($R89,Sheet1!$A$3:$F$214,4,FALSE)</f>
        <v>0</v>
      </c>
      <c r="W89" s="1252">
        <f>VLOOKUP($R89,Sheet1!$A$3:$F$214,5,FALSE)</f>
        <v>2</v>
      </c>
      <c r="X89" s="1252">
        <f>VLOOKUP($R89,Sheet1!$A$3:$F$214,6,FALSE)</f>
        <v>0</v>
      </c>
      <c r="Y89" s="1252"/>
      <c r="Z89" s="1252"/>
      <c r="AA89" s="917"/>
      <c r="AB89" s="91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</row>
    <row r="90" spans="1:41" s="913" customFormat="1" ht="15.95" customHeight="1">
      <c r="A90" s="1248" t="str">
        <f t="shared" si="18"/>
        <v>M1-120</v>
      </c>
      <c r="B90" s="915" t="str">
        <f t="shared" si="21"/>
        <v>차도</v>
      </c>
      <c r="C90" s="1251">
        <f t="shared" si="22"/>
        <v>0</v>
      </c>
      <c r="D90" s="1251"/>
      <c r="E90" s="1251">
        <f t="shared" si="23"/>
        <v>1</v>
      </c>
      <c r="F90" s="1251">
        <v>1</v>
      </c>
      <c r="G90" s="1251">
        <f t="shared" si="24"/>
        <v>0</v>
      </c>
      <c r="H90" s="1251"/>
      <c r="I90" s="1251">
        <f t="shared" si="25"/>
        <v>0</v>
      </c>
      <c r="J90" s="915"/>
      <c r="K90" s="1251">
        <f t="shared" si="26"/>
        <v>0</v>
      </c>
      <c r="L90" s="915"/>
      <c r="M90" s="915"/>
      <c r="N90" s="916">
        <f t="shared" si="19"/>
        <v>2</v>
      </c>
      <c r="O90" s="916">
        <f t="shared" si="20"/>
        <v>0</v>
      </c>
      <c r="P90" s="916" t="str">
        <f>VLOOKUP($A90,'맨홀 평균 높이'!$J$4:$M$572,4,0)</f>
        <v>차  도</v>
      </c>
      <c r="Q90" s="1264" t="s">
        <v>1294</v>
      </c>
      <c r="R90" s="1264" t="s">
        <v>428</v>
      </c>
      <c r="S90" s="1252">
        <f>VLOOKUP($R90,Sheet1!$A$3:$C$241,2,FALSE)</f>
        <v>2</v>
      </c>
      <c r="T90" s="1252">
        <f>VLOOKUP($R90,Sheet1!$A$3:$C$241,3,FALSE)</f>
        <v>0</v>
      </c>
      <c r="U90" s="1252"/>
      <c r="V90" s="1252">
        <f>VLOOKUP($R90,Sheet1!$A$3:$F$214,4,FALSE)</f>
        <v>0</v>
      </c>
      <c r="W90" s="1252">
        <f>VLOOKUP($R90,Sheet1!$A$3:$F$214,5,FALSE)</f>
        <v>2</v>
      </c>
      <c r="X90" s="1252">
        <f>VLOOKUP($R90,Sheet1!$A$3:$F$214,6,FALSE)</f>
        <v>0</v>
      </c>
      <c r="Y90" s="1252"/>
      <c r="Z90" s="1252"/>
      <c r="AA90" s="917"/>
      <c r="AB90" s="917"/>
      <c r="AC90" s="917"/>
      <c r="AD90" s="917"/>
      <c r="AE90" s="917"/>
      <c r="AF90" s="917"/>
      <c r="AG90" s="917"/>
      <c r="AH90" s="917"/>
      <c r="AI90" s="917"/>
      <c r="AJ90" s="917"/>
      <c r="AK90" s="917"/>
      <c r="AL90" s="917"/>
      <c r="AM90" s="917"/>
      <c r="AN90" s="917"/>
      <c r="AO90" s="917"/>
    </row>
    <row r="91" spans="1:41" s="913" customFormat="1" ht="15.95" customHeight="1">
      <c r="A91" s="1248" t="str">
        <f t="shared" si="18"/>
        <v>M1-121</v>
      </c>
      <c r="B91" s="915" t="str">
        <f t="shared" si="21"/>
        <v>차도</v>
      </c>
      <c r="C91" s="1251">
        <f t="shared" si="22"/>
        <v>0</v>
      </c>
      <c r="D91" s="1251"/>
      <c r="E91" s="1251">
        <f t="shared" si="23"/>
        <v>1</v>
      </c>
      <c r="F91" s="1251">
        <v>1</v>
      </c>
      <c r="G91" s="1251">
        <f t="shared" si="24"/>
        <v>0</v>
      </c>
      <c r="H91" s="1251"/>
      <c r="I91" s="1251">
        <f t="shared" si="25"/>
        <v>0</v>
      </c>
      <c r="J91" s="915"/>
      <c r="K91" s="1251">
        <f t="shared" si="26"/>
        <v>0</v>
      </c>
      <c r="L91" s="915"/>
      <c r="M91" s="915"/>
      <c r="N91" s="916">
        <f t="shared" si="19"/>
        <v>2</v>
      </c>
      <c r="O91" s="916">
        <f t="shared" si="20"/>
        <v>0</v>
      </c>
      <c r="P91" s="916" t="str">
        <f>VLOOKUP($A91,'맨홀 평균 높이'!$J$4:$M$572,4,0)</f>
        <v>차  도</v>
      </c>
      <c r="Q91" s="1264" t="s">
        <v>1295</v>
      </c>
      <c r="R91" s="1264" t="s">
        <v>945</v>
      </c>
      <c r="S91" s="1252">
        <f>VLOOKUP($R91,Sheet1!$A$3:$C$241,2,FALSE)</f>
        <v>2</v>
      </c>
      <c r="T91" s="1252">
        <f>VLOOKUP($R91,Sheet1!$A$3:$C$241,3,FALSE)</f>
        <v>0</v>
      </c>
      <c r="U91" s="1252"/>
      <c r="V91" s="1252">
        <f>VLOOKUP($R91,Sheet1!$A$3:$F$214,4,FALSE)</f>
        <v>0</v>
      </c>
      <c r="W91" s="1252">
        <f>VLOOKUP($R91,Sheet1!$A$3:$F$214,5,FALSE)</f>
        <v>2</v>
      </c>
      <c r="X91" s="1252">
        <f>VLOOKUP($R91,Sheet1!$A$3:$F$214,6,FALSE)</f>
        <v>0</v>
      </c>
      <c r="Y91" s="1252"/>
      <c r="Z91" s="1252"/>
      <c r="AA91" s="917"/>
      <c r="AB91" s="917"/>
      <c r="AC91" s="917"/>
      <c r="AD91" s="917"/>
      <c r="AE91" s="917"/>
      <c r="AF91" s="917"/>
      <c r="AG91" s="917"/>
      <c r="AH91" s="917"/>
      <c r="AI91" s="917"/>
      <c r="AJ91" s="917"/>
      <c r="AK91" s="917"/>
      <c r="AL91" s="917"/>
      <c r="AM91" s="917"/>
      <c r="AN91" s="917"/>
      <c r="AO91" s="917"/>
    </row>
    <row r="92" spans="1:41" s="913" customFormat="1" ht="15.95" customHeight="1">
      <c r="A92" s="1248" t="str">
        <f t="shared" si="18"/>
        <v>M1-122</v>
      </c>
      <c r="B92" s="915" t="str">
        <f t="shared" si="21"/>
        <v>보도</v>
      </c>
      <c r="C92" s="1251">
        <f t="shared" si="22"/>
        <v>0</v>
      </c>
      <c r="D92" s="1251"/>
      <c r="E92" s="1251">
        <f t="shared" si="23"/>
        <v>2</v>
      </c>
      <c r="F92" s="1251">
        <v>1</v>
      </c>
      <c r="G92" s="1251">
        <f t="shared" si="24"/>
        <v>0</v>
      </c>
      <c r="H92" s="1251"/>
      <c r="I92" s="1251">
        <f t="shared" si="25"/>
        <v>0</v>
      </c>
      <c r="J92" s="915"/>
      <c r="K92" s="1251">
        <f t="shared" si="26"/>
        <v>0</v>
      </c>
      <c r="L92" s="915"/>
      <c r="M92" s="915"/>
      <c r="N92" s="916">
        <f t="shared" si="19"/>
        <v>3</v>
      </c>
      <c r="O92" s="916">
        <f t="shared" si="20"/>
        <v>0</v>
      </c>
      <c r="P92" s="916" t="str">
        <f>VLOOKUP($A92,'맨홀 평균 높이'!$J$4:$M$572,4,0)</f>
        <v>보  도</v>
      </c>
      <c r="Q92" s="1264" t="s">
        <v>1295</v>
      </c>
      <c r="R92" s="1264" t="s">
        <v>1432</v>
      </c>
      <c r="S92" s="1252">
        <f>VLOOKUP($R92,Sheet1!$A$3:$C$241,2,FALSE)</f>
        <v>3</v>
      </c>
      <c r="T92" s="1252">
        <f>VLOOKUP($R92,Sheet1!$A$3:$C$241,3,FALSE)</f>
        <v>0</v>
      </c>
      <c r="U92" s="1252"/>
      <c r="V92" s="1252">
        <f>VLOOKUP($R92,Sheet1!$A$3:$F$214,4,FALSE)</f>
        <v>0</v>
      </c>
      <c r="W92" s="1252">
        <f>VLOOKUP($R92,Sheet1!$A$3:$F$214,5,FALSE)</f>
        <v>3</v>
      </c>
      <c r="X92" s="1252">
        <f>VLOOKUP($R92,Sheet1!$A$3:$F$214,6,FALSE)</f>
        <v>0</v>
      </c>
      <c r="Y92" s="1252"/>
      <c r="Z92" s="1252"/>
      <c r="AA92" s="917"/>
      <c r="AB92" s="917"/>
      <c r="AC92" s="917"/>
      <c r="AD92" s="917"/>
      <c r="AE92" s="917"/>
      <c r="AF92" s="917"/>
      <c r="AG92" s="917"/>
      <c r="AH92" s="917"/>
      <c r="AI92" s="917"/>
      <c r="AJ92" s="917"/>
      <c r="AK92" s="917"/>
      <c r="AL92" s="917"/>
      <c r="AM92" s="917"/>
      <c r="AN92" s="917"/>
      <c r="AO92" s="917"/>
    </row>
    <row r="93" spans="1:41" s="913" customFormat="1" ht="15.95" customHeight="1">
      <c r="A93" s="1248" t="str">
        <f t="shared" si="18"/>
        <v>M1-124(1)</v>
      </c>
      <c r="B93" s="915" t="str">
        <f t="shared" si="21"/>
        <v>보도</v>
      </c>
      <c r="C93" s="1251">
        <f t="shared" si="22"/>
        <v>0</v>
      </c>
      <c r="D93" s="1251"/>
      <c r="E93" s="1251">
        <f t="shared" si="23"/>
        <v>0</v>
      </c>
      <c r="F93" s="1251">
        <v>1</v>
      </c>
      <c r="G93" s="1251">
        <f t="shared" si="24"/>
        <v>0</v>
      </c>
      <c r="H93" s="1251"/>
      <c r="I93" s="1251">
        <f t="shared" si="25"/>
        <v>0</v>
      </c>
      <c r="J93" s="915"/>
      <c r="K93" s="1251">
        <f t="shared" si="26"/>
        <v>0</v>
      </c>
      <c r="L93" s="915"/>
      <c r="M93" s="915"/>
      <c r="N93" s="916">
        <f t="shared" si="19"/>
        <v>1</v>
      </c>
      <c r="O93" s="916">
        <f t="shared" si="20"/>
        <v>0</v>
      </c>
      <c r="P93" s="916" t="str">
        <f>VLOOKUP($A93,'맨홀 평균 높이'!$J$4:$M$572,4,0)</f>
        <v>보  도</v>
      </c>
      <c r="Q93" s="1264" t="s">
        <v>1296</v>
      </c>
      <c r="R93" s="1264" t="s">
        <v>1433</v>
      </c>
      <c r="S93" s="1252">
        <f>VLOOKUP($R93,Sheet1!$A$3:$C$241,2,FALSE)</f>
        <v>1</v>
      </c>
      <c r="T93" s="1252">
        <f>VLOOKUP($R93,Sheet1!$A$3:$C$241,3,FALSE)</f>
        <v>0</v>
      </c>
      <c r="U93" s="1252"/>
      <c r="V93" s="1252">
        <f>VLOOKUP($R93,Sheet1!$A$3:$F$214,4,FALSE)</f>
        <v>0</v>
      </c>
      <c r="W93" s="1252">
        <f>VLOOKUP($R93,Sheet1!$A$3:$F$214,5,FALSE)</f>
        <v>1</v>
      </c>
      <c r="X93" s="1252">
        <f>VLOOKUP($R93,Sheet1!$A$3:$F$214,6,FALSE)</f>
        <v>0</v>
      </c>
      <c r="Y93" s="1252"/>
      <c r="Z93" s="1252"/>
      <c r="AA93" s="917"/>
      <c r="AB93" s="917"/>
      <c r="AC93" s="917"/>
      <c r="AD93" s="917"/>
      <c r="AE93" s="917"/>
      <c r="AF93" s="917"/>
      <c r="AG93" s="917"/>
      <c r="AH93" s="917"/>
      <c r="AI93" s="917"/>
      <c r="AJ93" s="917"/>
      <c r="AK93" s="917"/>
      <c r="AL93" s="917"/>
      <c r="AM93" s="917"/>
      <c r="AN93" s="917"/>
      <c r="AO93" s="917"/>
    </row>
    <row r="94" spans="1:41" s="913" customFormat="1" ht="15.95" customHeight="1">
      <c r="A94" s="1248" t="str">
        <f t="shared" si="18"/>
        <v>M1-124(2)</v>
      </c>
      <c r="B94" s="915" t="str">
        <f t="shared" si="21"/>
        <v>보도</v>
      </c>
      <c r="C94" s="1251">
        <f t="shared" si="22"/>
        <v>0</v>
      </c>
      <c r="D94" s="1251"/>
      <c r="E94" s="1251">
        <f t="shared" si="23"/>
        <v>1</v>
      </c>
      <c r="F94" s="1251">
        <v>1</v>
      </c>
      <c r="G94" s="1251">
        <f t="shared" si="24"/>
        <v>0</v>
      </c>
      <c r="H94" s="1251"/>
      <c r="I94" s="1251">
        <f t="shared" si="25"/>
        <v>0</v>
      </c>
      <c r="J94" s="915"/>
      <c r="K94" s="1251">
        <f t="shared" si="26"/>
        <v>0</v>
      </c>
      <c r="L94" s="915"/>
      <c r="M94" s="915"/>
      <c r="N94" s="916">
        <f t="shared" si="19"/>
        <v>2</v>
      </c>
      <c r="O94" s="916">
        <f t="shared" si="20"/>
        <v>0</v>
      </c>
      <c r="P94" s="916" t="str">
        <f>VLOOKUP($A94,'맨홀 평균 높이'!$J$4:$M$572,4,0)</f>
        <v>보  도</v>
      </c>
      <c r="Q94" s="1264" t="s">
        <v>1296</v>
      </c>
      <c r="R94" s="1264" t="s">
        <v>1434</v>
      </c>
      <c r="S94" s="1252">
        <f>VLOOKUP($R94,Sheet1!$A$3:$C$241,2,FALSE)</f>
        <v>2</v>
      </c>
      <c r="T94" s="1252">
        <f>VLOOKUP($R94,Sheet1!$A$3:$C$241,3,FALSE)</f>
        <v>0</v>
      </c>
      <c r="U94" s="1252"/>
      <c r="V94" s="1252">
        <f>VLOOKUP($R94,Sheet1!$A$3:$F$214,4,FALSE)</f>
        <v>0</v>
      </c>
      <c r="W94" s="1252">
        <f>VLOOKUP($R94,Sheet1!$A$3:$F$214,5,FALSE)</f>
        <v>2</v>
      </c>
      <c r="X94" s="1252">
        <f>VLOOKUP($R94,Sheet1!$A$3:$F$214,6,FALSE)</f>
        <v>0</v>
      </c>
      <c r="Y94" s="1252"/>
      <c r="Z94" s="1252"/>
      <c r="AA94" s="917"/>
      <c r="AB94" s="917"/>
      <c r="AC94" s="917"/>
      <c r="AD94" s="917"/>
      <c r="AE94" s="917"/>
      <c r="AF94" s="917"/>
      <c r="AG94" s="917"/>
      <c r="AH94" s="917"/>
      <c r="AI94" s="917"/>
      <c r="AJ94" s="917"/>
      <c r="AK94" s="917"/>
      <c r="AL94" s="917"/>
      <c r="AM94" s="917"/>
      <c r="AN94" s="917"/>
      <c r="AO94" s="917"/>
    </row>
    <row r="95" spans="1:41" s="913" customFormat="1" ht="15.95" customHeight="1">
      <c r="A95" s="1248" t="str">
        <f t="shared" si="18"/>
        <v>M1-124(3)</v>
      </c>
      <c r="B95" s="915" t="str">
        <f t="shared" si="21"/>
        <v>보도</v>
      </c>
      <c r="C95" s="1251">
        <f t="shared" si="22"/>
        <v>0</v>
      </c>
      <c r="D95" s="1251"/>
      <c r="E95" s="1251">
        <f t="shared" si="23"/>
        <v>1</v>
      </c>
      <c r="F95" s="1251">
        <v>1</v>
      </c>
      <c r="G95" s="1251">
        <f t="shared" si="24"/>
        <v>0</v>
      </c>
      <c r="H95" s="1251"/>
      <c r="I95" s="1251">
        <f t="shared" si="25"/>
        <v>0</v>
      </c>
      <c r="J95" s="915"/>
      <c r="K95" s="1251">
        <f t="shared" si="26"/>
        <v>0</v>
      </c>
      <c r="L95" s="915"/>
      <c r="M95" s="915"/>
      <c r="N95" s="916">
        <f t="shared" si="19"/>
        <v>2</v>
      </c>
      <c r="O95" s="916">
        <f t="shared" si="20"/>
        <v>0</v>
      </c>
      <c r="P95" s="916" t="str">
        <f>VLOOKUP($A95,'맨홀 평균 높이'!$J$4:$M$572,4,0)</f>
        <v>보  도</v>
      </c>
      <c r="Q95" s="1264" t="s">
        <v>1296</v>
      </c>
      <c r="R95" s="1264" t="s">
        <v>1435</v>
      </c>
      <c r="S95" s="1252">
        <f>VLOOKUP($R95,Sheet1!$A$3:$C$241,2,FALSE)</f>
        <v>2</v>
      </c>
      <c r="T95" s="1252">
        <f>VLOOKUP($R95,Sheet1!$A$3:$C$241,3,FALSE)</f>
        <v>0</v>
      </c>
      <c r="U95" s="1252"/>
      <c r="V95" s="1252">
        <f>VLOOKUP($R95,Sheet1!$A$3:$F$214,4,FALSE)</f>
        <v>0</v>
      </c>
      <c r="W95" s="1252">
        <f>VLOOKUP($R95,Sheet1!$A$3:$F$214,5,FALSE)</f>
        <v>2</v>
      </c>
      <c r="X95" s="1252">
        <f>VLOOKUP($R95,Sheet1!$A$3:$F$214,6,FALSE)</f>
        <v>0</v>
      </c>
      <c r="Y95" s="1252"/>
      <c r="Z95" s="1252"/>
      <c r="AA95" s="917"/>
      <c r="AB95" s="917"/>
      <c r="AC95" s="917"/>
      <c r="AD95" s="917"/>
      <c r="AE95" s="917"/>
      <c r="AF95" s="917"/>
      <c r="AG95" s="917"/>
      <c r="AH95" s="917"/>
      <c r="AI95" s="917"/>
      <c r="AJ95" s="917"/>
      <c r="AK95" s="917"/>
      <c r="AL95" s="917"/>
      <c r="AM95" s="917"/>
      <c r="AN95" s="917"/>
      <c r="AO95" s="917"/>
    </row>
    <row r="96" spans="1:41" s="913" customFormat="1" ht="15.95" customHeight="1">
      <c r="A96" s="1248" t="str">
        <f t="shared" si="18"/>
        <v>M1-125(2)</v>
      </c>
      <c r="B96" s="915" t="str">
        <f t="shared" si="21"/>
        <v>보도</v>
      </c>
      <c r="C96" s="1251">
        <f t="shared" si="22"/>
        <v>0</v>
      </c>
      <c r="D96" s="1251"/>
      <c r="E96" s="1251">
        <f t="shared" si="23"/>
        <v>1</v>
      </c>
      <c r="F96" s="1251">
        <v>1</v>
      </c>
      <c r="G96" s="1251">
        <f t="shared" si="24"/>
        <v>0</v>
      </c>
      <c r="H96" s="1251"/>
      <c r="I96" s="1251">
        <f t="shared" si="25"/>
        <v>0</v>
      </c>
      <c r="J96" s="915"/>
      <c r="K96" s="1251">
        <f t="shared" si="26"/>
        <v>0</v>
      </c>
      <c r="L96" s="915"/>
      <c r="M96" s="915"/>
      <c r="N96" s="916">
        <f t="shared" si="19"/>
        <v>2</v>
      </c>
      <c r="O96" s="916">
        <f t="shared" si="20"/>
        <v>0</v>
      </c>
      <c r="P96" s="916" t="str">
        <f>VLOOKUP($A96,'맨홀 평균 높이'!$J$4:$M$572,4,0)</f>
        <v>보  도</v>
      </c>
      <c r="Q96" s="1264" t="s">
        <v>1296</v>
      </c>
      <c r="R96" s="1264" t="s">
        <v>1436</v>
      </c>
      <c r="S96" s="1252">
        <f>VLOOKUP($R96,Sheet1!$A$3:$C$241,2,FALSE)</f>
        <v>2</v>
      </c>
      <c r="T96" s="1252">
        <f>VLOOKUP($R96,Sheet1!$A$3:$C$241,3,FALSE)</f>
        <v>0</v>
      </c>
      <c r="U96" s="1252"/>
      <c r="V96" s="1252">
        <f>VLOOKUP($R96,Sheet1!$A$3:$F$214,4,FALSE)</f>
        <v>0</v>
      </c>
      <c r="W96" s="1252">
        <f>VLOOKUP($R96,Sheet1!$A$3:$F$214,5,FALSE)</f>
        <v>2</v>
      </c>
      <c r="X96" s="1252">
        <f>VLOOKUP($R96,Sheet1!$A$3:$F$214,6,FALSE)</f>
        <v>0</v>
      </c>
      <c r="Y96" s="1252"/>
      <c r="Z96" s="1252"/>
      <c r="AA96" s="917"/>
      <c r="AB96" s="917"/>
      <c r="AC96" s="917"/>
      <c r="AD96" s="917"/>
      <c r="AE96" s="917"/>
      <c r="AF96" s="917"/>
      <c r="AG96" s="917"/>
      <c r="AH96" s="917"/>
      <c r="AI96" s="917"/>
      <c r="AJ96" s="917"/>
      <c r="AK96" s="917"/>
      <c r="AL96" s="917"/>
      <c r="AM96" s="917"/>
      <c r="AN96" s="917"/>
      <c r="AO96" s="917"/>
    </row>
    <row r="97" spans="1:41" s="913" customFormat="1" ht="15.95" customHeight="1">
      <c r="A97" s="1248" t="str">
        <f t="shared" si="18"/>
        <v>M1-125(3)</v>
      </c>
      <c r="B97" s="915" t="str">
        <f t="shared" si="21"/>
        <v>보도</v>
      </c>
      <c r="C97" s="1251">
        <f t="shared" si="22"/>
        <v>0</v>
      </c>
      <c r="D97" s="1251"/>
      <c r="E97" s="1251">
        <f t="shared" si="23"/>
        <v>1</v>
      </c>
      <c r="F97" s="1251">
        <v>1</v>
      </c>
      <c r="G97" s="1251">
        <f t="shared" si="24"/>
        <v>0</v>
      </c>
      <c r="H97" s="1251"/>
      <c r="I97" s="1251">
        <f t="shared" si="25"/>
        <v>0</v>
      </c>
      <c r="J97" s="915"/>
      <c r="K97" s="1251">
        <f t="shared" si="26"/>
        <v>0</v>
      </c>
      <c r="L97" s="915"/>
      <c r="M97" s="915"/>
      <c r="N97" s="916">
        <f t="shared" si="19"/>
        <v>2</v>
      </c>
      <c r="O97" s="916">
        <f t="shared" si="20"/>
        <v>0</v>
      </c>
      <c r="P97" s="916" t="str">
        <f>VLOOKUP($A97,'맨홀 평균 높이'!$J$4:$M$572,4,0)</f>
        <v>보  도</v>
      </c>
      <c r="Q97" s="1264" t="s">
        <v>1296</v>
      </c>
      <c r="R97" s="1264" t="s">
        <v>1437</v>
      </c>
      <c r="S97" s="1252">
        <f>VLOOKUP($R97,Sheet1!$A$3:$C$241,2,FALSE)</f>
        <v>2</v>
      </c>
      <c r="T97" s="1252">
        <f>VLOOKUP($R97,Sheet1!$A$3:$C$241,3,FALSE)</f>
        <v>0</v>
      </c>
      <c r="U97" s="1252"/>
      <c r="V97" s="1252">
        <f>VLOOKUP($R97,Sheet1!$A$3:$F$214,4,FALSE)</f>
        <v>0</v>
      </c>
      <c r="W97" s="1252">
        <f>VLOOKUP($R97,Sheet1!$A$3:$F$214,5,FALSE)</f>
        <v>2</v>
      </c>
      <c r="X97" s="1252">
        <f>VLOOKUP($R97,Sheet1!$A$3:$F$214,6,FALSE)</f>
        <v>0</v>
      </c>
      <c r="Y97" s="1252"/>
      <c r="Z97" s="1252"/>
      <c r="AA97" s="917"/>
      <c r="AB97" s="917"/>
      <c r="AC97" s="917"/>
      <c r="AD97" s="917"/>
      <c r="AE97" s="917"/>
      <c r="AF97" s="917"/>
      <c r="AG97" s="917"/>
      <c r="AH97" s="917"/>
      <c r="AI97" s="917"/>
      <c r="AJ97" s="917"/>
      <c r="AK97" s="917"/>
      <c r="AL97" s="917"/>
      <c r="AM97" s="917"/>
      <c r="AN97" s="917"/>
      <c r="AO97" s="917"/>
    </row>
    <row r="99" spans="1:41" s="913" customFormat="1" ht="15.95" customHeight="1">
      <c r="A99" s="1248" t="str">
        <f t="shared" ref="A99:A104" si="27">R99</f>
        <v>M1-128</v>
      </c>
      <c r="B99" s="915" t="str">
        <f t="shared" si="21"/>
        <v>보도</v>
      </c>
      <c r="C99" s="1251">
        <f t="shared" ref="C99:C104" si="28">V99-D99</f>
        <v>0</v>
      </c>
      <c r="D99" s="1251"/>
      <c r="E99" s="1251">
        <f t="shared" ref="E99:E104" si="29">W99-F99</f>
        <v>1</v>
      </c>
      <c r="F99" s="1251">
        <v>1</v>
      </c>
      <c r="G99" s="1251">
        <f t="shared" ref="G99:G104" si="30">X99-H99</f>
        <v>0</v>
      </c>
      <c r="H99" s="1251"/>
      <c r="I99" s="1251">
        <f t="shared" ref="I99:I104" si="31">Y99-J99</f>
        <v>0</v>
      </c>
      <c r="J99" s="915"/>
      <c r="K99" s="1251">
        <f t="shared" ref="K99:K104" si="32">Z99-L99</f>
        <v>0</v>
      </c>
      <c r="L99" s="915"/>
      <c r="M99" s="915"/>
      <c r="N99" s="916">
        <f t="shared" ref="N99:N104" si="33">SUM(C99:L99)</f>
        <v>2</v>
      </c>
      <c r="O99" s="916">
        <f t="shared" ref="O99:O104" si="34">S99-N99</f>
        <v>0</v>
      </c>
      <c r="P99" s="916" t="str">
        <f>VLOOKUP($A99,'맨홀 평균 높이'!$J$4:$M$572,4,0)</f>
        <v>보  도</v>
      </c>
      <c r="Q99" s="1264" t="s">
        <v>1296</v>
      </c>
      <c r="R99" s="1264" t="s">
        <v>429</v>
      </c>
      <c r="S99" s="1252">
        <f>VLOOKUP($R99,Sheet1!$A$3:$C$241,2,FALSE)</f>
        <v>2</v>
      </c>
      <c r="T99" s="1252">
        <f>VLOOKUP($R99,Sheet1!$A$3:$C$241,3,FALSE)</f>
        <v>0</v>
      </c>
      <c r="U99" s="1252"/>
      <c r="V99" s="1252">
        <f>VLOOKUP($R99,Sheet1!$A$3:$F$214,4,FALSE)</f>
        <v>0</v>
      </c>
      <c r="W99" s="1252">
        <f>VLOOKUP($R99,Sheet1!$A$3:$F$214,5,FALSE)</f>
        <v>2</v>
      </c>
      <c r="X99" s="1252">
        <f>VLOOKUP($R99,Sheet1!$A$3:$F$214,6,FALSE)</f>
        <v>0</v>
      </c>
      <c r="Y99" s="1252"/>
      <c r="Z99" s="1252"/>
      <c r="AA99" s="917"/>
      <c r="AB99" s="917"/>
      <c r="AC99" s="917"/>
      <c r="AD99" s="917"/>
      <c r="AE99" s="917"/>
      <c r="AF99" s="917"/>
      <c r="AG99" s="917"/>
      <c r="AH99" s="917"/>
      <c r="AI99" s="917"/>
      <c r="AJ99" s="917"/>
      <c r="AK99" s="917"/>
      <c r="AL99" s="917"/>
      <c r="AM99" s="917"/>
      <c r="AN99" s="917"/>
      <c r="AO99" s="917"/>
    </row>
    <row r="100" spans="1:41" s="913" customFormat="1" ht="15.95" customHeight="1">
      <c r="A100" s="1248" t="str">
        <f t="shared" si="27"/>
        <v>M1-129</v>
      </c>
      <c r="B100" s="915" t="str">
        <f t="shared" si="21"/>
        <v>차도</v>
      </c>
      <c r="C100" s="1251">
        <f t="shared" si="28"/>
        <v>0</v>
      </c>
      <c r="D100" s="1251"/>
      <c r="E100" s="1251">
        <f t="shared" si="29"/>
        <v>1</v>
      </c>
      <c r="F100" s="1251">
        <v>1</v>
      </c>
      <c r="G100" s="1251">
        <f t="shared" si="30"/>
        <v>0</v>
      </c>
      <c r="H100" s="1251"/>
      <c r="I100" s="1251">
        <f t="shared" si="31"/>
        <v>0</v>
      </c>
      <c r="J100" s="915"/>
      <c r="K100" s="1251">
        <f t="shared" si="32"/>
        <v>0</v>
      </c>
      <c r="L100" s="915"/>
      <c r="M100" s="915"/>
      <c r="N100" s="916">
        <f t="shared" si="33"/>
        <v>2</v>
      </c>
      <c r="O100" s="916">
        <f t="shared" si="34"/>
        <v>0</v>
      </c>
      <c r="P100" s="916" t="str">
        <f>VLOOKUP($A100,'맨홀 평균 높이'!$J$4:$M$572,4,0)</f>
        <v>차  도</v>
      </c>
      <c r="Q100" s="1264" t="s">
        <v>1296</v>
      </c>
      <c r="R100" s="1264" t="s">
        <v>430</v>
      </c>
      <c r="S100" s="1252">
        <f>VLOOKUP($R100,Sheet1!$A$3:$C$241,2,FALSE)</f>
        <v>2</v>
      </c>
      <c r="T100" s="1252">
        <f>VLOOKUP($R100,Sheet1!$A$3:$C$241,3,FALSE)</f>
        <v>0</v>
      </c>
      <c r="U100" s="1252"/>
      <c r="V100" s="1252">
        <f>VLOOKUP($R100,Sheet1!$A$3:$F$214,4,FALSE)</f>
        <v>0</v>
      </c>
      <c r="W100" s="1252">
        <f>VLOOKUP($R100,Sheet1!$A$3:$F$214,5,FALSE)</f>
        <v>2</v>
      </c>
      <c r="X100" s="1252">
        <f>VLOOKUP($R100,Sheet1!$A$3:$F$214,6,FALSE)</f>
        <v>0</v>
      </c>
      <c r="Y100" s="1252"/>
      <c r="Z100" s="1252"/>
      <c r="AA100" s="917"/>
      <c r="AB100" s="917"/>
      <c r="AC100" s="917"/>
      <c r="AD100" s="917"/>
      <c r="AE100" s="917"/>
      <c r="AF100" s="917"/>
      <c r="AG100" s="917"/>
      <c r="AH100" s="917"/>
      <c r="AI100" s="917"/>
      <c r="AJ100" s="917"/>
      <c r="AK100" s="917"/>
      <c r="AL100" s="917"/>
      <c r="AM100" s="917"/>
      <c r="AN100" s="917"/>
      <c r="AO100" s="917"/>
    </row>
    <row r="101" spans="1:41" s="913" customFormat="1" ht="15.95" customHeight="1">
      <c r="A101" s="1248" t="str">
        <f t="shared" si="27"/>
        <v>M1-130</v>
      </c>
      <c r="B101" s="915" t="str">
        <f t="shared" si="21"/>
        <v>차도</v>
      </c>
      <c r="C101" s="1251">
        <f t="shared" si="28"/>
        <v>0</v>
      </c>
      <c r="D101" s="1251"/>
      <c r="E101" s="1251">
        <f t="shared" si="29"/>
        <v>1</v>
      </c>
      <c r="F101" s="1251">
        <v>1</v>
      </c>
      <c r="G101" s="1251">
        <f t="shared" si="30"/>
        <v>0</v>
      </c>
      <c r="H101" s="1251"/>
      <c r="I101" s="1251">
        <f t="shared" si="31"/>
        <v>0</v>
      </c>
      <c r="J101" s="915"/>
      <c r="K101" s="1251">
        <f t="shared" si="32"/>
        <v>0</v>
      </c>
      <c r="L101" s="915"/>
      <c r="M101" s="915"/>
      <c r="N101" s="916">
        <f t="shared" si="33"/>
        <v>2</v>
      </c>
      <c r="O101" s="916">
        <f t="shared" si="34"/>
        <v>0</v>
      </c>
      <c r="P101" s="916" t="str">
        <f>VLOOKUP($A101,'맨홀 평균 높이'!$J$4:$M$572,4,0)</f>
        <v>차  도</v>
      </c>
      <c r="Q101" s="1264" t="s">
        <v>1296</v>
      </c>
      <c r="R101" s="1264" t="s">
        <v>946</v>
      </c>
      <c r="S101" s="1252">
        <f>VLOOKUP($R101,Sheet1!$A$3:$C$241,2,FALSE)</f>
        <v>2</v>
      </c>
      <c r="T101" s="1252">
        <f>VLOOKUP($R101,Sheet1!$A$3:$C$241,3,FALSE)</f>
        <v>0</v>
      </c>
      <c r="U101" s="1252"/>
      <c r="V101" s="1252">
        <f>VLOOKUP($R101,Sheet1!$A$3:$F$214,4,FALSE)</f>
        <v>0</v>
      </c>
      <c r="W101" s="1252">
        <f>VLOOKUP($R101,Sheet1!$A$3:$F$214,5,FALSE)</f>
        <v>2</v>
      </c>
      <c r="X101" s="1252">
        <f>VLOOKUP($R101,Sheet1!$A$3:$F$214,6,FALSE)</f>
        <v>0</v>
      </c>
      <c r="Y101" s="1252"/>
      <c r="Z101" s="1252"/>
      <c r="AA101" s="917"/>
      <c r="AB101" s="917"/>
      <c r="AC101" s="917"/>
      <c r="AD101" s="917"/>
      <c r="AE101" s="917"/>
      <c r="AF101" s="917"/>
      <c r="AG101" s="917"/>
      <c r="AH101" s="917"/>
      <c r="AI101" s="917"/>
      <c r="AJ101" s="917"/>
      <c r="AK101" s="917"/>
      <c r="AL101" s="917"/>
      <c r="AM101" s="917"/>
      <c r="AN101" s="917"/>
      <c r="AO101" s="917"/>
    </row>
    <row r="102" spans="1:41" s="913" customFormat="1" ht="15.95" customHeight="1">
      <c r="A102" s="1248" t="str">
        <f t="shared" si="27"/>
        <v>M1-131</v>
      </c>
      <c r="B102" s="915" t="str">
        <f t="shared" si="21"/>
        <v>보도</v>
      </c>
      <c r="C102" s="1251">
        <f t="shared" si="28"/>
        <v>0</v>
      </c>
      <c r="D102" s="1251"/>
      <c r="E102" s="1251">
        <f t="shared" si="29"/>
        <v>0</v>
      </c>
      <c r="F102" s="1251">
        <v>1</v>
      </c>
      <c r="G102" s="1251">
        <f t="shared" si="30"/>
        <v>0</v>
      </c>
      <c r="H102" s="1251"/>
      <c r="I102" s="1251">
        <f t="shared" si="31"/>
        <v>0</v>
      </c>
      <c r="J102" s="915"/>
      <c r="K102" s="1251">
        <f t="shared" si="32"/>
        <v>0</v>
      </c>
      <c r="L102" s="915"/>
      <c r="M102" s="915"/>
      <c r="N102" s="916">
        <f t="shared" si="33"/>
        <v>1</v>
      </c>
      <c r="O102" s="916">
        <f t="shared" si="34"/>
        <v>0</v>
      </c>
      <c r="P102" s="916" t="str">
        <f>VLOOKUP($A102,'맨홀 평균 높이'!$J$4:$M$572,4,0)</f>
        <v>보  도</v>
      </c>
      <c r="Q102" s="1264" t="s">
        <v>1297</v>
      </c>
      <c r="R102" s="1264" t="s">
        <v>538</v>
      </c>
      <c r="S102" s="1252">
        <f>VLOOKUP($R102,Sheet1!$A$3:$C$241,2,FALSE)</f>
        <v>1</v>
      </c>
      <c r="T102" s="1252">
        <f>VLOOKUP($R102,Sheet1!$A$3:$C$241,3,FALSE)</f>
        <v>0</v>
      </c>
      <c r="U102" s="1252"/>
      <c r="V102" s="1252">
        <f>VLOOKUP($R102,Sheet1!$A$3:$F$214,4,FALSE)</f>
        <v>0</v>
      </c>
      <c r="W102" s="1252">
        <f>VLOOKUP($R102,Sheet1!$A$3:$F$214,5,FALSE)</f>
        <v>1</v>
      </c>
      <c r="X102" s="1252">
        <f>VLOOKUP($R102,Sheet1!$A$3:$F$214,6,FALSE)</f>
        <v>0</v>
      </c>
      <c r="Y102" s="1252"/>
      <c r="Z102" s="1252"/>
      <c r="AA102" s="917"/>
      <c r="AB102" s="917"/>
      <c r="AC102" s="917"/>
      <c r="AD102" s="917"/>
      <c r="AE102" s="917"/>
      <c r="AF102" s="917"/>
      <c r="AG102" s="917"/>
      <c r="AH102" s="917"/>
      <c r="AI102" s="917"/>
      <c r="AJ102" s="917"/>
      <c r="AK102" s="917"/>
      <c r="AL102" s="917"/>
      <c r="AM102" s="917"/>
      <c r="AN102" s="917"/>
      <c r="AO102" s="917"/>
    </row>
    <row r="104" spans="1:41" s="913" customFormat="1" ht="15.95" customHeight="1">
      <c r="A104" s="1248" t="str">
        <f t="shared" si="27"/>
        <v>M1-133</v>
      </c>
      <c r="B104" s="915" t="str">
        <f t="shared" si="21"/>
        <v>보도</v>
      </c>
      <c r="C104" s="1251">
        <f t="shared" si="28"/>
        <v>0</v>
      </c>
      <c r="D104" s="1251"/>
      <c r="E104" s="1251">
        <f t="shared" si="29"/>
        <v>1</v>
      </c>
      <c r="F104" s="1251">
        <v>1</v>
      </c>
      <c r="G104" s="1251">
        <f t="shared" si="30"/>
        <v>0</v>
      </c>
      <c r="H104" s="1251"/>
      <c r="I104" s="1251">
        <f t="shared" si="31"/>
        <v>0</v>
      </c>
      <c r="J104" s="915"/>
      <c r="K104" s="1251">
        <f t="shared" si="32"/>
        <v>0</v>
      </c>
      <c r="L104" s="915"/>
      <c r="M104" s="915"/>
      <c r="N104" s="916">
        <f t="shared" si="33"/>
        <v>2</v>
      </c>
      <c r="O104" s="916">
        <f t="shared" si="34"/>
        <v>0</v>
      </c>
      <c r="P104" s="916" t="str">
        <f>VLOOKUP($A104,'맨홀 평균 높이'!$J$4:$M$572,4,0)</f>
        <v>보  도</v>
      </c>
      <c r="Q104" s="1264" t="s">
        <v>1298</v>
      </c>
      <c r="R104" s="1264" t="s">
        <v>539</v>
      </c>
      <c r="S104" s="1252">
        <f>VLOOKUP($R104,Sheet1!$A$3:$C$241,2,FALSE)</f>
        <v>2</v>
      </c>
      <c r="T104" s="1252">
        <f>VLOOKUP($R104,Sheet1!$A$3:$C$241,3,FALSE)</f>
        <v>0</v>
      </c>
      <c r="U104" s="1252"/>
      <c r="V104" s="1252">
        <f>VLOOKUP($R104,Sheet1!$A$3:$F$214,4,FALSE)</f>
        <v>0</v>
      </c>
      <c r="W104" s="1252">
        <f>VLOOKUP($R104,Sheet1!$A$3:$F$214,5,FALSE)</f>
        <v>2</v>
      </c>
      <c r="X104" s="1252">
        <f>VLOOKUP($R104,Sheet1!$A$3:$F$214,6,FALSE)</f>
        <v>0</v>
      </c>
      <c r="Y104" s="1252"/>
      <c r="Z104" s="1252"/>
      <c r="AA104" s="917"/>
      <c r="AB104" s="917"/>
      <c r="AC104" s="917"/>
      <c r="AD104" s="917"/>
      <c r="AE104" s="917"/>
      <c r="AF104" s="917"/>
      <c r="AG104" s="917"/>
      <c r="AH104" s="917"/>
      <c r="AI104" s="917"/>
      <c r="AJ104" s="917"/>
      <c r="AK104" s="917"/>
      <c r="AL104" s="917"/>
      <c r="AM104" s="917"/>
      <c r="AN104" s="917"/>
      <c r="AO104" s="917"/>
    </row>
    <row r="105" spans="1:41" s="913" customFormat="1" ht="15.95" customHeight="1">
      <c r="A105" s="1248" t="str">
        <f t="shared" ref="A105:A125" si="35">R105</f>
        <v>M1-134</v>
      </c>
      <c r="B105" s="915" t="str">
        <f t="shared" si="21"/>
        <v>보도</v>
      </c>
      <c r="C105" s="1251">
        <f t="shared" ref="C105:C125" si="36">V105-D105</f>
        <v>0</v>
      </c>
      <c r="D105" s="1251"/>
      <c r="E105" s="1251">
        <f t="shared" ref="E105:E125" si="37">W105-F105</f>
        <v>1</v>
      </c>
      <c r="F105" s="1251">
        <v>1</v>
      </c>
      <c r="G105" s="1251">
        <f t="shared" ref="G105:G125" si="38">X105-H105</f>
        <v>0</v>
      </c>
      <c r="H105" s="1251"/>
      <c r="I105" s="1251">
        <f t="shared" ref="I105:I125" si="39">Y105-J105</f>
        <v>0</v>
      </c>
      <c r="J105" s="915"/>
      <c r="K105" s="1251">
        <f t="shared" ref="K105:K125" si="40">Z105-L105</f>
        <v>0</v>
      </c>
      <c r="L105" s="915"/>
      <c r="M105" s="915"/>
      <c r="N105" s="916">
        <f t="shared" ref="N105:N125" si="41">SUM(C105:L105)</f>
        <v>2</v>
      </c>
      <c r="O105" s="916">
        <f t="shared" ref="O105:O125" si="42">S105-N105</f>
        <v>0</v>
      </c>
      <c r="P105" s="916" t="str">
        <f>VLOOKUP($A105,'맨홀 평균 높이'!$J$4:$M$572,4,0)</f>
        <v>보  도</v>
      </c>
      <c r="Q105" s="1264" t="s">
        <v>1298</v>
      </c>
      <c r="R105" s="1264" t="s">
        <v>947</v>
      </c>
      <c r="S105" s="1252">
        <f>VLOOKUP($R105,Sheet1!$A$3:$C$241,2,FALSE)</f>
        <v>2</v>
      </c>
      <c r="T105" s="1252">
        <f>VLOOKUP($R105,Sheet1!$A$3:$C$241,3,FALSE)</f>
        <v>0</v>
      </c>
      <c r="U105" s="1252"/>
      <c r="V105" s="1252">
        <f>VLOOKUP($R105,Sheet1!$A$3:$F$214,4,FALSE)</f>
        <v>0</v>
      </c>
      <c r="W105" s="1252">
        <f>VLOOKUP($R105,Sheet1!$A$3:$F$214,5,FALSE)</f>
        <v>2</v>
      </c>
      <c r="X105" s="1252">
        <f>VLOOKUP($R105,Sheet1!$A$3:$F$214,6,FALSE)</f>
        <v>0</v>
      </c>
      <c r="Y105" s="1252"/>
      <c r="Z105" s="1252"/>
      <c r="AA105" s="917"/>
      <c r="AB105" s="917"/>
      <c r="AC105" s="917"/>
      <c r="AD105" s="917"/>
      <c r="AE105" s="917"/>
      <c r="AF105" s="917"/>
      <c r="AG105" s="917"/>
      <c r="AH105" s="917"/>
      <c r="AI105" s="917"/>
      <c r="AJ105" s="917"/>
      <c r="AK105" s="917"/>
      <c r="AL105" s="917"/>
      <c r="AM105" s="917"/>
      <c r="AN105" s="917"/>
      <c r="AO105" s="917"/>
    </row>
    <row r="106" spans="1:41" s="913" customFormat="1" ht="15.95" customHeight="1">
      <c r="A106" s="1248" t="str">
        <f t="shared" si="35"/>
        <v>M1-136</v>
      </c>
      <c r="B106" s="915" t="str">
        <f t="shared" si="21"/>
        <v>차도</v>
      </c>
      <c r="C106" s="1251">
        <f t="shared" si="36"/>
        <v>0</v>
      </c>
      <c r="D106" s="1251"/>
      <c r="E106" s="1251">
        <f t="shared" si="37"/>
        <v>1</v>
      </c>
      <c r="F106" s="1251">
        <v>1</v>
      </c>
      <c r="G106" s="1251">
        <f t="shared" si="38"/>
        <v>0</v>
      </c>
      <c r="H106" s="1251"/>
      <c r="I106" s="1251">
        <f t="shared" si="39"/>
        <v>0</v>
      </c>
      <c r="J106" s="915"/>
      <c r="K106" s="1251">
        <f t="shared" si="40"/>
        <v>0</v>
      </c>
      <c r="L106" s="915"/>
      <c r="M106" s="915"/>
      <c r="N106" s="916">
        <f t="shared" si="41"/>
        <v>2</v>
      </c>
      <c r="O106" s="916">
        <f t="shared" si="42"/>
        <v>0</v>
      </c>
      <c r="P106" s="916" t="str">
        <f>VLOOKUP($A106,'맨홀 평균 높이'!$J$4:$M$572,4,0)</f>
        <v>차  도</v>
      </c>
      <c r="Q106" s="1264" t="s">
        <v>1298</v>
      </c>
      <c r="R106" s="1264" t="s">
        <v>1300</v>
      </c>
      <c r="S106" s="1252">
        <f>VLOOKUP($R106,Sheet1!$A$3:$C$241,2,FALSE)</f>
        <v>2</v>
      </c>
      <c r="T106" s="1252">
        <f>VLOOKUP($R106,Sheet1!$A$3:$C$241,3,FALSE)</f>
        <v>0</v>
      </c>
      <c r="U106" s="1252"/>
      <c r="V106" s="1252">
        <f>VLOOKUP($R106,Sheet1!$A$3:$F$214,4,FALSE)</f>
        <v>0</v>
      </c>
      <c r="W106" s="1252">
        <f>VLOOKUP($R106,Sheet1!$A$3:$F$214,5,FALSE)</f>
        <v>2</v>
      </c>
      <c r="X106" s="1252">
        <f>VLOOKUP($R106,Sheet1!$A$3:$F$214,6,FALSE)</f>
        <v>0</v>
      </c>
      <c r="Y106" s="1252"/>
      <c r="Z106" s="1252"/>
      <c r="AA106" s="917"/>
      <c r="AB106" s="917"/>
      <c r="AC106" s="917"/>
      <c r="AD106" s="917"/>
      <c r="AE106" s="917"/>
      <c r="AF106" s="917"/>
      <c r="AG106" s="917"/>
      <c r="AH106" s="917"/>
      <c r="AI106" s="917"/>
      <c r="AJ106" s="917"/>
      <c r="AK106" s="917"/>
      <c r="AL106" s="917"/>
      <c r="AM106" s="917"/>
      <c r="AN106" s="917"/>
      <c r="AO106" s="917"/>
    </row>
    <row r="107" spans="1:41" s="913" customFormat="1" ht="15.95" customHeight="1">
      <c r="A107" s="1248" t="str">
        <f t="shared" si="35"/>
        <v>M1-138</v>
      </c>
      <c r="B107" s="915" t="str">
        <f t="shared" si="21"/>
        <v>보도</v>
      </c>
      <c r="C107" s="1251">
        <f t="shared" si="36"/>
        <v>0</v>
      </c>
      <c r="D107" s="1251"/>
      <c r="E107" s="1251">
        <f t="shared" si="37"/>
        <v>1</v>
      </c>
      <c r="F107" s="1251">
        <v>1</v>
      </c>
      <c r="G107" s="1251">
        <f t="shared" si="38"/>
        <v>0</v>
      </c>
      <c r="H107" s="1251"/>
      <c r="I107" s="1251">
        <f t="shared" si="39"/>
        <v>0</v>
      </c>
      <c r="J107" s="915"/>
      <c r="K107" s="1251">
        <f t="shared" si="40"/>
        <v>0</v>
      </c>
      <c r="L107" s="915"/>
      <c r="M107" s="915"/>
      <c r="N107" s="916">
        <f t="shared" si="41"/>
        <v>2</v>
      </c>
      <c r="O107" s="916">
        <f t="shared" si="42"/>
        <v>0</v>
      </c>
      <c r="P107" s="916" t="str">
        <f>VLOOKUP($A107,'맨홀 평균 높이'!$J$4:$M$572,4,0)</f>
        <v>보  도</v>
      </c>
      <c r="Q107" s="1264" t="s">
        <v>1299</v>
      </c>
      <c r="R107" s="1264" t="s">
        <v>1301</v>
      </c>
      <c r="S107" s="1252">
        <f>VLOOKUP($R107,Sheet1!$A$3:$C$241,2,FALSE)</f>
        <v>2</v>
      </c>
      <c r="T107" s="1252">
        <f>VLOOKUP($R107,Sheet1!$A$3:$C$241,3,FALSE)</f>
        <v>0</v>
      </c>
      <c r="U107" s="1252"/>
      <c r="V107" s="1252">
        <f>VLOOKUP($R107,Sheet1!$A$3:$F$214,4,FALSE)</f>
        <v>0</v>
      </c>
      <c r="W107" s="1252">
        <f>VLOOKUP($R107,Sheet1!$A$3:$F$214,5,FALSE)</f>
        <v>2</v>
      </c>
      <c r="X107" s="1252">
        <f>VLOOKUP($R107,Sheet1!$A$3:$F$214,6,FALSE)</f>
        <v>0</v>
      </c>
      <c r="Y107" s="1252"/>
      <c r="Z107" s="1252"/>
      <c r="AA107" s="917"/>
      <c r="AB107" s="917"/>
      <c r="AC107" s="917"/>
      <c r="AD107" s="917"/>
      <c r="AE107" s="917"/>
      <c r="AF107" s="917"/>
      <c r="AG107" s="917"/>
      <c r="AH107" s="917"/>
      <c r="AI107" s="917"/>
      <c r="AJ107" s="917"/>
      <c r="AK107" s="917"/>
      <c r="AL107" s="917"/>
      <c r="AM107" s="917"/>
      <c r="AN107" s="917"/>
      <c r="AO107" s="917"/>
    </row>
    <row r="108" spans="1:41" s="913" customFormat="1" ht="15.95" customHeight="1">
      <c r="A108" s="1248" t="str">
        <f t="shared" si="35"/>
        <v>M1-140</v>
      </c>
      <c r="B108" s="915" t="str">
        <f t="shared" si="21"/>
        <v>차도</v>
      </c>
      <c r="C108" s="1251">
        <f t="shared" si="36"/>
        <v>0</v>
      </c>
      <c r="D108" s="1251"/>
      <c r="E108" s="1251">
        <f t="shared" si="37"/>
        <v>1</v>
      </c>
      <c r="F108" s="1251">
        <v>1</v>
      </c>
      <c r="G108" s="1251">
        <f t="shared" si="38"/>
        <v>0</v>
      </c>
      <c r="H108" s="1251"/>
      <c r="I108" s="1251">
        <f t="shared" si="39"/>
        <v>0</v>
      </c>
      <c r="J108" s="915"/>
      <c r="K108" s="1251">
        <f t="shared" si="40"/>
        <v>0</v>
      </c>
      <c r="L108" s="915"/>
      <c r="M108" s="915"/>
      <c r="N108" s="916">
        <f t="shared" si="41"/>
        <v>2</v>
      </c>
      <c r="O108" s="916">
        <f t="shared" si="42"/>
        <v>0</v>
      </c>
      <c r="P108" s="916" t="str">
        <f>VLOOKUP($A108,'맨홀 평균 높이'!$J$4:$M$572,4,0)</f>
        <v>차  도</v>
      </c>
      <c r="Q108" s="1264" t="s">
        <v>1299</v>
      </c>
      <c r="R108" s="1264" t="s">
        <v>1303</v>
      </c>
      <c r="S108" s="1252">
        <f>VLOOKUP($R108,Sheet1!$A$3:$C$241,2,FALSE)</f>
        <v>2</v>
      </c>
      <c r="T108" s="1252">
        <f>VLOOKUP($R108,Sheet1!$A$3:$C$241,3,FALSE)</f>
        <v>0</v>
      </c>
      <c r="U108" s="1252"/>
      <c r="V108" s="1252">
        <f>VLOOKUP($R108,Sheet1!$A$3:$F$214,4,FALSE)</f>
        <v>0</v>
      </c>
      <c r="W108" s="1252">
        <f>VLOOKUP($R108,Sheet1!$A$3:$F$214,5,FALSE)</f>
        <v>2</v>
      </c>
      <c r="X108" s="1252">
        <f>VLOOKUP($R108,Sheet1!$A$3:$F$214,6,FALSE)</f>
        <v>0</v>
      </c>
      <c r="Y108" s="1252"/>
      <c r="Z108" s="1252"/>
      <c r="AA108" s="917"/>
      <c r="AB108" s="917"/>
      <c r="AC108" s="917"/>
      <c r="AD108" s="917"/>
      <c r="AE108" s="917"/>
      <c r="AF108" s="917"/>
      <c r="AG108" s="917"/>
      <c r="AH108" s="917"/>
      <c r="AI108" s="917"/>
      <c r="AJ108" s="917"/>
      <c r="AK108" s="917"/>
      <c r="AL108" s="917"/>
      <c r="AM108" s="917"/>
      <c r="AN108" s="917"/>
      <c r="AO108" s="917"/>
    </row>
    <row r="109" spans="1:41" s="913" customFormat="1" ht="15.95" customHeight="1">
      <c r="A109" s="1248" t="str">
        <f t="shared" si="35"/>
        <v>M1-141</v>
      </c>
      <c r="B109" s="915" t="str">
        <f t="shared" si="21"/>
        <v>차도</v>
      </c>
      <c r="C109" s="1251">
        <f t="shared" si="36"/>
        <v>0</v>
      </c>
      <c r="D109" s="1251"/>
      <c r="E109" s="1251">
        <f t="shared" si="37"/>
        <v>1</v>
      </c>
      <c r="F109" s="1251">
        <v>1</v>
      </c>
      <c r="G109" s="1251">
        <f t="shared" si="38"/>
        <v>0</v>
      </c>
      <c r="H109" s="1251"/>
      <c r="I109" s="1251">
        <f t="shared" si="39"/>
        <v>0</v>
      </c>
      <c r="J109" s="915"/>
      <c r="K109" s="1251">
        <f t="shared" si="40"/>
        <v>0</v>
      </c>
      <c r="L109" s="915"/>
      <c r="M109" s="915"/>
      <c r="N109" s="916">
        <f t="shared" si="41"/>
        <v>2</v>
      </c>
      <c r="O109" s="916">
        <f t="shared" si="42"/>
        <v>0</v>
      </c>
      <c r="P109" s="916" t="str">
        <f>VLOOKUP($A109,'맨홀 평균 높이'!$J$4:$M$572,4,0)</f>
        <v>차  도</v>
      </c>
      <c r="Q109" s="1264" t="s">
        <v>1302</v>
      </c>
      <c r="R109" s="1264" t="s">
        <v>1305</v>
      </c>
      <c r="S109" s="1252">
        <f>VLOOKUP($R109,Sheet1!$A$3:$C$241,2,FALSE)</f>
        <v>2</v>
      </c>
      <c r="T109" s="1252">
        <f>VLOOKUP($R109,Sheet1!$A$3:$C$241,3,FALSE)</f>
        <v>0</v>
      </c>
      <c r="U109" s="1252"/>
      <c r="V109" s="1252">
        <f>VLOOKUP($R109,Sheet1!$A$3:$F$214,4,FALSE)</f>
        <v>0</v>
      </c>
      <c r="W109" s="1252">
        <f>VLOOKUP($R109,Sheet1!$A$3:$F$214,5,FALSE)</f>
        <v>2</v>
      </c>
      <c r="X109" s="1252">
        <f>VLOOKUP($R109,Sheet1!$A$3:$F$214,6,FALSE)</f>
        <v>0</v>
      </c>
      <c r="Y109" s="1252"/>
      <c r="Z109" s="1252"/>
      <c r="AA109" s="917"/>
      <c r="AB109" s="917"/>
      <c r="AC109" s="917"/>
      <c r="AD109" s="917"/>
      <c r="AE109" s="917"/>
      <c r="AF109" s="917"/>
      <c r="AG109" s="917"/>
      <c r="AH109" s="917"/>
      <c r="AI109" s="917"/>
      <c r="AJ109" s="917"/>
      <c r="AK109" s="917"/>
      <c r="AL109" s="917"/>
      <c r="AM109" s="917"/>
      <c r="AN109" s="917"/>
      <c r="AO109" s="917"/>
    </row>
    <row r="110" spans="1:41" s="913" customFormat="1" ht="15.95" customHeight="1">
      <c r="A110" s="1248" t="str">
        <f t="shared" si="35"/>
        <v>M1-143</v>
      </c>
      <c r="B110" s="915" t="str">
        <f t="shared" si="21"/>
        <v>차도</v>
      </c>
      <c r="C110" s="1251">
        <f t="shared" si="36"/>
        <v>0</v>
      </c>
      <c r="D110" s="1251"/>
      <c r="E110" s="1251">
        <f t="shared" si="37"/>
        <v>1</v>
      </c>
      <c r="F110" s="1251">
        <v>1</v>
      </c>
      <c r="G110" s="1251">
        <f t="shared" si="38"/>
        <v>0</v>
      </c>
      <c r="H110" s="1251"/>
      <c r="I110" s="1251">
        <f t="shared" si="39"/>
        <v>0</v>
      </c>
      <c r="J110" s="915"/>
      <c r="K110" s="1251">
        <f t="shared" si="40"/>
        <v>0</v>
      </c>
      <c r="L110" s="915"/>
      <c r="M110" s="915"/>
      <c r="N110" s="916">
        <f t="shared" si="41"/>
        <v>2</v>
      </c>
      <c r="O110" s="916">
        <f t="shared" si="42"/>
        <v>0</v>
      </c>
      <c r="P110" s="916" t="str">
        <f>VLOOKUP($A110,'맨홀 평균 높이'!$J$4:$M$572,4,0)</f>
        <v>차  도</v>
      </c>
      <c r="Q110" s="1264" t="s">
        <v>1304</v>
      </c>
      <c r="R110" s="1264" t="s">
        <v>540</v>
      </c>
      <c r="S110" s="1252">
        <f>VLOOKUP($R110,Sheet1!$A$3:$C$241,2,FALSE)</f>
        <v>2</v>
      </c>
      <c r="T110" s="1252">
        <f>VLOOKUP($R110,Sheet1!$A$3:$C$241,3,FALSE)</f>
        <v>0</v>
      </c>
      <c r="U110" s="1252"/>
      <c r="V110" s="1252">
        <f>VLOOKUP($R110,Sheet1!$A$3:$F$214,4,FALSE)</f>
        <v>0</v>
      </c>
      <c r="W110" s="1252">
        <f>VLOOKUP($R110,Sheet1!$A$3:$F$214,5,FALSE)</f>
        <v>2</v>
      </c>
      <c r="X110" s="1252">
        <f>VLOOKUP($R110,Sheet1!$A$3:$F$214,6,FALSE)</f>
        <v>0</v>
      </c>
      <c r="Y110" s="1252"/>
      <c r="Z110" s="1252"/>
      <c r="AA110" s="917"/>
      <c r="AB110" s="917"/>
      <c r="AC110" s="917"/>
      <c r="AD110" s="917"/>
      <c r="AE110" s="917"/>
      <c r="AF110" s="917"/>
      <c r="AG110" s="917"/>
      <c r="AH110" s="917"/>
      <c r="AI110" s="917"/>
      <c r="AJ110" s="917"/>
      <c r="AK110" s="917"/>
      <c r="AL110" s="917"/>
      <c r="AM110" s="917"/>
      <c r="AN110" s="917"/>
      <c r="AO110" s="917"/>
    </row>
    <row r="112" spans="1:41" s="913" customFormat="1" ht="15.95" customHeight="1">
      <c r="A112" s="1248" t="str">
        <f t="shared" si="35"/>
        <v>M1-145</v>
      </c>
      <c r="B112" s="915" t="str">
        <f t="shared" si="21"/>
        <v>차도</v>
      </c>
      <c r="C112" s="1251">
        <f t="shared" si="36"/>
        <v>0</v>
      </c>
      <c r="D112" s="1251"/>
      <c r="E112" s="1251">
        <f t="shared" si="37"/>
        <v>1</v>
      </c>
      <c r="F112" s="1251">
        <v>1</v>
      </c>
      <c r="G112" s="1251">
        <f t="shared" si="38"/>
        <v>0</v>
      </c>
      <c r="H112" s="1251"/>
      <c r="I112" s="1251">
        <f t="shared" si="39"/>
        <v>0</v>
      </c>
      <c r="J112" s="915"/>
      <c r="K112" s="1251">
        <f t="shared" si="40"/>
        <v>0</v>
      </c>
      <c r="L112" s="915"/>
      <c r="M112" s="915"/>
      <c r="N112" s="916">
        <f t="shared" si="41"/>
        <v>2</v>
      </c>
      <c r="O112" s="916">
        <f t="shared" si="42"/>
        <v>0</v>
      </c>
      <c r="P112" s="916" t="str">
        <f>VLOOKUP($A112,'맨홀 평균 높이'!$J$4:$M$572,4,0)</f>
        <v>차  도</v>
      </c>
      <c r="Q112" s="1264" t="s">
        <v>1304</v>
      </c>
      <c r="R112" s="1264" t="s">
        <v>541</v>
      </c>
      <c r="S112" s="1252">
        <f>VLOOKUP($R112,Sheet1!$A$3:$C$241,2,FALSE)</f>
        <v>2</v>
      </c>
      <c r="T112" s="1252">
        <f>VLOOKUP($R112,Sheet1!$A$3:$C$241,3,FALSE)</f>
        <v>0</v>
      </c>
      <c r="U112" s="1252"/>
      <c r="V112" s="1252">
        <f>VLOOKUP($R112,Sheet1!$A$3:$F$214,4,FALSE)</f>
        <v>0</v>
      </c>
      <c r="W112" s="1252">
        <f>VLOOKUP($R112,Sheet1!$A$3:$F$214,5,FALSE)</f>
        <v>2</v>
      </c>
      <c r="X112" s="1252">
        <f>VLOOKUP($R112,Sheet1!$A$3:$F$214,6,FALSE)</f>
        <v>0</v>
      </c>
      <c r="Y112" s="1252"/>
      <c r="Z112" s="1252"/>
      <c r="AA112" s="917"/>
      <c r="AB112" s="917"/>
      <c r="AC112" s="917"/>
      <c r="AD112" s="917"/>
      <c r="AE112" s="917"/>
      <c r="AF112" s="917"/>
      <c r="AG112" s="917"/>
      <c r="AH112" s="917"/>
      <c r="AI112" s="917"/>
      <c r="AJ112" s="917"/>
      <c r="AK112" s="917"/>
      <c r="AL112" s="917"/>
      <c r="AM112" s="917"/>
      <c r="AN112" s="917"/>
      <c r="AO112" s="917"/>
    </row>
    <row r="113" spans="1:41" s="913" customFormat="1" ht="15.95" customHeight="1">
      <c r="A113" s="1248" t="str">
        <f t="shared" si="35"/>
        <v>M1-146(1)</v>
      </c>
      <c r="B113" s="915" t="str">
        <f t="shared" si="21"/>
        <v>차도</v>
      </c>
      <c r="C113" s="1251">
        <f t="shared" si="36"/>
        <v>0</v>
      </c>
      <c r="D113" s="1251"/>
      <c r="E113" s="1251">
        <f t="shared" si="37"/>
        <v>1</v>
      </c>
      <c r="F113" s="1251">
        <v>1</v>
      </c>
      <c r="G113" s="1251">
        <f t="shared" si="38"/>
        <v>0</v>
      </c>
      <c r="H113" s="1251"/>
      <c r="I113" s="1251">
        <f t="shared" si="39"/>
        <v>0</v>
      </c>
      <c r="J113" s="915"/>
      <c r="K113" s="1251">
        <f t="shared" si="40"/>
        <v>0</v>
      </c>
      <c r="L113" s="915"/>
      <c r="M113" s="915"/>
      <c r="N113" s="916">
        <f t="shared" si="41"/>
        <v>2</v>
      </c>
      <c r="O113" s="916">
        <f t="shared" si="42"/>
        <v>0</v>
      </c>
      <c r="P113" s="916" t="str">
        <f>VLOOKUP($A113,'맨홀 평균 높이'!$J$4:$M$572,4,0)</f>
        <v>차  도</v>
      </c>
      <c r="Q113" s="1264" t="s">
        <v>1304</v>
      </c>
      <c r="R113" s="1264" t="s">
        <v>1438</v>
      </c>
      <c r="S113" s="1252">
        <f>VLOOKUP($R113,Sheet1!$A$3:$C$241,2,FALSE)</f>
        <v>2</v>
      </c>
      <c r="T113" s="1252">
        <f>VLOOKUP($R113,Sheet1!$A$3:$C$241,3,FALSE)</f>
        <v>0</v>
      </c>
      <c r="U113" s="1252"/>
      <c r="V113" s="1252">
        <f>VLOOKUP($R113,Sheet1!$A$3:$F$214,4,FALSE)</f>
        <v>0</v>
      </c>
      <c r="W113" s="1252">
        <f>VLOOKUP($R113,Sheet1!$A$3:$F$214,5,FALSE)</f>
        <v>2</v>
      </c>
      <c r="X113" s="1252">
        <f>VLOOKUP($R113,Sheet1!$A$3:$F$214,6,FALSE)</f>
        <v>0</v>
      </c>
      <c r="Y113" s="1252"/>
      <c r="Z113" s="1252"/>
      <c r="AA113" s="917"/>
      <c r="AB113" s="917"/>
      <c r="AC113" s="917"/>
      <c r="AD113" s="917"/>
      <c r="AE113" s="917"/>
      <c r="AF113" s="917"/>
      <c r="AG113" s="917"/>
      <c r="AH113" s="917"/>
      <c r="AI113" s="917"/>
      <c r="AJ113" s="917"/>
      <c r="AK113" s="917"/>
      <c r="AL113" s="917"/>
      <c r="AM113" s="917"/>
      <c r="AN113" s="917"/>
      <c r="AO113" s="917"/>
    </row>
    <row r="114" spans="1:41" s="913" customFormat="1" ht="15.95" customHeight="1">
      <c r="A114" s="1248" t="str">
        <f t="shared" si="35"/>
        <v>M1-146(2)</v>
      </c>
      <c r="B114" s="915" t="str">
        <f t="shared" si="21"/>
        <v>차도</v>
      </c>
      <c r="C114" s="1251">
        <f t="shared" si="36"/>
        <v>0</v>
      </c>
      <c r="D114" s="1251"/>
      <c r="E114" s="1251">
        <f t="shared" si="37"/>
        <v>1</v>
      </c>
      <c r="F114" s="1251">
        <v>1</v>
      </c>
      <c r="G114" s="1251">
        <f t="shared" si="38"/>
        <v>0</v>
      </c>
      <c r="H114" s="1251"/>
      <c r="I114" s="1251">
        <f t="shared" si="39"/>
        <v>0</v>
      </c>
      <c r="J114" s="915"/>
      <c r="K114" s="1251">
        <f t="shared" si="40"/>
        <v>0</v>
      </c>
      <c r="L114" s="915"/>
      <c r="M114" s="915"/>
      <c r="N114" s="916">
        <f t="shared" si="41"/>
        <v>2</v>
      </c>
      <c r="O114" s="916">
        <f t="shared" si="42"/>
        <v>0</v>
      </c>
      <c r="P114" s="916" t="str">
        <f>VLOOKUP($A114,'맨홀 평균 높이'!$J$4:$M$572,4,0)</f>
        <v>차  도</v>
      </c>
      <c r="Q114" s="1264" t="s">
        <v>1304</v>
      </c>
      <c r="R114" s="1264" t="s">
        <v>1439</v>
      </c>
      <c r="S114" s="1252">
        <f>VLOOKUP($R114,Sheet1!$A$3:$C$241,2,FALSE)</f>
        <v>2</v>
      </c>
      <c r="T114" s="1252">
        <f>VLOOKUP($R114,Sheet1!$A$3:$C$241,3,FALSE)</f>
        <v>0</v>
      </c>
      <c r="U114" s="1252"/>
      <c r="V114" s="1252">
        <f>VLOOKUP($R114,Sheet1!$A$3:$F$214,4,FALSE)</f>
        <v>0</v>
      </c>
      <c r="W114" s="1252">
        <f>VLOOKUP($R114,Sheet1!$A$3:$F$214,5,FALSE)</f>
        <v>2</v>
      </c>
      <c r="X114" s="1252">
        <f>VLOOKUP($R114,Sheet1!$A$3:$F$214,6,FALSE)</f>
        <v>0</v>
      </c>
      <c r="Y114" s="1252"/>
      <c r="Z114" s="1252"/>
      <c r="AA114" s="917"/>
      <c r="AB114" s="917"/>
      <c r="AC114" s="917"/>
      <c r="AD114" s="917"/>
      <c r="AE114" s="917"/>
      <c r="AF114" s="917"/>
      <c r="AG114" s="917"/>
      <c r="AH114" s="917"/>
      <c r="AI114" s="917"/>
      <c r="AJ114" s="917"/>
      <c r="AK114" s="917"/>
      <c r="AL114" s="917"/>
      <c r="AM114" s="917"/>
      <c r="AN114" s="917"/>
      <c r="AO114" s="917"/>
    </row>
    <row r="115" spans="1:41" s="913" customFormat="1" ht="15.95" customHeight="1">
      <c r="A115" s="1248" t="str">
        <f t="shared" si="35"/>
        <v>M1-148</v>
      </c>
      <c r="B115" s="915" t="str">
        <f t="shared" si="21"/>
        <v>차도</v>
      </c>
      <c r="C115" s="1251">
        <f t="shared" si="36"/>
        <v>0</v>
      </c>
      <c r="D115" s="1251"/>
      <c r="E115" s="1251">
        <f t="shared" si="37"/>
        <v>1</v>
      </c>
      <c r="F115" s="1251">
        <v>1</v>
      </c>
      <c r="G115" s="1251">
        <f t="shared" si="38"/>
        <v>0</v>
      </c>
      <c r="H115" s="1251"/>
      <c r="I115" s="1251">
        <f t="shared" si="39"/>
        <v>0</v>
      </c>
      <c r="J115" s="915"/>
      <c r="K115" s="1251">
        <f t="shared" si="40"/>
        <v>0</v>
      </c>
      <c r="L115" s="915"/>
      <c r="M115" s="915"/>
      <c r="N115" s="916">
        <f t="shared" si="41"/>
        <v>2</v>
      </c>
      <c r="O115" s="916">
        <f t="shared" si="42"/>
        <v>0</v>
      </c>
      <c r="P115" s="916" t="str">
        <f>VLOOKUP($A115,'맨홀 평균 높이'!$J$4:$M$572,4,0)</f>
        <v>차  도</v>
      </c>
      <c r="Q115" s="1264" t="s">
        <v>1294</v>
      </c>
      <c r="R115" s="1264" t="s">
        <v>948</v>
      </c>
      <c r="S115" s="1252">
        <f>VLOOKUP($R115,Sheet1!$A$3:$C$241,2,FALSE)</f>
        <v>2</v>
      </c>
      <c r="T115" s="1252">
        <f>VLOOKUP($R115,Sheet1!$A$3:$C$241,3,FALSE)</f>
        <v>0</v>
      </c>
      <c r="U115" s="1252"/>
      <c r="V115" s="1252">
        <f>VLOOKUP($R115,Sheet1!$A$3:$F$214,4,FALSE)</f>
        <v>0</v>
      </c>
      <c r="W115" s="1252">
        <f>VLOOKUP($R115,Sheet1!$A$3:$F$214,5,FALSE)</f>
        <v>2</v>
      </c>
      <c r="X115" s="1252">
        <f>VLOOKUP($R115,Sheet1!$A$3:$F$214,6,FALSE)</f>
        <v>0</v>
      </c>
      <c r="Y115" s="1252"/>
      <c r="Z115" s="1252"/>
      <c r="AA115" s="917"/>
      <c r="AB115" s="917"/>
      <c r="AC115" s="917"/>
      <c r="AD115" s="917"/>
      <c r="AE115" s="917"/>
      <c r="AF115" s="917"/>
      <c r="AG115" s="917"/>
      <c r="AH115" s="917"/>
      <c r="AI115" s="917"/>
      <c r="AJ115" s="917"/>
      <c r="AK115" s="917"/>
      <c r="AL115" s="917"/>
      <c r="AM115" s="917"/>
      <c r="AN115" s="917"/>
      <c r="AO115" s="917"/>
    </row>
    <row r="118" spans="1:41" s="913" customFormat="1" ht="15.95" customHeight="1">
      <c r="A118" s="1248" t="str">
        <f t="shared" si="35"/>
        <v>M1-151</v>
      </c>
      <c r="B118" s="915" t="str">
        <f t="shared" si="21"/>
        <v>보도</v>
      </c>
      <c r="C118" s="1251">
        <f t="shared" si="36"/>
        <v>0</v>
      </c>
      <c r="D118" s="1251"/>
      <c r="E118" s="1251">
        <f t="shared" si="37"/>
        <v>1</v>
      </c>
      <c r="F118" s="1251">
        <v>1</v>
      </c>
      <c r="G118" s="1251">
        <f t="shared" si="38"/>
        <v>0</v>
      </c>
      <c r="H118" s="1251"/>
      <c r="I118" s="1251">
        <f t="shared" si="39"/>
        <v>0</v>
      </c>
      <c r="J118" s="915"/>
      <c r="K118" s="1251">
        <f t="shared" si="40"/>
        <v>0</v>
      </c>
      <c r="L118" s="915"/>
      <c r="M118" s="915"/>
      <c r="N118" s="916">
        <f t="shared" si="41"/>
        <v>2</v>
      </c>
      <c r="O118" s="916">
        <f t="shared" si="42"/>
        <v>0</v>
      </c>
      <c r="P118" s="916" t="str">
        <f>VLOOKUP($A118,'맨홀 평균 높이'!$J$4:$M$572,4,0)</f>
        <v>보  도</v>
      </c>
      <c r="Q118" s="1264" t="s">
        <v>1295</v>
      </c>
      <c r="R118" s="1264" t="s">
        <v>432</v>
      </c>
      <c r="S118" s="1252">
        <f>VLOOKUP($R118,Sheet1!$A$3:$C$241,2,FALSE)</f>
        <v>2</v>
      </c>
      <c r="T118" s="1252">
        <f>VLOOKUP($R118,Sheet1!$A$3:$C$241,3,FALSE)</f>
        <v>0</v>
      </c>
      <c r="U118" s="1252"/>
      <c r="V118" s="1252">
        <f>VLOOKUP($R118,Sheet1!$A$3:$F$214,4,FALSE)</f>
        <v>0</v>
      </c>
      <c r="W118" s="1252">
        <f>VLOOKUP($R118,Sheet1!$A$3:$F$214,5,FALSE)</f>
        <v>2</v>
      </c>
      <c r="X118" s="1252">
        <f>VLOOKUP($R118,Sheet1!$A$3:$F$214,6,FALSE)</f>
        <v>0</v>
      </c>
      <c r="Y118" s="1252"/>
      <c r="Z118" s="1252"/>
      <c r="AA118" s="917"/>
      <c r="AB118" s="917"/>
      <c r="AC118" s="917"/>
      <c r="AD118" s="917"/>
      <c r="AE118" s="917"/>
      <c r="AF118" s="917"/>
      <c r="AG118" s="917"/>
      <c r="AH118" s="917"/>
      <c r="AI118" s="917"/>
      <c r="AJ118" s="917"/>
      <c r="AK118" s="917"/>
      <c r="AL118" s="917"/>
      <c r="AM118" s="917"/>
      <c r="AN118" s="917"/>
      <c r="AO118" s="917"/>
    </row>
    <row r="120" spans="1:41" s="913" customFormat="1" ht="15.95" customHeight="1">
      <c r="A120" s="1248" t="str">
        <f t="shared" si="35"/>
        <v>M1-153</v>
      </c>
      <c r="B120" s="915" t="str">
        <f t="shared" si="21"/>
        <v>보도</v>
      </c>
      <c r="C120" s="1251">
        <f t="shared" si="36"/>
        <v>0</v>
      </c>
      <c r="D120" s="1251"/>
      <c r="E120" s="1251">
        <f t="shared" si="37"/>
        <v>1</v>
      </c>
      <c r="F120" s="1251">
        <v>1</v>
      </c>
      <c r="G120" s="1251">
        <f t="shared" si="38"/>
        <v>0</v>
      </c>
      <c r="H120" s="1251"/>
      <c r="I120" s="1251">
        <f t="shared" si="39"/>
        <v>0</v>
      </c>
      <c r="J120" s="915"/>
      <c r="K120" s="1251">
        <f t="shared" si="40"/>
        <v>0</v>
      </c>
      <c r="L120" s="915"/>
      <c r="M120" s="915"/>
      <c r="N120" s="916">
        <f t="shared" si="41"/>
        <v>2</v>
      </c>
      <c r="O120" s="916">
        <f t="shared" si="42"/>
        <v>0</v>
      </c>
      <c r="P120" s="916" t="str">
        <f>VLOOKUP($A120,'맨홀 평균 높이'!$J$4:$M$572,4,0)</f>
        <v>보  도</v>
      </c>
      <c r="Q120" s="1264" t="s">
        <v>1295</v>
      </c>
      <c r="R120" s="1264" t="s">
        <v>431</v>
      </c>
      <c r="S120" s="1252">
        <f>VLOOKUP($R120,Sheet1!$A$3:$C$241,2,FALSE)</f>
        <v>2</v>
      </c>
      <c r="T120" s="1252">
        <f>VLOOKUP($R120,Sheet1!$A$3:$C$241,3,FALSE)</f>
        <v>0</v>
      </c>
      <c r="U120" s="1252"/>
      <c r="V120" s="1252">
        <f>VLOOKUP($R120,Sheet1!$A$3:$F$214,4,FALSE)</f>
        <v>0</v>
      </c>
      <c r="W120" s="1252">
        <f>VLOOKUP($R120,Sheet1!$A$3:$F$214,5,FALSE)</f>
        <v>2</v>
      </c>
      <c r="X120" s="1252">
        <f>VLOOKUP($R120,Sheet1!$A$3:$F$214,6,FALSE)</f>
        <v>0</v>
      </c>
      <c r="Y120" s="1252"/>
      <c r="Z120" s="1252"/>
      <c r="AA120" s="917"/>
      <c r="AB120" s="917"/>
      <c r="AC120" s="917"/>
      <c r="AD120" s="917"/>
      <c r="AE120" s="917"/>
      <c r="AF120" s="917"/>
      <c r="AG120" s="917"/>
      <c r="AH120" s="917"/>
      <c r="AI120" s="917"/>
      <c r="AJ120" s="917"/>
      <c r="AK120" s="917"/>
      <c r="AL120" s="917"/>
      <c r="AM120" s="917"/>
      <c r="AN120" s="917"/>
      <c r="AO120" s="917"/>
    </row>
    <row r="121" spans="1:41" s="913" customFormat="1" ht="15.95" customHeight="1">
      <c r="A121" s="1248" t="str">
        <f t="shared" si="35"/>
        <v>M1-154</v>
      </c>
      <c r="B121" s="915" t="str">
        <f t="shared" si="21"/>
        <v>차도</v>
      </c>
      <c r="C121" s="1251">
        <f t="shared" si="36"/>
        <v>0</v>
      </c>
      <c r="D121" s="1251"/>
      <c r="E121" s="1251">
        <f t="shared" si="37"/>
        <v>0</v>
      </c>
      <c r="F121" s="1251">
        <v>1</v>
      </c>
      <c r="G121" s="1251">
        <f t="shared" si="38"/>
        <v>0</v>
      </c>
      <c r="H121" s="1251"/>
      <c r="I121" s="1251">
        <f t="shared" si="39"/>
        <v>0</v>
      </c>
      <c r="J121" s="915"/>
      <c r="K121" s="1251">
        <f t="shared" si="40"/>
        <v>0</v>
      </c>
      <c r="L121" s="915"/>
      <c r="M121" s="915"/>
      <c r="N121" s="916">
        <f t="shared" si="41"/>
        <v>1</v>
      </c>
      <c r="O121" s="916">
        <f t="shared" si="42"/>
        <v>0</v>
      </c>
      <c r="P121" s="916" t="str">
        <f>VLOOKUP($A121,'맨홀 평균 높이'!$J$4:$M$572,4,0)</f>
        <v>차  도</v>
      </c>
      <c r="Q121" s="1264" t="s">
        <v>1306</v>
      </c>
      <c r="R121" s="1264" t="s">
        <v>542</v>
      </c>
      <c r="S121" s="1252">
        <f>VLOOKUP($R121,Sheet1!$A$3:$C$241,2,FALSE)</f>
        <v>1</v>
      </c>
      <c r="T121" s="1252">
        <f>VLOOKUP($R121,Sheet1!$A$3:$C$241,3,FALSE)</f>
        <v>0</v>
      </c>
      <c r="U121" s="1252"/>
      <c r="V121" s="1252">
        <f>VLOOKUP($R121,Sheet1!$A$3:$F$214,4,FALSE)</f>
        <v>0</v>
      </c>
      <c r="W121" s="1252">
        <f>VLOOKUP($R121,Sheet1!$A$3:$F$214,5,FALSE)</f>
        <v>1</v>
      </c>
      <c r="X121" s="1252">
        <f>VLOOKUP($R121,Sheet1!$A$3:$F$214,6,FALSE)</f>
        <v>0</v>
      </c>
      <c r="Y121" s="1252"/>
      <c r="Z121" s="1252"/>
      <c r="AA121" s="917"/>
      <c r="AB121" s="917"/>
      <c r="AC121" s="917"/>
      <c r="AD121" s="917"/>
      <c r="AE121" s="917"/>
      <c r="AF121" s="917"/>
      <c r="AG121" s="917"/>
      <c r="AH121" s="917"/>
      <c r="AI121" s="917"/>
      <c r="AJ121" s="917"/>
      <c r="AK121" s="917"/>
      <c r="AL121" s="917"/>
      <c r="AM121" s="917"/>
      <c r="AN121" s="917"/>
      <c r="AO121" s="917"/>
    </row>
    <row r="122" spans="1:41" s="913" customFormat="1" ht="15.95" customHeight="1">
      <c r="A122" s="1248" t="str">
        <f t="shared" si="35"/>
        <v>M1-155</v>
      </c>
      <c r="B122" s="915" t="str">
        <f t="shared" si="21"/>
        <v>차도</v>
      </c>
      <c r="C122" s="1251">
        <f t="shared" si="36"/>
        <v>0</v>
      </c>
      <c r="D122" s="1251"/>
      <c r="E122" s="1251">
        <f t="shared" si="37"/>
        <v>0</v>
      </c>
      <c r="F122" s="1251">
        <v>1</v>
      </c>
      <c r="G122" s="1251">
        <f t="shared" si="38"/>
        <v>0</v>
      </c>
      <c r="H122" s="1251"/>
      <c r="I122" s="1251">
        <f t="shared" si="39"/>
        <v>0</v>
      </c>
      <c r="J122" s="915"/>
      <c r="K122" s="1251">
        <f t="shared" si="40"/>
        <v>0</v>
      </c>
      <c r="L122" s="915"/>
      <c r="M122" s="915"/>
      <c r="N122" s="916">
        <f t="shared" si="41"/>
        <v>1</v>
      </c>
      <c r="O122" s="916">
        <f t="shared" si="42"/>
        <v>0</v>
      </c>
      <c r="P122" s="916" t="str">
        <f>VLOOKUP($A122,'맨홀 평균 높이'!$J$4:$M$572,4,0)</f>
        <v>차  도</v>
      </c>
      <c r="Q122" s="1264" t="s">
        <v>1307</v>
      </c>
      <c r="R122" s="1264" t="s">
        <v>1317</v>
      </c>
      <c r="S122" s="1252">
        <f>VLOOKUP($R122,Sheet1!$A$3:$C$241,2,FALSE)</f>
        <v>1</v>
      </c>
      <c r="T122" s="1252">
        <f>VLOOKUP($R122,Sheet1!$A$3:$C$241,3,FALSE)</f>
        <v>0</v>
      </c>
      <c r="U122" s="1252"/>
      <c r="V122" s="1252">
        <f>VLOOKUP($R122,Sheet1!$A$3:$F$214,4,FALSE)</f>
        <v>0</v>
      </c>
      <c r="W122" s="1252">
        <f>VLOOKUP($R122,Sheet1!$A$3:$F$214,5,FALSE)</f>
        <v>1</v>
      </c>
      <c r="X122" s="1252">
        <f>VLOOKUP($R122,Sheet1!$A$3:$F$214,6,FALSE)</f>
        <v>0</v>
      </c>
      <c r="Y122" s="1252"/>
      <c r="Z122" s="1252"/>
      <c r="AA122" s="917"/>
      <c r="AB122" s="917"/>
      <c r="AC122" s="917"/>
      <c r="AD122" s="917"/>
      <c r="AE122" s="917"/>
      <c r="AF122" s="917"/>
      <c r="AG122" s="917"/>
      <c r="AH122" s="917"/>
      <c r="AI122" s="917"/>
      <c r="AJ122" s="917"/>
      <c r="AK122" s="917"/>
      <c r="AL122" s="917"/>
      <c r="AM122" s="917"/>
      <c r="AN122" s="917"/>
      <c r="AO122" s="917"/>
    </row>
    <row r="123" spans="1:41" s="913" customFormat="1" ht="15.95" customHeight="1">
      <c r="A123" s="1248" t="str">
        <f t="shared" si="35"/>
        <v>M1-156</v>
      </c>
      <c r="B123" s="915" t="str">
        <f t="shared" si="21"/>
        <v>보도</v>
      </c>
      <c r="C123" s="1251">
        <f t="shared" si="36"/>
        <v>0</v>
      </c>
      <c r="D123" s="1251"/>
      <c r="E123" s="1251">
        <f t="shared" si="37"/>
        <v>0</v>
      </c>
      <c r="F123" s="1251">
        <v>1</v>
      </c>
      <c r="G123" s="1251">
        <f t="shared" si="38"/>
        <v>0</v>
      </c>
      <c r="H123" s="1251"/>
      <c r="I123" s="1251">
        <f t="shared" si="39"/>
        <v>0</v>
      </c>
      <c r="J123" s="915"/>
      <c r="K123" s="1251">
        <f t="shared" si="40"/>
        <v>0</v>
      </c>
      <c r="L123" s="915"/>
      <c r="M123" s="915"/>
      <c r="N123" s="916">
        <f t="shared" si="41"/>
        <v>1</v>
      </c>
      <c r="O123" s="916">
        <f t="shared" si="42"/>
        <v>0</v>
      </c>
      <c r="P123" s="916" t="str">
        <f>VLOOKUP($A123,'맨홀 평균 높이'!$J$4:$M$572,4,0)</f>
        <v>보  도</v>
      </c>
      <c r="Q123" s="1264" t="s">
        <v>1297</v>
      </c>
      <c r="R123" s="1264" t="s">
        <v>1318</v>
      </c>
      <c r="S123" s="1252">
        <f>VLOOKUP($R123,Sheet1!$A$3:$C$241,2,FALSE)</f>
        <v>1</v>
      </c>
      <c r="T123" s="1252">
        <f>VLOOKUP($R123,Sheet1!$A$3:$C$241,3,FALSE)</f>
        <v>0</v>
      </c>
      <c r="U123" s="1252"/>
      <c r="V123" s="1252">
        <f>VLOOKUP($R123,Sheet1!$A$3:$F$214,4,FALSE)</f>
        <v>0</v>
      </c>
      <c r="W123" s="1252">
        <f>VLOOKUP($R123,Sheet1!$A$3:$F$214,5,FALSE)</f>
        <v>1</v>
      </c>
      <c r="X123" s="1252">
        <f>VLOOKUP($R123,Sheet1!$A$3:$F$214,6,FALSE)</f>
        <v>0</v>
      </c>
      <c r="Y123" s="1252"/>
      <c r="Z123" s="1252"/>
      <c r="AA123" s="917"/>
      <c r="AB123" s="917"/>
      <c r="AC123" s="917"/>
      <c r="AD123" s="917"/>
      <c r="AE123" s="917"/>
      <c r="AF123" s="917"/>
      <c r="AG123" s="917"/>
      <c r="AH123" s="917"/>
      <c r="AI123" s="917"/>
      <c r="AJ123" s="917"/>
      <c r="AK123" s="917"/>
      <c r="AL123" s="917"/>
      <c r="AM123" s="917"/>
      <c r="AN123" s="917"/>
      <c r="AO123" s="917"/>
    </row>
    <row r="124" spans="1:41" s="913" customFormat="1" ht="15.95" customHeight="1">
      <c r="A124" s="1248" t="str">
        <f t="shared" si="35"/>
        <v>M1-157</v>
      </c>
      <c r="B124" s="915" t="str">
        <f t="shared" si="21"/>
        <v>보도</v>
      </c>
      <c r="C124" s="1251">
        <f t="shared" si="36"/>
        <v>0</v>
      </c>
      <c r="D124" s="1251"/>
      <c r="E124" s="1251">
        <f t="shared" si="37"/>
        <v>0</v>
      </c>
      <c r="F124" s="1251">
        <v>1</v>
      </c>
      <c r="G124" s="1251">
        <f t="shared" si="38"/>
        <v>0</v>
      </c>
      <c r="H124" s="1251"/>
      <c r="I124" s="1251">
        <f t="shared" si="39"/>
        <v>0</v>
      </c>
      <c r="J124" s="915"/>
      <c r="K124" s="1251">
        <f t="shared" si="40"/>
        <v>0</v>
      </c>
      <c r="L124" s="915"/>
      <c r="M124" s="915"/>
      <c r="N124" s="916">
        <f t="shared" si="41"/>
        <v>1</v>
      </c>
      <c r="O124" s="916">
        <f t="shared" si="42"/>
        <v>0</v>
      </c>
      <c r="P124" s="916" t="str">
        <f>VLOOKUP($A124,'맨홀 평균 높이'!$J$4:$M$572,4,0)</f>
        <v>보  도</v>
      </c>
      <c r="Q124" s="1264" t="s">
        <v>1296</v>
      </c>
      <c r="R124" s="1264" t="s">
        <v>1319</v>
      </c>
      <c r="S124" s="1252">
        <f>VLOOKUP($R124,Sheet1!$A$3:$C$241,2,FALSE)</f>
        <v>1</v>
      </c>
      <c r="T124" s="1252">
        <f>VLOOKUP($R124,Sheet1!$A$3:$C$241,3,FALSE)</f>
        <v>0</v>
      </c>
      <c r="U124" s="1252"/>
      <c r="V124" s="1252">
        <f>VLOOKUP($R124,Sheet1!$A$3:$F$214,4,FALSE)</f>
        <v>0</v>
      </c>
      <c r="W124" s="1252">
        <f>VLOOKUP($R124,Sheet1!$A$3:$F$214,5,FALSE)</f>
        <v>1</v>
      </c>
      <c r="X124" s="1252">
        <f>VLOOKUP($R124,Sheet1!$A$3:$F$214,6,FALSE)</f>
        <v>0</v>
      </c>
      <c r="Y124" s="1252"/>
      <c r="Z124" s="1252"/>
      <c r="AA124" s="917"/>
      <c r="AB124" s="917"/>
      <c r="AC124" s="917"/>
      <c r="AD124" s="917"/>
      <c r="AE124" s="917"/>
      <c r="AF124" s="917"/>
      <c r="AG124" s="917"/>
      <c r="AH124" s="917"/>
      <c r="AI124" s="917"/>
      <c r="AJ124" s="917"/>
      <c r="AK124" s="917"/>
      <c r="AL124" s="917"/>
      <c r="AM124" s="917"/>
      <c r="AN124" s="917"/>
      <c r="AO124" s="917"/>
    </row>
    <row r="125" spans="1:41" s="913" customFormat="1" ht="15.95" customHeight="1">
      <c r="A125" s="1248" t="str">
        <f t="shared" si="35"/>
        <v>M1-158</v>
      </c>
      <c r="B125" s="915" t="str">
        <f t="shared" si="21"/>
        <v>보도</v>
      </c>
      <c r="C125" s="1251">
        <f t="shared" si="36"/>
        <v>0</v>
      </c>
      <c r="D125" s="1251"/>
      <c r="E125" s="1251">
        <f t="shared" si="37"/>
        <v>1</v>
      </c>
      <c r="F125" s="1251">
        <v>1</v>
      </c>
      <c r="G125" s="1251">
        <f t="shared" si="38"/>
        <v>0</v>
      </c>
      <c r="H125" s="1251"/>
      <c r="I125" s="1251">
        <f t="shared" si="39"/>
        <v>0</v>
      </c>
      <c r="J125" s="915"/>
      <c r="K125" s="1251">
        <f t="shared" si="40"/>
        <v>0</v>
      </c>
      <c r="L125" s="915"/>
      <c r="M125" s="915"/>
      <c r="N125" s="916">
        <f t="shared" si="41"/>
        <v>2</v>
      </c>
      <c r="O125" s="916">
        <f t="shared" si="42"/>
        <v>0</v>
      </c>
      <c r="P125" s="916" t="str">
        <f>VLOOKUP($A125,'맨홀 평균 높이'!$J$4:$M$572,4,0)</f>
        <v>보  도</v>
      </c>
      <c r="Q125" s="1264" t="s">
        <v>1296</v>
      </c>
      <c r="R125" s="1264" t="s">
        <v>1320</v>
      </c>
      <c r="S125" s="1252">
        <f>VLOOKUP($R125,Sheet1!$A$3:$C$241,2,FALSE)</f>
        <v>2</v>
      </c>
      <c r="T125" s="1252">
        <f>VLOOKUP($R125,Sheet1!$A$3:$C$241,3,FALSE)</f>
        <v>0</v>
      </c>
      <c r="U125" s="1252"/>
      <c r="V125" s="1252">
        <f>VLOOKUP($R125,Sheet1!$A$3:$F$214,4,FALSE)</f>
        <v>0</v>
      </c>
      <c r="W125" s="1252">
        <f>VLOOKUP($R125,Sheet1!$A$3:$F$214,5,FALSE)</f>
        <v>2</v>
      </c>
      <c r="X125" s="1252">
        <f>VLOOKUP($R125,Sheet1!$A$3:$F$214,6,FALSE)</f>
        <v>0</v>
      </c>
      <c r="Y125" s="1252"/>
      <c r="Z125" s="1252"/>
      <c r="AA125" s="917"/>
      <c r="AB125" s="917"/>
      <c r="AC125" s="917"/>
      <c r="AD125" s="917"/>
      <c r="AE125" s="917"/>
      <c r="AF125" s="917"/>
      <c r="AG125" s="917"/>
      <c r="AH125" s="917"/>
      <c r="AI125" s="917"/>
      <c r="AJ125" s="917"/>
      <c r="AK125" s="917"/>
      <c r="AL125" s="917"/>
      <c r="AM125" s="917"/>
      <c r="AN125" s="917"/>
      <c r="AO125" s="917"/>
    </row>
    <row r="126" spans="1:41" s="913" customFormat="1" ht="15.95" hidden="1" customHeight="1">
      <c r="A126" s="1248"/>
      <c r="B126" s="915"/>
      <c r="C126" s="1251"/>
      <c r="D126" s="1251"/>
      <c r="E126" s="1251"/>
      <c r="F126" s="1251"/>
      <c r="G126" s="1251"/>
      <c r="H126" s="1251">
        <v>0</v>
      </c>
      <c r="I126" s="1251"/>
      <c r="J126" s="915"/>
      <c r="K126" s="1251"/>
      <c r="L126" s="915"/>
      <c r="M126" s="915"/>
      <c r="N126" s="916"/>
      <c r="O126" s="916"/>
      <c r="P126" s="916"/>
      <c r="Q126" s="1247"/>
      <c r="R126" s="1252"/>
      <c r="S126" s="1252"/>
      <c r="T126" s="1252"/>
      <c r="U126" s="1252"/>
      <c r="V126" s="1252"/>
      <c r="W126" s="1252"/>
      <c r="X126" s="1252"/>
      <c r="Y126" s="1252"/>
      <c r="Z126" s="1252"/>
      <c r="AA126" s="917"/>
      <c r="AB126" s="917"/>
      <c r="AC126" s="917"/>
      <c r="AD126" s="917"/>
      <c r="AE126" s="917"/>
      <c r="AF126" s="917"/>
      <c r="AG126" s="917"/>
      <c r="AH126" s="917"/>
      <c r="AI126" s="917"/>
      <c r="AJ126" s="917"/>
      <c r="AK126" s="917"/>
      <c r="AL126" s="917"/>
      <c r="AM126" s="917"/>
      <c r="AN126" s="917"/>
      <c r="AO126" s="917"/>
    </row>
    <row r="127" spans="1:41" s="913" customFormat="1" ht="15.95" hidden="1" customHeight="1">
      <c r="A127" s="1248"/>
      <c r="B127" s="915"/>
      <c r="C127" s="1251"/>
      <c r="D127" s="1251"/>
      <c r="E127" s="1251"/>
      <c r="F127" s="1251"/>
      <c r="G127" s="1251"/>
      <c r="H127" s="1251">
        <v>0</v>
      </c>
      <c r="I127" s="1251"/>
      <c r="J127" s="915"/>
      <c r="K127" s="1251"/>
      <c r="L127" s="915"/>
      <c r="M127" s="915"/>
      <c r="N127" s="916"/>
      <c r="O127" s="916"/>
      <c r="P127" s="916"/>
      <c r="Q127" s="1247"/>
      <c r="R127" s="1252"/>
      <c r="S127" s="1252"/>
      <c r="T127" s="1252"/>
      <c r="U127" s="1252"/>
      <c r="V127" s="1252"/>
      <c r="W127" s="1252"/>
      <c r="X127" s="1252"/>
      <c r="Y127" s="1252"/>
      <c r="Z127" s="1252"/>
      <c r="AA127" s="917"/>
      <c r="AB127" s="917"/>
      <c r="AC127" s="917"/>
      <c r="AD127" s="917"/>
      <c r="AE127" s="917"/>
      <c r="AF127" s="917"/>
      <c r="AG127" s="917"/>
      <c r="AH127" s="917"/>
      <c r="AI127" s="917"/>
      <c r="AJ127" s="917"/>
      <c r="AK127" s="917"/>
      <c r="AL127" s="917"/>
      <c r="AM127" s="917"/>
      <c r="AN127" s="917"/>
      <c r="AO127" s="917"/>
    </row>
    <row r="128" spans="1:41" s="913" customFormat="1" ht="15.95" hidden="1" customHeight="1">
      <c r="A128" s="1248"/>
      <c r="B128" s="915"/>
      <c r="C128" s="1251"/>
      <c r="D128" s="1251"/>
      <c r="E128" s="1251"/>
      <c r="F128" s="1251"/>
      <c r="G128" s="1251"/>
      <c r="H128" s="1251">
        <v>0</v>
      </c>
      <c r="I128" s="1251"/>
      <c r="J128" s="915"/>
      <c r="K128" s="1251"/>
      <c r="L128" s="915"/>
      <c r="M128" s="915"/>
      <c r="N128" s="916"/>
      <c r="O128" s="916"/>
      <c r="P128" s="916"/>
      <c r="Q128" s="1247"/>
      <c r="R128" s="1252"/>
      <c r="S128" s="1252"/>
      <c r="T128" s="1252"/>
      <c r="U128" s="1252"/>
      <c r="V128" s="1252"/>
      <c r="W128" s="1252"/>
      <c r="X128" s="1252"/>
      <c r="Y128" s="1252"/>
      <c r="Z128" s="1252"/>
      <c r="AA128" s="917"/>
      <c r="AB128" s="917"/>
      <c r="AC128" s="917"/>
      <c r="AD128" s="917"/>
      <c r="AE128" s="917"/>
      <c r="AF128" s="917"/>
      <c r="AG128" s="917"/>
      <c r="AH128" s="917"/>
      <c r="AI128" s="917"/>
      <c r="AJ128" s="917"/>
      <c r="AK128" s="917"/>
      <c r="AL128" s="917"/>
      <c r="AM128" s="917"/>
      <c r="AN128" s="917"/>
      <c r="AO128" s="917"/>
    </row>
    <row r="129" spans="1:41" s="913" customFormat="1" ht="15.95" hidden="1" customHeight="1">
      <c r="A129" s="1248"/>
      <c r="B129" s="915"/>
      <c r="C129" s="1251"/>
      <c r="D129" s="1251"/>
      <c r="E129" s="1251"/>
      <c r="F129" s="1251"/>
      <c r="G129" s="1251"/>
      <c r="H129" s="1251">
        <v>0</v>
      </c>
      <c r="I129" s="1251"/>
      <c r="J129" s="915"/>
      <c r="K129" s="1251"/>
      <c r="L129" s="915"/>
      <c r="M129" s="915"/>
      <c r="N129" s="916"/>
      <c r="O129" s="916"/>
      <c r="P129" s="916"/>
      <c r="Q129" s="1247"/>
      <c r="R129" s="1252"/>
      <c r="S129" s="1252"/>
      <c r="T129" s="1252"/>
      <c r="U129" s="1252"/>
      <c r="V129" s="1252"/>
      <c r="W129" s="1252"/>
      <c r="X129" s="1252"/>
      <c r="Y129" s="1252"/>
      <c r="Z129" s="1252"/>
      <c r="AA129" s="917"/>
      <c r="AB129" s="917"/>
      <c r="AC129" s="917"/>
      <c r="AD129" s="917"/>
      <c r="AE129" s="917"/>
      <c r="AF129" s="917"/>
      <c r="AG129" s="917"/>
      <c r="AH129" s="917"/>
      <c r="AI129" s="917"/>
      <c r="AJ129" s="917"/>
      <c r="AK129" s="917"/>
      <c r="AL129" s="917"/>
      <c r="AM129" s="917"/>
      <c r="AN129" s="917"/>
      <c r="AO129" s="917"/>
    </row>
    <row r="130" spans="1:41" s="913" customFormat="1" ht="15.95" hidden="1" customHeight="1">
      <c r="A130" s="1248"/>
      <c r="B130" s="915"/>
      <c r="C130" s="1251"/>
      <c r="D130" s="1251"/>
      <c r="E130" s="1251"/>
      <c r="F130" s="1251"/>
      <c r="G130" s="1251"/>
      <c r="H130" s="1251">
        <v>0</v>
      </c>
      <c r="I130" s="1251"/>
      <c r="J130" s="915"/>
      <c r="K130" s="1251"/>
      <c r="L130" s="915"/>
      <c r="M130" s="915"/>
      <c r="N130" s="916"/>
      <c r="O130" s="916"/>
      <c r="P130" s="916"/>
      <c r="Q130" s="1247"/>
      <c r="R130" s="1252"/>
      <c r="S130" s="1252"/>
      <c r="T130" s="1252"/>
      <c r="U130" s="1252"/>
      <c r="V130" s="1252"/>
      <c r="W130" s="1252"/>
      <c r="X130" s="1252"/>
      <c r="Y130" s="1252"/>
      <c r="Z130" s="1252"/>
      <c r="AA130" s="917"/>
      <c r="AB130" s="917"/>
      <c r="AC130" s="917"/>
      <c r="AD130" s="917"/>
      <c r="AE130" s="917"/>
      <c r="AF130" s="917"/>
      <c r="AG130" s="917"/>
      <c r="AH130" s="917"/>
      <c r="AI130" s="917"/>
      <c r="AJ130" s="917"/>
      <c r="AK130" s="917"/>
      <c r="AL130" s="917"/>
      <c r="AM130" s="917"/>
      <c r="AN130" s="917"/>
      <c r="AO130" s="917"/>
    </row>
    <row r="131" spans="1:41" s="913" customFormat="1" ht="15.95" hidden="1" customHeight="1">
      <c r="A131" s="1248"/>
      <c r="B131" s="915"/>
      <c r="C131" s="1251"/>
      <c r="D131" s="1251"/>
      <c r="E131" s="1251"/>
      <c r="F131" s="1251"/>
      <c r="G131" s="1251"/>
      <c r="H131" s="1251">
        <v>0</v>
      </c>
      <c r="I131" s="1251"/>
      <c r="J131" s="915"/>
      <c r="K131" s="1251"/>
      <c r="L131" s="915"/>
      <c r="M131" s="915"/>
      <c r="N131" s="916"/>
      <c r="O131" s="916"/>
      <c r="P131" s="916"/>
      <c r="Q131" s="1247"/>
      <c r="R131" s="1252"/>
      <c r="S131" s="1252"/>
      <c r="T131" s="1252"/>
      <c r="U131" s="1252"/>
      <c r="V131" s="1252"/>
      <c r="W131" s="1252"/>
      <c r="X131" s="1252"/>
      <c r="Y131" s="1252"/>
      <c r="Z131" s="1252"/>
      <c r="AA131" s="917"/>
      <c r="AB131" s="917"/>
      <c r="AC131" s="917"/>
      <c r="AD131" s="917"/>
      <c r="AE131" s="917"/>
      <c r="AF131" s="917"/>
      <c r="AG131" s="917"/>
      <c r="AH131" s="917"/>
      <c r="AI131" s="917"/>
      <c r="AJ131" s="917"/>
      <c r="AK131" s="917"/>
      <c r="AL131" s="917"/>
      <c r="AM131" s="917"/>
      <c r="AN131" s="917"/>
      <c r="AO131" s="917"/>
    </row>
    <row r="132" spans="1:41" s="913" customFormat="1" ht="15.95" hidden="1" customHeight="1">
      <c r="A132" s="1248"/>
      <c r="B132" s="915"/>
      <c r="C132" s="1251"/>
      <c r="D132" s="1251"/>
      <c r="E132" s="1251"/>
      <c r="F132" s="1251"/>
      <c r="G132" s="1251"/>
      <c r="H132" s="1251">
        <v>0</v>
      </c>
      <c r="I132" s="1251"/>
      <c r="J132" s="915"/>
      <c r="K132" s="1251"/>
      <c r="L132" s="915"/>
      <c r="M132" s="915"/>
      <c r="N132" s="916"/>
      <c r="O132" s="916"/>
      <c r="P132" s="916"/>
      <c r="Q132" s="1247"/>
      <c r="R132" s="1252"/>
      <c r="S132" s="1252"/>
      <c r="T132" s="1252"/>
      <c r="U132" s="1252"/>
      <c r="V132" s="1252"/>
      <c r="W132" s="1252"/>
      <c r="X132" s="1252"/>
      <c r="Y132" s="1252"/>
      <c r="Z132" s="1252"/>
      <c r="AA132" s="917"/>
      <c r="AB132" s="917"/>
      <c r="AC132" s="917"/>
      <c r="AD132" s="917"/>
      <c r="AE132" s="917"/>
      <c r="AF132" s="917"/>
      <c r="AG132" s="917"/>
      <c r="AH132" s="917"/>
      <c r="AI132" s="917"/>
      <c r="AJ132" s="917"/>
      <c r="AK132" s="917"/>
      <c r="AL132" s="917"/>
      <c r="AM132" s="917"/>
      <c r="AN132" s="917"/>
      <c r="AO132" s="917"/>
    </row>
    <row r="133" spans="1:41" s="913" customFormat="1" ht="15.95" hidden="1" customHeight="1">
      <c r="A133" s="1248"/>
      <c r="B133" s="915"/>
      <c r="C133" s="1251"/>
      <c r="D133" s="1251"/>
      <c r="E133" s="1251"/>
      <c r="F133" s="1251"/>
      <c r="G133" s="1251"/>
      <c r="H133" s="1251">
        <v>0</v>
      </c>
      <c r="I133" s="1251"/>
      <c r="J133" s="915"/>
      <c r="K133" s="1251"/>
      <c r="L133" s="915"/>
      <c r="M133" s="915"/>
      <c r="N133" s="916"/>
      <c r="O133" s="916"/>
      <c r="P133" s="916"/>
      <c r="Q133" s="1247"/>
      <c r="R133" s="1252"/>
      <c r="S133" s="1252"/>
      <c r="T133" s="1252"/>
      <c r="U133" s="1252"/>
      <c r="V133" s="1252"/>
      <c r="W133" s="1252"/>
      <c r="X133" s="1252"/>
      <c r="Y133" s="1252"/>
      <c r="Z133" s="1252"/>
      <c r="AA133" s="917"/>
      <c r="AB133" s="917"/>
      <c r="AC133" s="917"/>
      <c r="AD133" s="917"/>
      <c r="AE133" s="917"/>
      <c r="AF133" s="917"/>
      <c r="AG133" s="917"/>
      <c r="AH133" s="917"/>
      <c r="AI133" s="917"/>
      <c r="AJ133" s="917"/>
      <c r="AK133" s="917"/>
      <c r="AL133" s="917"/>
      <c r="AM133" s="917"/>
      <c r="AN133" s="917"/>
      <c r="AO133" s="917"/>
    </row>
    <row r="134" spans="1:41" s="913" customFormat="1" ht="15.95" hidden="1" customHeight="1">
      <c r="A134" s="1248"/>
      <c r="B134" s="915"/>
      <c r="C134" s="1251"/>
      <c r="D134" s="1251"/>
      <c r="E134" s="1251"/>
      <c r="F134" s="1251"/>
      <c r="G134" s="1251"/>
      <c r="H134" s="1251">
        <v>0</v>
      </c>
      <c r="I134" s="1251"/>
      <c r="J134" s="915"/>
      <c r="K134" s="1251"/>
      <c r="L134" s="915"/>
      <c r="M134" s="915"/>
      <c r="N134" s="916"/>
      <c r="O134" s="916"/>
      <c r="P134" s="916"/>
      <c r="Q134" s="1247"/>
      <c r="R134" s="1252"/>
      <c r="S134" s="1252"/>
      <c r="T134" s="1252"/>
      <c r="U134" s="1252"/>
      <c r="V134" s="1252"/>
      <c r="W134" s="1252"/>
      <c r="X134" s="1252"/>
      <c r="Y134" s="1252"/>
      <c r="Z134" s="1252"/>
      <c r="AA134" s="917"/>
      <c r="AB134" s="917"/>
      <c r="AC134" s="917"/>
      <c r="AD134" s="917"/>
      <c r="AE134" s="917"/>
      <c r="AF134" s="917"/>
      <c r="AG134" s="917"/>
      <c r="AH134" s="917"/>
      <c r="AI134" s="917"/>
      <c r="AJ134" s="917"/>
      <c r="AK134" s="917"/>
      <c r="AL134" s="917"/>
      <c r="AM134" s="917"/>
      <c r="AN134" s="917"/>
      <c r="AO134" s="917"/>
    </row>
    <row r="135" spans="1:41" s="913" customFormat="1" ht="15.95" hidden="1" customHeight="1">
      <c r="A135" s="1248"/>
      <c r="B135" s="915"/>
      <c r="C135" s="1251"/>
      <c r="D135" s="1251"/>
      <c r="E135" s="1251"/>
      <c r="F135" s="1251"/>
      <c r="G135" s="1251"/>
      <c r="H135" s="1251">
        <v>0</v>
      </c>
      <c r="I135" s="1251"/>
      <c r="J135" s="915"/>
      <c r="K135" s="1251"/>
      <c r="L135" s="915"/>
      <c r="M135" s="915"/>
      <c r="N135" s="916"/>
      <c r="O135" s="916"/>
      <c r="P135" s="916"/>
      <c r="Q135" s="1247"/>
      <c r="R135" s="1252"/>
      <c r="S135" s="1252"/>
      <c r="T135" s="1252"/>
      <c r="U135" s="1252"/>
      <c r="V135" s="1252"/>
      <c r="W135" s="1252"/>
      <c r="X135" s="1252"/>
      <c r="Y135" s="1252"/>
      <c r="Z135" s="1252"/>
      <c r="AA135" s="917"/>
      <c r="AB135" s="917"/>
      <c r="AC135" s="917"/>
      <c r="AD135" s="917"/>
      <c r="AE135" s="917"/>
      <c r="AF135" s="917"/>
      <c r="AG135" s="917"/>
      <c r="AH135" s="917"/>
      <c r="AI135" s="917"/>
      <c r="AJ135" s="917"/>
      <c r="AK135" s="917"/>
      <c r="AL135" s="917"/>
      <c r="AM135" s="917"/>
      <c r="AN135" s="917"/>
      <c r="AO135" s="917"/>
    </row>
    <row r="136" spans="1:41" s="913" customFormat="1" ht="15.95" hidden="1" customHeight="1">
      <c r="A136" s="1248"/>
      <c r="B136" s="915"/>
      <c r="C136" s="1251"/>
      <c r="D136" s="1251"/>
      <c r="E136" s="1251"/>
      <c r="F136" s="1251"/>
      <c r="G136" s="1251"/>
      <c r="H136" s="1251">
        <v>0</v>
      </c>
      <c r="I136" s="1251"/>
      <c r="J136" s="915"/>
      <c r="K136" s="1251"/>
      <c r="L136" s="915"/>
      <c r="M136" s="915"/>
      <c r="N136" s="916"/>
      <c r="O136" s="916"/>
      <c r="P136" s="916"/>
      <c r="Q136" s="1247"/>
      <c r="R136" s="1252"/>
      <c r="S136" s="1252"/>
      <c r="T136" s="1252"/>
      <c r="U136" s="1252"/>
      <c r="V136" s="1252"/>
      <c r="W136" s="1252"/>
      <c r="X136" s="1252"/>
      <c r="Y136" s="1252"/>
      <c r="Z136" s="1252"/>
      <c r="AA136" s="917"/>
      <c r="AB136" s="917"/>
      <c r="AC136" s="917"/>
      <c r="AD136" s="917"/>
      <c r="AE136" s="917"/>
      <c r="AF136" s="917"/>
      <c r="AG136" s="917"/>
      <c r="AH136" s="917"/>
      <c r="AI136" s="917"/>
      <c r="AJ136" s="917"/>
      <c r="AK136" s="917"/>
      <c r="AL136" s="917"/>
      <c r="AM136" s="917"/>
      <c r="AN136" s="917"/>
      <c r="AO136" s="917"/>
    </row>
    <row r="137" spans="1:41" s="913" customFormat="1" ht="15.95" hidden="1" customHeight="1">
      <c r="A137" s="1248"/>
      <c r="B137" s="915"/>
      <c r="C137" s="1251"/>
      <c r="D137" s="1251"/>
      <c r="E137" s="1251"/>
      <c r="F137" s="1251"/>
      <c r="G137" s="1251"/>
      <c r="H137" s="1251"/>
      <c r="I137" s="1251"/>
      <c r="J137" s="915"/>
      <c r="K137" s="1251"/>
      <c r="L137" s="915"/>
      <c r="M137" s="915"/>
      <c r="N137" s="916"/>
      <c r="O137" s="916"/>
      <c r="P137" s="916"/>
      <c r="Q137" s="1247"/>
      <c r="R137" s="1252"/>
      <c r="S137" s="1252"/>
      <c r="T137" s="1252"/>
      <c r="U137" s="1252"/>
      <c r="V137" s="1252"/>
      <c r="W137" s="1252"/>
      <c r="X137" s="1252"/>
      <c r="Y137" s="1252"/>
      <c r="Z137" s="1252"/>
      <c r="AA137" s="917"/>
      <c r="AB137" s="917"/>
      <c r="AC137" s="917"/>
      <c r="AD137" s="917"/>
      <c r="AE137" s="917"/>
      <c r="AF137" s="917"/>
      <c r="AG137" s="917"/>
      <c r="AH137" s="917"/>
      <c r="AI137" s="917"/>
      <c r="AJ137" s="917"/>
      <c r="AK137" s="917"/>
      <c r="AL137" s="917"/>
      <c r="AM137" s="917"/>
      <c r="AN137" s="917"/>
      <c r="AO137" s="917"/>
    </row>
    <row r="138" spans="1:41" s="913" customFormat="1" ht="15.95" hidden="1" customHeight="1">
      <c r="A138" s="1248"/>
      <c r="B138" s="915"/>
      <c r="C138" s="1251"/>
      <c r="D138" s="1251"/>
      <c r="E138" s="1251"/>
      <c r="F138" s="1251"/>
      <c r="G138" s="1251"/>
      <c r="H138" s="1251"/>
      <c r="I138" s="1251"/>
      <c r="J138" s="915"/>
      <c r="K138" s="1251"/>
      <c r="L138" s="915"/>
      <c r="M138" s="915"/>
      <c r="N138" s="916"/>
      <c r="O138" s="916"/>
      <c r="P138" s="916"/>
      <c r="Q138" s="1247"/>
      <c r="R138" s="1252"/>
      <c r="S138" s="1252"/>
      <c r="T138" s="1252"/>
      <c r="U138" s="1252"/>
      <c r="V138" s="1252"/>
      <c r="W138" s="1252"/>
      <c r="X138" s="1252"/>
      <c r="Y138" s="1252"/>
      <c r="Z138" s="1252"/>
      <c r="AA138" s="917"/>
      <c r="AB138" s="917"/>
      <c r="AC138" s="917"/>
      <c r="AD138" s="917"/>
      <c r="AE138" s="917"/>
      <c r="AF138" s="917"/>
      <c r="AG138" s="917"/>
      <c r="AH138" s="917"/>
      <c r="AI138" s="917"/>
      <c r="AJ138" s="917"/>
      <c r="AK138" s="917"/>
      <c r="AL138" s="917"/>
      <c r="AM138" s="917"/>
      <c r="AN138" s="917"/>
      <c r="AO138" s="917"/>
    </row>
    <row r="139" spans="1:41" s="913" customFormat="1" ht="15.95" hidden="1" customHeight="1">
      <c r="A139" s="1248"/>
      <c r="B139" s="915"/>
      <c r="C139" s="1251"/>
      <c r="D139" s="1251"/>
      <c r="E139" s="1251"/>
      <c r="F139" s="1251"/>
      <c r="G139" s="1251"/>
      <c r="H139" s="1251"/>
      <c r="I139" s="1251"/>
      <c r="J139" s="915"/>
      <c r="K139" s="1251"/>
      <c r="L139" s="915"/>
      <c r="M139" s="915"/>
      <c r="N139" s="916"/>
      <c r="O139" s="916"/>
      <c r="P139" s="916"/>
      <c r="Q139" s="1247"/>
      <c r="R139" s="1252"/>
      <c r="S139" s="1252"/>
      <c r="T139" s="1252"/>
      <c r="U139" s="1252"/>
      <c r="V139" s="1252"/>
      <c r="W139" s="1252"/>
      <c r="X139" s="1252"/>
      <c r="Y139" s="1252"/>
      <c r="Z139" s="1252"/>
      <c r="AA139" s="917"/>
      <c r="AB139" s="917"/>
      <c r="AC139" s="917"/>
      <c r="AD139" s="917"/>
      <c r="AE139" s="917"/>
      <c r="AF139" s="917"/>
      <c r="AG139" s="917"/>
      <c r="AH139" s="917"/>
      <c r="AI139" s="917"/>
      <c r="AJ139" s="917"/>
      <c r="AK139" s="917"/>
      <c r="AL139" s="917"/>
      <c r="AM139" s="917"/>
      <c r="AN139" s="917"/>
      <c r="AO139" s="917"/>
    </row>
    <row r="140" spans="1:41" s="913" customFormat="1" ht="15.95" hidden="1" customHeight="1">
      <c r="A140" s="1248"/>
      <c r="B140" s="915"/>
      <c r="C140" s="1251"/>
      <c r="D140" s="1251"/>
      <c r="E140" s="1251"/>
      <c r="F140" s="1251"/>
      <c r="G140" s="1251"/>
      <c r="H140" s="1251"/>
      <c r="I140" s="1251"/>
      <c r="J140" s="915"/>
      <c r="K140" s="1251"/>
      <c r="L140" s="915"/>
      <c r="M140" s="915"/>
      <c r="N140" s="916"/>
      <c r="O140" s="916"/>
      <c r="P140" s="916"/>
      <c r="Q140" s="1247"/>
      <c r="R140" s="1252"/>
      <c r="S140" s="1252"/>
      <c r="T140" s="1252"/>
      <c r="U140" s="1252"/>
      <c r="V140" s="1252"/>
      <c r="W140" s="1252"/>
      <c r="X140" s="1252"/>
      <c r="Y140" s="1252"/>
      <c r="Z140" s="1252"/>
      <c r="AA140" s="917"/>
      <c r="AB140" s="917"/>
      <c r="AC140" s="917"/>
      <c r="AD140" s="917"/>
      <c r="AE140" s="917"/>
      <c r="AF140" s="917"/>
      <c r="AG140" s="917"/>
      <c r="AH140" s="917"/>
      <c r="AI140" s="917"/>
      <c r="AJ140" s="917"/>
      <c r="AK140" s="917"/>
      <c r="AL140" s="917"/>
      <c r="AM140" s="917"/>
      <c r="AN140" s="917"/>
      <c r="AO140" s="917"/>
    </row>
    <row r="141" spans="1:41" s="913" customFormat="1" ht="15.95" hidden="1" customHeight="1">
      <c r="A141" s="1248"/>
      <c r="B141" s="915"/>
      <c r="C141" s="1251"/>
      <c r="D141" s="1251"/>
      <c r="E141" s="1251"/>
      <c r="F141" s="1251"/>
      <c r="G141" s="1251"/>
      <c r="H141" s="1251"/>
      <c r="I141" s="1251"/>
      <c r="J141" s="915"/>
      <c r="K141" s="1251"/>
      <c r="L141" s="915"/>
      <c r="M141" s="915"/>
      <c r="N141" s="916"/>
      <c r="O141" s="916"/>
      <c r="P141" s="916"/>
      <c r="Q141" s="1247"/>
      <c r="R141" s="1252"/>
      <c r="S141" s="1252"/>
      <c r="T141" s="1252"/>
      <c r="U141" s="1252"/>
      <c r="V141" s="1252"/>
      <c r="W141" s="1252"/>
      <c r="X141" s="1252"/>
      <c r="Y141" s="1252"/>
      <c r="Z141" s="1252"/>
      <c r="AA141" s="917"/>
      <c r="AB141" s="917"/>
      <c r="AC141" s="917"/>
      <c r="AD141" s="917"/>
      <c r="AE141" s="917"/>
      <c r="AF141" s="917"/>
      <c r="AG141" s="917"/>
      <c r="AH141" s="917"/>
      <c r="AI141" s="917"/>
      <c r="AJ141" s="917"/>
      <c r="AK141" s="917"/>
      <c r="AL141" s="917"/>
      <c r="AM141" s="917"/>
      <c r="AN141" s="917"/>
      <c r="AO141" s="917"/>
    </row>
    <row r="142" spans="1:41" s="913" customFormat="1" ht="15.95" hidden="1" customHeight="1">
      <c r="A142" s="1248"/>
      <c r="B142" s="915"/>
      <c r="C142" s="1251"/>
      <c r="D142" s="1251"/>
      <c r="E142" s="1251"/>
      <c r="F142" s="1251"/>
      <c r="G142" s="1251"/>
      <c r="H142" s="1251"/>
      <c r="I142" s="1251"/>
      <c r="J142" s="915"/>
      <c r="K142" s="1251"/>
      <c r="L142" s="915"/>
      <c r="M142" s="915"/>
      <c r="N142" s="916"/>
      <c r="O142" s="916"/>
      <c r="P142" s="916"/>
      <c r="Q142" s="1247"/>
      <c r="R142" s="1252"/>
      <c r="S142" s="1252"/>
      <c r="T142" s="1252"/>
      <c r="U142" s="1252"/>
      <c r="V142" s="1252"/>
      <c r="W142" s="1252"/>
      <c r="X142" s="1252"/>
      <c r="Y142" s="1252"/>
      <c r="Z142" s="1252"/>
      <c r="AA142" s="917"/>
      <c r="AB142" s="917"/>
      <c r="AC142" s="917"/>
      <c r="AD142" s="917"/>
      <c r="AE142" s="917"/>
      <c r="AF142" s="917"/>
      <c r="AG142" s="917"/>
      <c r="AH142" s="917"/>
      <c r="AI142" s="917"/>
      <c r="AJ142" s="917"/>
      <c r="AK142" s="917"/>
      <c r="AL142" s="917"/>
      <c r="AM142" s="917"/>
      <c r="AN142" s="917"/>
      <c r="AO142" s="917"/>
    </row>
    <row r="143" spans="1:41" s="913" customFormat="1" ht="15.95" hidden="1" customHeight="1">
      <c r="A143" s="1248"/>
      <c r="B143" s="915"/>
      <c r="C143" s="1251"/>
      <c r="D143" s="1251"/>
      <c r="E143" s="1251"/>
      <c r="F143" s="1251"/>
      <c r="G143" s="1251"/>
      <c r="H143" s="1251"/>
      <c r="I143" s="1251"/>
      <c r="J143" s="915"/>
      <c r="K143" s="1251"/>
      <c r="L143" s="915"/>
      <c r="M143" s="915"/>
      <c r="N143" s="916"/>
      <c r="O143" s="916"/>
      <c r="P143" s="916"/>
      <c r="Q143" s="1247"/>
      <c r="R143" s="1252"/>
      <c r="S143" s="1252"/>
      <c r="T143" s="1252"/>
      <c r="U143" s="1252"/>
      <c r="V143" s="1252"/>
      <c r="W143" s="1252"/>
      <c r="X143" s="1252"/>
      <c r="Y143" s="1252"/>
      <c r="Z143" s="1252"/>
      <c r="AA143" s="917"/>
      <c r="AB143" s="917"/>
      <c r="AC143" s="917"/>
      <c r="AD143" s="917"/>
      <c r="AE143" s="917"/>
      <c r="AF143" s="917"/>
      <c r="AG143" s="917"/>
      <c r="AH143" s="917"/>
      <c r="AI143" s="917"/>
      <c r="AJ143" s="917"/>
      <c r="AK143" s="917"/>
      <c r="AL143" s="917"/>
      <c r="AM143" s="917"/>
      <c r="AN143" s="917"/>
      <c r="AO143" s="917"/>
    </row>
    <row r="144" spans="1:41" s="913" customFormat="1" ht="15.95" hidden="1" customHeight="1">
      <c r="A144" s="1248"/>
      <c r="B144" s="915"/>
      <c r="C144" s="1251"/>
      <c r="D144" s="1251"/>
      <c r="E144" s="1251"/>
      <c r="F144" s="1251"/>
      <c r="G144" s="1251"/>
      <c r="H144" s="1251"/>
      <c r="I144" s="1251"/>
      <c r="J144" s="915"/>
      <c r="K144" s="1251"/>
      <c r="L144" s="915"/>
      <c r="M144" s="915"/>
      <c r="N144" s="916"/>
      <c r="O144" s="916"/>
      <c r="P144" s="916"/>
      <c r="Q144" s="1247"/>
      <c r="R144" s="1252"/>
      <c r="S144" s="1252"/>
      <c r="T144" s="1252"/>
      <c r="U144" s="1252"/>
      <c r="V144" s="1252"/>
      <c r="W144" s="1252"/>
      <c r="X144" s="1252"/>
      <c r="Y144" s="1252"/>
      <c r="Z144" s="1252"/>
      <c r="AA144" s="917"/>
      <c r="AB144" s="917"/>
      <c r="AC144" s="917"/>
      <c r="AD144" s="917"/>
      <c r="AE144" s="917"/>
      <c r="AF144" s="917"/>
      <c r="AG144" s="917"/>
      <c r="AH144" s="917"/>
      <c r="AI144" s="917"/>
      <c r="AJ144" s="917"/>
      <c r="AK144" s="917"/>
      <c r="AL144" s="917"/>
      <c r="AM144" s="917"/>
      <c r="AN144" s="917"/>
      <c r="AO144" s="917"/>
    </row>
    <row r="145" spans="1:41" s="913" customFormat="1" ht="15.95" hidden="1" customHeight="1">
      <c r="A145" s="1248"/>
      <c r="B145" s="915"/>
      <c r="C145" s="1251"/>
      <c r="D145" s="1251"/>
      <c r="E145" s="1251"/>
      <c r="F145" s="1251"/>
      <c r="G145" s="1251"/>
      <c r="H145" s="1251"/>
      <c r="I145" s="1251"/>
      <c r="J145" s="915"/>
      <c r="K145" s="1251"/>
      <c r="L145" s="915"/>
      <c r="M145" s="915"/>
      <c r="N145" s="916"/>
      <c r="O145" s="916"/>
      <c r="P145" s="916"/>
      <c r="Q145" s="1247"/>
      <c r="R145" s="1252"/>
      <c r="S145" s="1252"/>
      <c r="T145" s="1252"/>
      <c r="U145" s="1252"/>
      <c r="V145" s="1252"/>
      <c r="W145" s="1252"/>
      <c r="X145" s="1252"/>
      <c r="Y145" s="1252"/>
      <c r="Z145" s="1252"/>
      <c r="AA145" s="917"/>
      <c r="AB145" s="917"/>
      <c r="AC145" s="917"/>
      <c r="AD145" s="917"/>
      <c r="AE145" s="917"/>
      <c r="AF145" s="917"/>
      <c r="AG145" s="917"/>
      <c r="AH145" s="917"/>
      <c r="AI145" s="917"/>
      <c r="AJ145" s="917"/>
      <c r="AK145" s="917"/>
      <c r="AL145" s="917"/>
      <c r="AM145" s="917"/>
      <c r="AN145" s="917"/>
      <c r="AO145" s="917"/>
    </row>
    <row r="146" spans="1:41" s="913" customFormat="1" ht="15.95" hidden="1" customHeight="1">
      <c r="A146" s="1248"/>
      <c r="B146" s="915"/>
      <c r="C146" s="1251"/>
      <c r="D146" s="1251"/>
      <c r="E146" s="1251"/>
      <c r="F146" s="1251"/>
      <c r="G146" s="1251"/>
      <c r="H146" s="1251"/>
      <c r="I146" s="1251"/>
      <c r="J146" s="915"/>
      <c r="K146" s="1251"/>
      <c r="L146" s="915"/>
      <c r="M146" s="915"/>
      <c r="N146" s="916"/>
      <c r="O146" s="916"/>
      <c r="P146" s="916"/>
      <c r="Q146" s="1247"/>
      <c r="R146" s="1252"/>
      <c r="S146" s="1252"/>
      <c r="T146" s="1252"/>
      <c r="U146" s="1252"/>
      <c r="V146" s="1252"/>
      <c r="W146" s="1252"/>
      <c r="X146" s="1252"/>
      <c r="Y146" s="1252"/>
      <c r="Z146" s="1252"/>
      <c r="AA146" s="917"/>
      <c r="AB146" s="917"/>
      <c r="AC146" s="917"/>
      <c r="AD146" s="917"/>
      <c r="AE146" s="917"/>
      <c r="AF146" s="917"/>
      <c r="AG146" s="917"/>
      <c r="AH146" s="917"/>
      <c r="AI146" s="917"/>
      <c r="AJ146" s="917"/>
      <c r="AK146" s="917"/>
      <c r="AL146" s="917"/>
      <c r="AM146" s="917"/>
      <c r="AN146" s="917"/>
      <c r="AO146" s="917"/>
    </row>
    <row r="147" spans="1:41" s="913" customFormat="1" ht="15.95" hidden="1" customHeight="1">
      <c r="A147" s="1248"/>
      <c r="B147" s="915"/>
      <c r="C147" s="1251"/>
      <c r="D147" s="1251"/>
      <c r="E147" s="1251"/>
      <c r="F147" s="1251"/>
      <c r="G147" s="1251"/>
      <c r="H147" s="1251"/>
      <c r="I147" s="1251"/>
      <c r="J147" s="915"/>
      <c r="K147" s="1251"/>
      <c r="L147" s="915"/>
      <c r="M147" s="915"/>
      <c r="N147" s="916"/>
      <c r="O147" s="916"/>
      <c r="P147" s="916"/>
      <c r="Q147" s="1247"/>
      <c r="R147" s="1252"/>
      <c r="S147" s="1252"/>
      <c r="T147" s="1252"/>
      <c r="U147" s="1252"/>
      <c r="V147" s="1252"/>
      <c r="W147" s="1252"/>
      <c r="X147" s="1252"/>
      <c r="Y147" s="1252"/>
      <c r="Z147" s="1252"/>
      <c r="AA147" s="917"/>
      <c r="AB147" s="917"/>
      <c r="AC147" s="917"/>
      <c r="AD147" s="917"/>
      <c r="AE147" s="917"/>
      <c r="AF147" s="917"/>
      <c r="AG147" s="917"/>
      <c r="AH147" s="917"/>
      <c r="AI147" s="917"/>
      <c r="AJ147" s="917"/>
      <c r="AK147" s="917"/>
      <c r="AL147" s="917"/>
      <c r="AM147" s="917"/>
      <c r="AN147" s="917"/>
      <c r="AO147" s="917"/>
    </row>
    <row r="148" spans="1:41" s="913" customFormat="1" ht="15.95" hidden="1" customHeight="1">
      <c r="A148" s="1248"/>
      <c r="B148" s="915"/>
      <c r="C148" s="1251"/>
      <c r="D148" s="1251"/>
      <c r="E148" s="1251"/>
      <c r="F148" s="1251"/>
      <c r="G148" s="1251"/>
      <c r="H148" s="1251"/>
      <c r="I148" s="1251"/>
      <c r="J148" s="915"/>
      <c r="K148" s="1251"/>
      <c r="L148" s="915"/>
      <c r="M148" s="915"/>
      <c r="N148" s="916"/>
      <c r="O148" s="916"/>
      <c r="P148" s="916"/>
      <c r="Q148" s="1247"/>
      <c r="R148" s="1252"/>
      <c r="S148" s="1252"/>
      <c r="T148" s="1252"/>
      <c r="U148" s="1252"/>
      <c r="V148" s="1252"/>
      <c r="W148" s="1252"/>
      <c r="X148" s="1252"/>
      <c r="Y148" s="1252"/>
      <c r="Z148" s="1252"/>
      <c r="AA148" s="917"/>
      <c r="AB148" s="917"/>
      <c r="AC148" s="917"/>
      <c r="AD148" s="917"/>
      <c r="AE148" s="917"/>
      <c r="AF148" s="917"/>
      <c r="AG148" s="917"/>
      <c r="AH148" s="917"/>
      <c r="AI148" s="917"/>
      <c r="AJ148" s="917"/>
      <c r="AK148" s="917"/>
      <c r="AL148" s="917"/>
      <c r="AM148" s="917"/>
      <c r="AN148" s="917"/>
      <c r="AO148" s="917"/>
    </row>
    <row r="149" spans="1:41" s="913" customFormat="1" ht="15.95" hidden="1" customHeight="1">
      <c r="A149" s="1248"/>
      <c r="B149" s="915"/>
      <c r="C149" s="1251"/>
      <c r="D149" s="1251"/>
      <c r="E149" s="1251"/>
      <c r="F149" s="1251"/>
      <c r="G149" s="1251"/>
      <c r="H149" s="1251"/>
      <c r="I149" s="1251"/>
      <c r="J149" s="915"/>
      <c r="K149" s="1251"/>
      <c r="L149" s="915"/>
      <c r="M149" s="915"/>
      <c r="N149" s="916"/>
      <c r="O149" s="916"/>
      <c r="P149" s="916"/>
      <c r="Q149" s="1247"/>
      <c r="R149" s="1252"/>
      <c r="S149" s="1252"/>
      <c r="T149" s="1252"/>
      <c r="U149" s="1252"/>
      <c r="V149" s="1252"/>
      <c r="W149" s="1252"/>
      <c r="X149" s="1252"/>
      <c r="Y149" s="1252"/>
      <c r="Z149" s="1252"/>
      <c r="AA149" s="917"/>
      <c r="AB149" s="917"/>
      <c r="AC149" s="917"/>
      <c r="AD149" s="917"/>
      <c r="AE149" s="917"/>
      <c r="AF149" s="917"/>
      <c r="AG149" s="917"/>
      <c r="AH149" s="917"/>
      <c r="AI149" s="917"/>
      <c r="AJ149" s="917"/>
      <c r="AK149" s="917"/>
      <c r="AL149" s="917"/>
      <c r="AM149" s="917"/>
      <c r="AN149" s="917"/>
      <c r="AO149" s="917"/>
    </row>
    <row r="150" spans="1:41" s="913" customFormat="1" ht="15.95" hidden="1" customHeight="1">
      <c r="A150" s="1248"/>
      <c r="B150" s="915"/>
      <c r="C150" s="1251"/>
      <c r="D150" s="1251"/>
      <c r="E150" s="1251"/>
      <c r="F150" s="1251"/>
      <c r="G150" s="1251"/>
      <c r="H150" s="1251"/>
      <c r="I150" s="1251"/>
      <c r="J150" s="915"/>
      <c r="K150" s="1251"/>
      <c r="L150" s="915"/>
      <c r="M150" s="915"/>
      <c r="N150" s="916"/>
      <c r="O150" s="916"/>
      <c r="P150" s="916"/>
      <c r="Q150" s="1247"/>
      <c r="R150" s="1252"/>
      <c r="S150" s="1252"/>
      <c r="T150" s="1252"/>
      <c r="U150" s="1252"/>
      <c r="V150" s="1252"/>
      <c r="W150" s="1252"/>
      <c r="X150" s="1252"/>
      <c r="Y150" s="1252"/>
      <c r="Z150" s="1252"/>
      <c r="AA150" s="917"/>
      <c r="AB150" s="917"/>
      <c r="AC150" s="917"/>
      <c r="AD150" s="917"/>
      <c r="AE150" s="917"/>
      <c r="AF150" s="917"/>
      <c r="AG150" s="917"/>
      <c r="AH150" s="917"/>
      <c r="AI150" s="917"/>
      <c r="AJ150" s="917"/>
      <c r="AK150" s="917"/>
      <c r="AL150" s="917"/>
      <c r="AM150" s="917"/>
      <c r="AN150" s="917"/>
      <c r="AO150" s="917"/>
    </row>
    <row r="151" spans="1:41" s="913" customFormat="1" ht="15.95" hidden="1" customHeight="1">
      <c r="A151" s="1248"/>
      <c r="B151" s="915"/>
      <c r="C151" s="1251"/>
      <c r="D151" s="1251"/>
      <c r="E151" s="1251"/>
      <c r="F151" s="1251"/>
      <c r="G151" s="1251"/>
      <c r="H151" s="1251"/>
      <c r="I151" s="1251"/>
      <c r="J151" s="915"/>
      <c r="K151" s="1251"/>
      <c r="L151" s="915"/>
      <c r="M151" s="915"/>
      <c r="N151" s="916"/>
      <c r="O151" s="916"/>
      <c r="P151" s="916"/>
      <c r="Q151" s="1247"/>
      <c r="R151" s="1252"/>
      <c r="S151" s="1252"/>
      <c r="T151" s="1252"/>
      <c r="U151" s="1252"/>
      <c r="V151" s="1252"/>
      <c r="W151" s="1252"/>
      <c r="X151" s="1252"/>
      <c r="Y151" s="1252"/>
      <c r="Z151" s="1252"/>
      <c r="AA151" s="917"/>
      <c r="AB151" s="917"/>
      <c r="AC151" s="917"/>
      <c r="AD151" s="917"/>
      <c r="AE151" s="917"/>
      <c r="AF151" s="917"/>
      <c r="AG151" s="917"/>
      <c r="AH151" s="917"/>
      <c r="AI151" s="917"/>
      <c r="AJ151" s="917"/>
      <c r="AK151" s="917"/>
      <c r="AL151" s="917"/>
      <c r="AM151" s="917"/>
      <c r="AN151" s="917"/>
      <c r="AO151" s="917"/>
    </row>
    <row r="152" spans="1:41" s="913" customFormat="1" ht="15.95" hidden="1" customHeight="1">
      <c r="A152" s="1248"/>
      <c r="B152" s="915"/>
      <c r="C152" s="1251"/>
      <c r="D152" s="1251"/>
      <c r="E152" s="1251"/>
      <c r="F152" s="1251"/>
      <c r="G152" s="1251"/>
      <c r="H152" s="1251"/>
      <c r="I152" s="1251"/>
      <c r="J152" s="915"/>
      <c r="K152" s="1251"/>
      <c r="L152" s="915"/>
      <c r="M152" s="915"/>
      <c r="N152" s="916"/>
      <c r="O152" s="916"/>
      <c r="P152" s="916"/>
      <c r="Q152" s="1247"/>
      <c r="R152" s="1252"/>
      <c r="S152" s="1252"/>
      <c r="T152" s="1252"/>
      <c r="U152" s="1252"/>
      <c r="V152" s="1252"/>
      <c r="W152" s="1252"/>
      <c r="X152" s="1252"/>
      <c r="Y152" s="1252"/>
      <c r="Z152" s="1252"/>
      <c r="AA152" s="917"/>
      <c r="AB152" s="917"/>
      <c r="AC152" s="917"/>
      <c r="AD152" s="917"/>
      <c r="AE152" s="917"/>
      <c r="AF152" s="917"/>
      <c r="AG152" s="917"/>
      <c r="AH152" s="917"/>
      <c r="AI152" s="917"/>
      <c r="AJ152" s="917"/>
      <c r="AK152" s="917"/>
      <c r="AL152" s="917"/>
      <c r="AM152" s="917"/>
      <c r="AN152" s="917"/>
      <c r="AO152" s="917"/>
    </row>
    <row r="153" spans="1:41" s="913" customFormat="1" ht="15.95" hidden="1" customHeight="1">
      <c r="A153" s="1248"/>
      <c r="B153" s="915"/>
      <c r="C153" s="1251"/>
      <c r="D153" s="1251"/>
      <c r="E153" s="1251"/>
      <c r="F153" s="1251"/>
      <c r="G153" s="1251"/>
      <c r="H153" s="1251"/>
      <c r="I153" s="1251"/>
      <c r="J153" s="915"/>
      <c r="K153" s="1251"/>
      <c r="L153" s="915"/>
      <c r="M153" s="915"/>
      <c r="N153" s="916"/>
      <c r="O153" s="916"/>
      <c r="P153" s="916"/>
      <c r="Q153" s="1247"/>
      <c r="R153" s="1252"/>
      <c r="S153" s="1252"/>
      <c r="T153" s="1252"/>
      <c r="U153" s="1252"/>
      <c r="V153" s="1252"/>
      <c r="W153" s="1252"/>
      <c r="X153" s="1252"/>
      <c r="Y153" s="1252"/>
      <c r="Z153" s="1252"/>
      <c r="AA153" s="917"/>
      <c r="AB153" s="917"/>
      <c r="AC153" s="917"/>
      <c r="AD153" s="917"/>
      <c r="AE153" s="917"/>
      <c r="AF153" s="917"/>
      <c r="AG153" s="917"/>
      <c r="AH153" s="917"/>
      <c r="AI153" s="917"/>
      <c r="AJ153" s="917"/>
      <c r="AK153" s="917"/>
      <c r="AL153" s="917"/>
      <c r="AM153" s="917"/>
      <c r="AN153" s="917"/>
      <c r="AO153" s="917"/>
    </row>
    <row r="154" spans="1:41" s="913" customFormat="1" ht="15.95" hidden="1" customHeight="1">
      <c r="A154" s="1248"/>
      <c r="B154" s="915"/>
      <c r="C154" s="1251"/>
      <c r="D154" s="1251"/>
      <c r="E154" s="1251"/>
      <c r="F154" s="1251"/>
      <c r="G154" s="1251"/>
      <c r="H154" s="1251"/>
      <c r="I154" s="1251"/>
      <c r="J154" s="915"/>
      <c r="K154" s="1251"/>
      <c r="L154" s="915"/>
      <c r="M154" s="915"/>
      <c r="N154" s="916"/>
      <c r="O154" s="916"/>
      <c r="P154" s="916"/>
      <c r="Q154" s="1247"/>
      <c r="R154" s="1252"/>
      <c r="S154" s="1252"/>
      <c r="T154" s="1252"/>
      <c r="U154" s="1252"/>
      <c r="V154" s="1252"/>
      <c r="W154" s="1252"/>
      <c r="X154" s="1252"/>
      <c r="Y154" s="1252"/>
      <c r="Z154" s="1252"/>
      <c r="AA154" s="917"/>
      <c r="AB154" s="917"/>
      <c r="AC154" s="917"/>
      <c r="AD154" s="917"/>
      <c r="AE154" s="917"/>
      <c r="AF154" s="917"/>
      <c r="AG154" s="917"/>
      <c r="AH154" s="917"/>
      <c r="AI154" s="917"/>
      <c r="AJ154" s="917"/>
      <c r="AK154" s="917"/>
      <c r="AL154" s="917"/>
      <c r="AM154" s="917"/>
      <c r="AN154" s="917"/>
      <c r="AO154" s="917"/>
    </row>
    <row r="155" spans="1:41" s="913" customFormat="1" ht="15.95" hidden="1" customHeight="1">
      <c r="A155" s="1248"/>
      <c r="B155" s="915"/>
      <c r="C155" s="1251"/>
      <c r="D155" s="1251"/>
      <c r="E155" s="1251"/>
      <c r="F155" s="1251"/>
      <c r="G155" s="1251"/>
      <c r="H155" s="1251"/>
      <c r="I155" s="1251"/>
      <c r="J155" s="915"/>
      <c r="K155" s="1251"/>
      <c r="L155" s="915"/>
      <c r="M155" s="915"/>
      <c r="N155" s="916"/>
      <c r="O155" s="916"/>
      <c r="P155" s="916"/>
      <c r="Q155" s="1247"/>
      <c r="R155" s="1252"/>
      <c r="S155" s="1252"/>
      <c r="T155" s="1252"/>
      <c r="U155" s="1252"/>
      <c r="V155" s="1252"/>
      <c r="W155" s="1252"/>
      <c r="X155" s="1252"/>
      <c r="Y155" s="1252"/>
      <c r="Z155" s="1252"/>
      <c r="AA155" s="917"/>
      <c r="AB155" s="917"/>
      <c r="AC155" s="917"/>
      <c r="AD155" s="917"/>
      <c r="AE155" s="917"/>
      <c r="AF155" s="917"/>
      <c r="AG155" s="917"/>
      <c r="AH155" s="917"/>
      <c r="AI155" s="917"/>
      <c r="AJ155" s="917"/>
      <c r="AK155" s="917"/>
      <c r="AL155" s="917"/>
      <c r="AM155" s="917"/>
      <c r="AN155" s="917"/>
      <c r="AO155" s="917"/>
    </row>
    <row r="156" spans="1:41" s="913" customFormat="1" ht="15.95" hidden="1" customHeight="1">
      <c r="A156" s="1248"/>
      <c r="B156" s="915"/>
      <c r="C156" s="1251"/>
      <c r="D156" s="1251"/>
      <c r="E156" s="1251"/>
      <c r="F156" s="1251"/>
      <c r="G156" s="1251"/>
      <c r="H156" s="1251"/>
      <c r="I156" s="1251"/>
      <c r="J156" s="915"/>
      <c r="K156" s="1251"/>
      <c r="L156" s="915"/>
      <c r="M156" s="915"/>
      <c r="N156" s="916"/>
      <c r="O156" s="916"/>
      <c r="P156" s="916"/>
      <c r="Q156" s="1247"/>
      <c r="R156" s="1252"/>
      <c r="S156" s="1252"/>
      <c r="T156" s="1252"/>
      <c r="U156" s="1252"/>
      <c r="V156" s="1252"/>
      <c r="W156" s="1252"/>
      <c r="X156" s="1252"/>
      <c r="Y156" s="1252"/>
      <c r="Z156" s="1252"/>
      <c r="AA156" s="917"/>
      <c r="AB156" s="917"/>
      <c r="AC156" s="917"/>
      <c r="AD156" s="917"/>
      <c r="AE156" s="917"/>
      <c r="AF156" s="917"/>
      <c r="AG156" s="917"/>
      <c r="AH156" s="917"/>
      <c r="AI156" s="917"/>
      <c r="AJ156" s="917"/>
      <c r="AK156" s="917"/>
      <c r="AL156" s="917"/>
      <c r="AM156" s="917"/>
      <c r="AN156" s="917"/>
      <c r="AO156" s="917"/>
    </row>
    <row r="157" spans="1:41" s="913" customFormat="1" ht="15.95" hidden="1" customHeight="1">
      <c r="A157" s="1248"/>
      <c r="B157" s="915"/>
      <c r="C157" s="1251"/>
      <c r="D157" s="1251"/>
      <c r="E157" s="1251"/>
      <c r="F157" s="1251"/>
      <c r="G157" s="1251"/>
      <c r="H157" s="1251"/>
      <c r="I157" s="1251"/>
      <c r="J157" s="915"/>
      <c r="K157" s="1251"/>
      <c r="L157" s="915"/>
      <c r="M157" s="915"/>
      <c r="N157" s="916"/>
      <c r="O157" s="916"/>
      <c r="P157" s="916"/>
      <c r="Q157" s="1247"/>
      <c r="R157" s="1252"/>
      <c r="S157" s="1252"/>
      <c r="T157" s="1252"/>
      <c r="U157" s="1252"/>
      <c r="V157" s="1252"/>
      <c r="W157" s="1252"/>
      <c r="X157" s="1252"/>
      <c r="Y157" s="1252"/>
      <c r="Z157" s="1252"/>
      <c r="AA157" s="917"/>
      <c r="AB157" s="917"/>
      <c r="AC157" s="917"/>
      <c r="AD157" s="917"/>
      <c r="AE157" s="917"/>
      <c r="AF157" s="917"/>
      <c r="AG157" s="917"/>
      <c r="AH157" s="917"/>
      <c r="AI157" s="917"/>
      <c r="AJ157" s="917"/>
      <c r="AK157" s="917"/>
      <c r="AL157" s="917"/>
      <c r="AM157" s="917"/>
      <c r="AN157" s="917"/>
      <c r="AO157" s="917"/>
    </row>
    <row r="158" spans="1:41" s="913" customFormat="1" ht="15.95" hidden="1" customHeight="1">
      <c r="A158" s="1248"/>
      <c r="B158" s="915"/>
      <c r="C158" s="1251"/>
      <c r="D158" s="1251"/>
      <c r="E158" s="1251"/>
      <c r="F158" s="1251"/>
      <c r="G158" s="1251"/>
      <c r="H158" s="1251"/>
      <c r="I158" s="1251"/>
      <c r="J158" s="915"/>
      <c r="K158" s="1251"/>
      <c r="L158" s="915"/>
      <c r="M158" s="915"/>
      <c r="N158" s="916"/>
      <c r="O158" s="916"/>
      <c r="P158" s="916"/>
      <c r="Q158" s="1247"/>
      <c r="R158" s="1252"/>
      <c r="S158" s="1252"/>
      <c r="T158" s="1252"/>
      <c r="U158" s="1252"/>
      <c r="V158" s="1252"/>
      <c r="W158" s="1252"/>
      <c r="X158" s="1252"/>
      <c r="Y158" s="1252"/>
      <c r="Z158" s="1252"/>
      <c r="AA158" s="917"/>
      <c r="AB158" s="917"/>
      <c r="AC158" s="917"/>
      <c r="AD158" s="917"/>
      <c r="AE158" s="917"/>
      <c r="AF158" s="917"/>
      <c r="AG158" s="917"/>
      <c r="AH158" s="917"/>
      <c r="AI158" s="917"/>
      <c r="AJ158" s="917"/>
      <c r="AK158" s="917"/>
      <c r="AL158" s="917"/>
      <c r="AM158" s="917"/>
      <c r="AN158" s="917"/>
      <c r="AO158" s="917"/>
    </row>
    <row r="159" spans="1:41" s="913" customFormat="1" ht="15.95" hidden="1" customHeight="1">
      <c r="A159" s="1248"/>
      <c r="B159" s="915"/>
      <c r="C159" s="1251"/>
      <c r="D159" s="1251"/>
      <c r="E159" s="1251"/>
      <c r="F159" s="1251"/>
      <c r="G159" s="1251"/>
      <c r="H159" s="1251"/>
      <c r="I159" s="1251"/>
      <c r="J159" s="915"/>
      <c r="K159" s="1251"/>
      <c r="L159" s="915"/>
      <c r="M159" s="915"/>
      <c r="N159" s="916"/>
      <c r="O159" s="916"/>
      <c r="P159" s="916"/>
      <c r="Q159" s="1247"/>
      <c r="R159" s="1252"/>
      <c r="S159" s="1252"/>
      <c r="T159" s="1252"/>
      <c r="U159" s="1252"/>
      <c r="V159" s="1252"/>
      <c r="W159" s="1252"/>
      <c r="X159" s="1252"/>
      <c r="Y159" s="1252"/>
      <c r="Z159" s="1252"/>
      <c r="AA159" s="917"/>
      <c r="AB159" s="917"/>
      <c r="AC159" s="917"/>
      <c r="AD159" s="917"/>
      <c r="AE159" s="917"/>
      <c r="AF159" s="917"/>
      <c r="AG159" s="917"/>
      <c r="AH159" s="917"/>
      <c r="AI159" s="917"/>
      <c r="AJ159" s="917"/>
      <c r="AK159" s="917"/>
      <c r="AL159" s="917"/>
      <c r="AM159" s="917"/>
      <c r="AN159" s="917"/>
      <c r="AO159" s="917"/>
    </row>
    <row r="160" spans="1:41" s="913" customFormat="1" ht="15.95" hidden="1" customHeight="1">
      <c r="A160" s="1248"/>
      <c r="B160" s="915"/>
      <c r="C160" s="1251"/>
      <c r="D160" s="1251"/>
      <c r="E160" s="1251"/>
      <c r="F160" s="1251"/>
      <c r="G160" s="1251"/>
      <c r="H160" s="1251"/>
      <c r="I160" s="1251"/>
      <c r="J160" s="915"/>
      <c r="K160" s="1251"/>
      <c r="L160" s="915"/>
      <c r="M160" s="915"/>
      <c r="N160" s="916"/>
      <c r="O160" s="916"/>
      <c r="P160" s="916"/>
      <c r="Q160" s="1247"/>
      <c r="R160" s="1252"/>
      <c r="S160" s="1252"/>
      <c r="T160" s="1252"/>
      <c r="U160" s="1252"/>
      <c r="V160" s="1252"/>
      <c r="W160" s="1252"/>
      <c r="X160" s="1252"/>
      <c r="Y160" s="1252"/>
      <c r="Z160" s="1252"/>
      <c r="AA160" s="917"/>
      <c r="AB160" s="917"/>
      <c r="AC160" s="917"/>
      <c r="AD160" s="917"/>
      <c r="AE160" s="917"/>
      <c r="AF160" s="917"/>
      <c r="AG160" s="917"/>
      <c r="AH160" s="917"/>
      <c r="AI160" s="917"/>
      <c r="AJ160" s="917"/>
      <c r="AK160" s="917"/>
      <c r="AL160" s="917"/>
      <c r="AM160" s="917"/>
      <c r="AN160" s="917"/>
      <c r="AO160" s="917"/>
    </row>
    <row r="161" spans="1:41" s="913" customFormat="1" ht="15.95" hidden="1" customHeight="1">
      <c r="A161" s="1248"/>
      <c r="B161" s="915"/>
      <c r="C161" s="1251"/>
      <c r="D161" s="1251"/>
      <c r="E161" s="1251"/>
      <c r="F161" s="1251"/>
      <c r="G161" s="1251"/>
      <c r="H161" s="1251"/>
      <c r="I161" s="1251"/>
      <c r="J161" s="915"/>
      <c r="K161" s="1251"/>
      <c r="L161" s="915"/>
      <c r="M161" s="915"/>
      <c r="N161" s="916"/>
      <c r="O161" s="916"/>
      <c r="P161" s="916"/>
      <c r="Q161" s="1247"/>
      <c r="R161" s="1252"/>
      <c r="S161" s="1252"/>
      <c r="T161" s="1252"/>
      <c r="U161" s="1252"/>
      <c r="V161" s="1252"/>
      <c r="W161" s="1252"/>
      <c r="X161" s="1252"/>
      <c r="Y161" s="1252"/>
      <c r="Z161" s="1252"/>
      <c r="AA161" s="917"/>
      <c r="AB161" s="917"/>
      <c r="AC161" s="917"/>
      <c r="AD161" s="917"/>
      <c r="AE161" s="917"/>
      <c r="AF161" s="917"/>
      <c r="AG161" s="917"/>
      <c r="AH161" s="917"/>
      <c r="AI161" s="917"/>
      <c r="AJ161" s="917"/>
      <c r="AK161" s="917"/>
      <c r="AL161" s="917"/>
      <c r="AM161" s="917"/>
      <c r="AN161" s="917"/>
      <c r="AO161" s="917"/>
    </row>
    <row r="162" spans="1:41" s="913" customFormat="1" ht="15.95" hidden="1" customHeight="1">
      <c r="A162" s="1248"/>
      <c r="B162" s="915"/>
      <c r="C162" s="1251"/>
      <c r="D162" s="1251"/>
      <c r="E162" s="1251"/>
      <c r="F162" s="1251"/>
      <c r="G162" s="1251"/>
      <c r="H162" s="1251"/>
      <c r="I162" s="1251"/>
      <c r="J162" s="915"/>
      <c r="K162" s="1251"/>
      <c r="L162" s="915"/>
      <c r="M162" s="915"/>
      <c r="N162" s="916"/>
      <c r="O162" s="916"/>
      <c r="P162" s="916"/>
      <c r="Q162" s="1247"/>
      <c r="R162" s="1252"/>
      <c r="S162" s="1252"/>
      <c r="T162" s="1252"/>
      <c r="U162" s="1252"/>
      <c r="V162" s="1252"/>
      <c r="W162" s="1252"/>
      <c r="X162" s="1252"/>
      <c r="Y162" s="1252"/>
      <c r="Z162" s="1252"/>
      <c r="AA162" s="917"/>
      <c r="AB162" s="917"/>
      <c r="AC162" s="917"/>
      <c r="AD162" s="917"/>
      <c r="AE162" s="917"/>
      <c r="AF162" s="917"/>
      <c r="AG162" s="917"/>
      <c r="AH162" s="917"/>
      <c r="AI162" s="917"/>
      <c r="AJ162" s="917"/>
      <c r="AK162" s="917"/>
      <c r="AL162" s="917"/>
      <c r="AM162" s="917"/>
      <c r="AN162" s="917"/>
      <c r="AO162" s="917"/>
    </row>
    <row r="163" spans="1:41" s="913" customFormat="1" ht="15.95" hidden="1" customHeight="1">
      <c r="A163" s="1248"/>
      <c r="B163" s="915"/>
      <c r="C163" s="1251"/>
      <c r="D163" s="1251"/>
      <c r="E163" s="1251"/>
      <c r="F163" s="1251"/>
      <c r="G163" s="1251"/>
      <c r="H163" s="1251"/>
      <c r="I163" s="1251"/>
      <c r="J163" s="915"/>
      <c r="K163" s="1251"/>
      <c r="L163" s="915"/>
      <c r="M163" s="915"/>
      <c r="N163" s="916"/>
      <c r="O163" s="916"/>
      <c r="P163" s="916"/>
      <c r="Q163" s="1247"/>
      <c r="R163" s="1252"/>
      <c r="S163" s="1252"/>
      <c r="T163" s="1252"/>
      <c r="U163" s="1252"/>
      <c r="V163" s="1252"/>
      <c r="W163" s="1252"/>
      <c r="X163" s="1252"/>
      <c r="Y163" s="1252"/>
      <c r="Z163" s="1252"/>
      <c r="AA163" s="917"/>
      <c r="AB163" s="917"/>
      <c r="AC163" s="917"/>
      <c r="AD163" s="917"/>
      <c r="AE163" s="917"/>
      <c r="AF163" s="917"/>
      <c r="AG163" s="917"/>
      <c r="AH163" s="917"/>
      <c r="AI163" s="917"/>
      <c r="AJ163" s="917"/>
      <c r="AK163" s="917"/>
      <c r="AL163" s="917"/>
      <c r="AM163" s="917"/>
      <c r="AN163" s="917"/>
      <c r="AO163" s="917"/>
    </row>
    <row r="164" spans="1:41" s="913" customFormat="1" ht="15.95" hidden="1" customHeight="1">
      <c r="A164" s="1248"/>
      <c r="B164" s="915"/>
      <c r="C164" s="1251"/>
      <c r="D164" s="1251"/>
      <c r="E164" s="1251"/>
      <c r="F164" s="1251"/>
      <c r="G164" s="1251"/>
      <c r="H164" s="1251"/>
      <c r="I164" s="1251"/>
      <c r="J164" s="915"/>
      <c r="K164" s="1251"/>
      <c r="L164" s="915"/>
      <c r="M164" s="915"/>
      <c r="N164" s="916"/>
      <c r="O164" s="916"/>
      <c r="P164" s="916"/>
      <c r="Q164" s="1247"/>
      <c r="R164" s="1252"/>
      <c r="S164" s="1252"/>
      <c r="T164" s="1252"/>
      <c r="U164" s="1252"/>
      <c r="V164" s="1252"/>
      <c r="W164" s="1252"/>
      <c r="X164" s="1252"/>
      <c r="Y164" s="1252"/>
      <c r="Z164" s="1252"/>
      <c r="AA164" s="917"/>
      <c r="AB164" s="917"/>
      <c r="AC164" s="917"/>
      <c r="AD164" s="917"/>
      <c r="AE164" s="917"/>
      <c r="AF164" s="917"/>
      <c r="AG164" s="917"/>
      <c r="AH164" s="917"/>
      <c r="AI164" s="917"/>
      <c r="AJ164" s="917"/>
      <c r="AK164" s="917"/>
      <c r="AL164" s="917"/>
      <c r="AM164" s="917"/>
      <c r="AN164" s="917"/>
      <c r="AO164" s="917"/>
    </row>
    <row r="165" spans="1:41" s="913" customFormat="1" ht="15.95" hidden="1" customHeight="1">
      <c r="A165" s="1248"/>
      <c r="B165" s="915"/>
      <c r="C165" s="1251"/>
      <c r="D165" s="1251"/>
      <c r="E165" s="1251"/>
      <c r="F165" s="1251"/>
      <c r="G165" s="1251"/>
      <c r="H165" s="1251"/>
      <c r="I165" s="1251"/>
      <c r="J165" s="915"/>
      <c r="K165" s="1251"/>
      <c r="L165" s="915"/>
      <c r="M165" s="915"/>
      <c r="N165" s="916"/>
      <c r="O165" s="916"/>
      <c r="P165" s="916"/>
      <c r="Q165" s="1247"/>
      <c r="R165" s="1252"/>
      <c r="S165" s="1252"/>
      <c r="T165" s="1252"/>
      <c r="U165" s="1252"/>
      <c r="V165" s="1252"/>
      <c r="W165" s="1252"/>
      <c r="X165" s="1252"/>
      <c r="Y165" s="1252"/>
      <c r="Z165" s="1252"/>
      <c r="AA165" s="917"/>
      <c r="AB165" s="917"/>
      <c r="AC165" s="917"/>
      <c r="AD165" s="917"/>
      <c r="AE165" s="917"/>
      <c r="AF165" s="917"/>
      <c r="AG165" s="917"/>
      <c r="AH165" s="917"/>
      <c r="AI165" s="917"/>
      <c r="AJ165" s="917"/>
      <c r="AK165" s="917"/>
      <c r="AL165" s="917"/>
      <c r="AM165" s="917"/>
      <c r="AN165" s="917"/>
      <c r="AO165" s="917"/>
    </row>
    <row r="166" spans="1:41" s="913" customFormat="1" ht="15.95" hidden="1" customHeight="1">
      <c r="A166" s="1248"/>
      <c r="B166" s="915"/>
      <c r="C166" s="1251"/>
      <c r="D166" s="1251"/>
      <c r="E166" s="1251"/>
      <c r="F166" s="1251"/>
      <c r="G166" s="1251"/>
      <c r="H166" s="1251"/>
      <c r="I166" s="1251"/>
      <c r="J166" s="915"/>
      <c r="K166" s="1251"/>
      <c r="L166" s="915"/>
      <c r="M166" s="915"/>
      <c r="N166" s="916"/>
      <c r="O166" s="916"/>
      <c r="P166" s="916"/>
      <c r="Q166" s="1247"/>
      <c r="R166" s="1252"/>
      <c r="S166" s="1252"/>
      <c r="T166" s="1252"/>
      <c r="U166" s="1252"/>
      <c r="V166" s="1252"/>
      <c r="W166" s="1252"/>
      <c r="X166" s="1252"/>
      <c r="Y166" s="1252"/>
      <c r="Z166" s="1252"/>
      <c r="AA166" s="917"/>
      <c r="AB166" s="917"/>
      <c r="AC166" s="917"/>
      <c r="AD166" s="917"/>
      <c r="AE166" s="917"/>
      <c r="AF166" s="917"/>
      <c r="AG166" s="917"/>
      <c r="AH166" s="917"/>
      <c r="AI166" s="917"/>
      <c r="AJ166" s="917"/>
      <c r="AK166" s="917"/>
      <c r="AL166" s="917"/>
      <c r="AM166" s="917"/>
      <c r="AN166" s="917"/>
      <c r="AO166" s="917"/>
    </row>
    <row r="167" spans="1:41" s="913" customFormat="1" ht="15.95" hidden="1" customHeight="1">
      <c r="A167" s="1248"/>
      <c r="B167" s="915"/>
      <c r="C167" s="1251"/>
      <c r="D167" s="1251"/>
      <c r="E167" s="1251"/>
      <c r="F167" s="1251"/>
      <c r="G167" s="1251"/>
      <c r="H167" s="1251"/>
      <c r="I167" s="1251"/>
      <c r="J167" s="915"/>
      <c r="K167" s="1251"/>
      <c r="L167" s="915"/>
      <c r="M167" s="915"/>
      <c r="N167" s="916"/>
      <c r="O167" s="916"/>
      <c r="P167" s="916"/>
      <c r="Q167" s="1247"/>
      <c r="R167" s="1252"/>
      <c r="S167" s="1252"/>
      <c r="T167" s="1252"/>
      <c r="U167" s="1252"/>
      <c r="V167" s="1252"/>
      <c r="W167" s="1252"/>
      <c r="X167" s="1252"/>
      <c r="Y167" s="1252"/>
      <c r="Z167" s="1252"/>
      <c r="AA167" s="917"/>
      <c r="AB167" s="917"/>
      <c r="AC167" s="917"/>
      <c r="AD167" s="917"/>
      <c r="AE167" s="917"/>
      <c r="AF167" s="917"/>
      <c r="AG167" s="917"/>
      <c r="AH167" s="917"/>
      <c r="AI167" s="917"/>
      <c r="AJ167" s="917"/>
      <c r="AK167" s="917"/>
      <c r="AL167" s="917"/>
      <c r="AM167" s="917"/>
      <c r="AN167" s="917"/>
      <c r="AO167" s="917"/>
    </row>
    <row r="168" spans="1:41" s="913" customFormat="1" ht="15.95" hidden="1" customHeight="1">
      <c r="A168" s="1248"/>
      <c r="B168" s="915"/>
      <c r="C168" s="1251"/>
      <c r="D168" s="1251"/>
      <c r="E168" s="1251"/>
      <c r="F168" s="1251"/>
      <c r="G168" s="1251"/>
      <c r="H168" s="1251"/>
      <c r="I168" s="1251"/>
      <c r="J168" s="915"/>
      <c r="K168" s="1251"/>
      <c r="L168" s="915"/>
      <c r="M168" s="915"/>
      <c r="N168" s="916"/>
      <c r="O168" s="916"/>
      <c r="P168" s="916"/>
      <c r="Q168" s="1247"/>
      <c r="R168" s="1252"/>
      <c r="S168" s="1252"/>
      <c r="T168" s="1252"/>
      <c r="U168" s="1252"/>
      <c r="V168" s="1252"/>
      <c r="W168" s="1252"/>
      <c r="X168" s="1252"/>
      <c r="Y168" s="1252"/>
      <c r="Z168" s="1252"/>
      <c r="AA168" s="917"/>
      <c r="AB168" s="917"/>
      <c r="AC168" s="917"/>
      <c r="AD168" s="917"/>
      <c r="AE168" s="917"/>
      <c r="AF168" s="917"/>
      <c r="AG168" s="917"/>
      <c r="AH168" s="917"/>
      <c r="AI168" s="917"/>
      <c r="AJ168" s="917"/>
      <c r="AK168" s="917"/>
      <c r="AL168" s="917"/>
      <c r="AM168" s="917"/>
      <c r="AN168" s="917"/>
      <c r="AO168" s="917"/>
    </row>
    <row r="169" spans="1:41" s="913" customFormat="1" ht="15.95" hidden="1" customHeight="1">
      <c r="A169" s="1248"/>
      <c r="B169" s="915"/>
      <c r="C169" s="1251"/>
      <c r="D169" s="1251"/>
      <c r="E169" s="1251"/>
      <c r="F169" s="1251"/>
      <c r="G169" s="1251"/>
      <c r="H169" s="1251"/>
      <c r="I169" s="1251"/>
      <c r="J169" s="915"/>
      <c r="K169" s="1251"/>
      <c r="L169" s="915"/>
      <c r="M169" s="915"/>
      <c r="N169" s="916"/>
      <c r="O169" s="916"/>
      <c r="P169" s="916"/>
      <c r="Q169" s="1247"/>
      <c r="R169" s="1252"/>
      <c r="S169" s="1252"/>
      <c r="T169" s="1252"/>
      <c r="U169" s="1252"/>
      <c r="V169" s="1252"/>
      <c r="W169" s="1252"/>
      <c r="X169" s="1252"/>
      <c r="Y169" s="1252"/>
      <c r="Z169" s="1252"/>
      <c r="AA169" s="917"/>
      <c r="AB169" s="917"/>
      <c r="AC169" s="917"/>
      <c r="AD169" s="917"/>
      <c r="AE169" s="917"/>
      <c r="AF169" s="917"/>
      <c r="AG169" s="917"/>
      <c r="AH169" s="917"/>
      <c r="AI169" s="917"/>
      <c r="AJ169" s="917"/>
      <c r="AK169" s="917"/>
      <c r="AL169" s="917"/>
      <c r="AM169" s="917"/>
      <c r="AN169" s="917"/>
      <c r="AO169" s="917"/>
    </row>
    <row r="170" spans="1:41" s="913" customFormat="1" ht="15.95" hidden="1" customHeight="1">
      <c r="A170" s="1248"/>
      <c r="B170" s="915"/>
      <c r="C170" s="1251"/>
      <c r="D170" s="1251"/>
      <c r="E170" s="1251"/>
      <c r="F170" s="1251"/>
      <c r="G170" s="1251"/>
      <c r="H170" s="1251"/>
      <c r="I170" s="1251"/>
      <c r="J170" s="915"/>
      <c r="K170" s="1251"/>
      <c r="L170" s="915"/>
      <c r="M170" s="915"/>
      <c r="N170" s="916"/>
      <c r="O170" s="916"/>
      <c r="P170" s="916"/>
      <c r="Q170" s="1247"/>
      <c r="R170" s="1252"/>
      <c r="S170" s="1252"/>
      <c r="T170" s="1252"/>
      <c r="U170" s="1252"/>
      <c r="V170" s="1252"/>
      <c r="W170" s="1252"/>
      <c r="X170" s="1252"/>
      <c r="Y170" s="1252"/>
      <c r="Z170" s="1252"/>
      <c r="AA170" s="917"/>
      <c r="AB170" s="917"/>
      <c r="AC170" s="917"/>
      <c r="AD170" s="917"/>
      <c r="AE170" s="917"/>
      <c r="AF170" s="917"/>
      <c r="AG170" s="917"/>
      <c r="AH170" s="917"/>
      <c r="AI170" s="917"/>
      <c r="AJ170" s="917"/>
      <c r="AK170" s="917"/>
      <c r="AL170" s="917"/>
      <c r="AM170" s="917"/>
      <c r="AN170" s="917"/>
      <c r="AO170" s="917"/>
    </row>
    <row r="171" spans="1:41" s="913" customFormat="1" ht="15.95" hidden="1" customHeight="1">
      <c r="A171" s="1248"/>
      <c r="B171" s="915"/>
      <c r="C171" s="1251"/>
      <c r="D171" s="1251"/>
      <c r="E171" s="1251"/>
      <c r="F171" s="1251"/>
      <c r="G171" s="1251"/>
      <c r="H171" s="1251"/>
      <c r="I171" s="1251"/>
      <c r="J171" s="915"/>
      <c r="K171" s="1251"/>
      <c r="L171" s="915"/>
      <c r="M171" s="915"/>
      <c r="N171" s="916"/>
      <c r="O171" s="916"/>
      <c r="P171" s="916"/>
      <c r="Q171" s="1247"/>
      <c r="R171" s="1252"/>
      <c r="S171" s="1252"/>
      <c r="T171" s="1252"/>
      <c r="U171" s="1252"/>
      <c r="V171" s="1252"/>
      <c r="W171" s="1252"/>
      <c r="X171" s="1252"/>
      <c r="Y171" s="1252"/>
      <c r="Z171" s="1252"/>
      <c r="AA171" s="917"/>
      <c r="AB171" s="917"/>
      <c r="AC171" s="917"/>
      <c r="AD171" s="917"/>
      <c r="AE171" s="917"/>
      <c r="AF171" s="917"/>
      <c r="AG171" s="917"/>
      <c r="AH171" s="917"/>
      <c r="AI171" s="917"/>
      <c r="AJ171" s="917"/>
      <c r="AK171" s="917"/>
      <c r="AL171" s="917"/>
      <c r="AM171" s="917"/>
      <c r="AN171" s="917"/>
      <c r="AO171" s="917"/>
    </row>
    <row r="172" spans="1:41" s="913" customFormat="1" ht="15.95" hidden="1" customHeight="1">
      <c r="A172" s="1248"/>
      <c r="B172" s="915"/>
      <c r="C172" s="1251"/>
      <c r="D172" s="1251"/>
      <c r="E172" s="1251"/>
      <c r="F172" s="1251"/>
      <c r="G172" s="1251"/>
      <c r="H172" s="1251"/>
      <c r="I172" s="1251"/>
      <c r="J172" s="915"/>
      <c r="K172" s="1251"/>
      <c r="L172" s="915"/>
      <c r="M172" s="915"/>
      <c r="N172" s="916"/>
      <c r="O172" s="916"/>
      <c r="P172" s="916"/>
      <c r="Q172" s="1247"/>
      <c r="R172" s="1252"/>
      <c r="S172" s="1252"/>
      <c r="T172" s="1252"/>
      <c r="U172" s="1252"/>
      <c r="V172" s="1252"/>
      <c r="W172" s="1252"/>
      <c r="X172" s="1252"/>
      <c r="Y172" s="1252"/>
      <c r="Z172" s="1252"/>
      <c r="AA172" s="917"/>
      <c r="AB172" s="917"/>
      <c r="AC172" s="917"/>
      <c r="AD172" s="917"/>
      <c r="AE172" s="917"/>
      <c r="AF172" s="917"/>
      <c r="AG172" s="917"/>
      <c r="AH172" s="917"/>
      <c r="AI172" s="917"/>
      <c r="AJ172" s="917"/>
      <c r="AK172" s="917"/>
      <c r="AL172" s="917"/>
      <c r="AM172" s="917"/>
      <c r="AN172" s="917"/>
      <c r="AO172" s="917"/>
    </row>
    <row r="173" spans="1:41" s="913" customFormat="1" ht="15.95" hidden="1" customHeight="1">
      <c r="A173" s="1248"/>
      <c r="B173" s="915"/>
      <c r="C173" s="1251"/>
      <c r="D173" s="1251"/>
      <c r="E173" s="1251"/>
      <c r="F173" s="1251"/>
      <c r="G173" s="1251"/>
      <c r="H173" s="1251"/>
      <c r="I173" s="1251"/>
      <c r="J173" s="915"/>
      <c r="K173" s="1251"/>
      <c r="L173" s="915"/>
      <c r="M173" s="915"/>
      <c r="N173" s="916"/>
      <c r="O173" s="916"/>
      <c r="P173" s="916"/>
      <c r="Q173" s="1247"/>
      <c r="R173" s="1252"/>
      <c r="S173" s="1252"/>
      <c r="T173" s="1252"/>
      <c r="U173" s="1252"/>
      <c r="V173" s="1252"/>
      <c r="W173" s="1252"/>
      <c r="X173" s="1252"/>
      <c r="Y173" s="1252"/>
      <c r="Z173" s="1252"/>
      <c r="AA173" s="917"/>
      <c r="AB173" s="917"/>
      <c r="AC173" s="917"/>
      <c r="AD173" s="917"/>
      <c r="AE173" s="917"/>
      <c r="AF173" s="917"/>
      <c r="AG173" s="917"/>
      <c r="AH173" s="917"/>
      <c r="AI173" s="917"/>
      <c r="AJ173" s="917"/>
      <c r="AK173" s="917"/>
      <c r="AL173" s="917"/>
      <c r="AM173" s="917"/>
      <c r="AN173" s="917"/>
      <c r="AO173" s="917"/>
    </row>
    <row r="174" spans="1:41" s="913" customFormat="1" ht="15.95" hidden="1" customHeight="1">
      <c r="A174" s="1248"/>
      <c r="B174" s="915"/>
      <c r="C174" s="1251"/>
      <c r="D174" s="1251"/>
      <c r="E174" s="1251"/>
      <c r="F174" s="1251"/>
      <c r="G174" s="1251"/>
      <c r="H174" s="1251"/>
      <c r="I174" s="1251"/>
      <c r="J174" s="915"/>
      <c r="K174" s="1251"/>
      <c r="L174" s="915"/>
      <c r="M174" s="915"/>
      <c r="N174" s="916"/>
      <c r="O174" s="916"/>
      <c r="P174" s="916"/>
      <c r="Q174" s="1247"/>
      <c r="R174" s="1252"/>
      <c r="S174" s="1252"/>
      <c r="T174" s="1252"/>
      <c r="U174" s="1252"/>
      <c r="V174" s="1252"/>
      <c r="W174" s="1252"/>
      <c r="X174" s="1252"/>
      <c r="Y174" s="1252"/>
      <c r="Z174" s="1252"/>
      <c r="AA174" s="917"/>
      <c r="AB174" s="917"/>
      <c r="AC174" s="917"/>
      <c r="AD174" s="917"/>
      <c r="AE174" s="917"/>
      <c r="AF174" s="917"/>
      <c r="AG174" s="917"/>
      <c r="AH174" s="917"/>
      <c r="AI174" s="917"/>
      <c r="AJ174" s="917"/>
      <c r="AK174" s="917"/>
      <c r="AL174" s="917"/>
      <c r="AM174" s="917"/>
      <c r="AN174" s="917"/>
      <c r="AO174" s="917"/>
    </row>
    <row r="175" spans="1:41" s="913" customFormat="1" ht="15.95" hidden="1" customHeight="1">
      <c r="A175" s="1248"/>
      <c r="B175" s="915"/>
      <c r="C175" s="1251"/>
      <c r="D175" s="1251"/>
      <c r="E175" s="1251"/>
      <c r="F175" s="1251"/>
      <c r="G175" s="1251"/>
      <c r="H175" s="1251"/>
      <c r="I175" s="1251"/>
      <c r="J175" s="915"/>
      <c r="K175" s="1251"/>
      <c r="L175" s="915"/>
      <c r="M175" s="915"/>
      <c r="N175" s="916"/>
      <c r="O175" s="916"/>
      <c r="P175" s="916"/>
      <c r="Q175" s="1247"/>
      <c r="R175" s="1252"/>
      <c r="S175" s="1252"/>
      <c r="T175" s="1252"/>
      <c r="U175" s="1252"/>
      <c r="V175" s="1252"/>
      <c r="W175" s="1252"/>
      <c r="X175" s="1252"/>
      <c r="Y175" s="1252"/>
      <c r="Z175" s="1252"/>
      <c r="AA175" s="917"/>
      <c r="AB175" s="917"/>
      <c r="AC175" s="917"/>
      <c r="AD175" s="917"/>
      <c r="AE175" s="917"/>
      <c r="AF175" s="917"/>
      <c r="AG175" s="917"/>
      <c r="AH175" s="917"/>
      <c r="AI175" s="917"/>
      <c r="AJ175" s="917"/>
      <c r="AK175" s="917"/>
      <c r="AL175" s="917"/>
      <c r="AM175" s="917"/>
      <c r="AN175" s="917"/>
      <c r="AO175" s="917"/>
    </row>
    <row r="176" spans="1:41" s="913" customFormat="1" ht="15.95" hidden="1" customHeight="1">
      <c r="A176" s="1248"/>
      <c r="B176" s="915"/>
      <c r="C176" s="1251"/>
      <c r="D176" s="1251"/>
      <c r="E176" s="1251"/>
      <c r="F176" s="1251"/>
      <c r="G176" s="1251"/>
      <c r="H176" s="1251"/>
      <c r="I176" s="1251"/>
      <c r="J176" s="915"/>
      <c r="K176" s="1251"/>
      <c r="L176" s="915"/>
      <c r="M176" s="915"/>
      <c r="N176" s="916"/>
      <c r="O176" s="916"/>
      <c r="P176" s="916"/>
      <c r="Q176" s="1247"/>
      <c r="R176" s="1252"/>
      <c r="S176" s="1252"/>
      <c r="T176" s="1252"/>
      <c r="U176" s="1252"/>
      <c r="V176" s="1252"/>
      <c r="W176" s="1252"/>
      <c r="X176" s="1252"/>
      <c r="Y176" s="1252"/>
      <c r="Z176" s="1252"/>
      <c r="AA176" s="917"/>
      <c r="AB176" s="917"/>
      <c r="AC176" s="917"/>
      <c r="AD176" s="917"/>
      <c r="AE176" s="917"/>
      <c r="AF176" s="917"/>
      <c r="AG176" s="917"/>
      <c r="AH176" s="917"/>
      <c r="AI176" s="917"/>
      <c r="AJ176" s="917"/>
      <c r="AK176" s="917"/>
      <c r="AL176" s="917"/>
      <c r="AM176" s="917"/>
      <c r="AN176" s="917"/>
      <c r="AO176" s="917"/>
    </row>
    <row r="177" spans="1:41" s="913" customFormat="1" ht="15.95" hidden="1" customHeight="1">
      <c r="A177" s="1266"/>
      <c r="B177" s="1267"/>
      <c r="C177" s="1268"/>
      <c r="D177" s="1268"/>
      <c r="E177" s="1268"/>
      <c r="F177" s="1268"/>
      <c r="G177" s="1268"/>
      <c r="H177" s="1268"/>
      <c r="I177" s="1268"/>
      <c r="J177" s="1267"/>
      <c r="K177" s="1268"/>
      <c r="L177" s="1267"/>
      <c r="M177" s="1267"/>
      <c r="N177" s="916"/>
      <c r="O177" s="916"/>
      <c r="P177" s="916"/>
      <c r="Q177" s="1247"/>
      <c r="R177" s="917"/>
      <c r="S177" s="1252"/>
      <c r="T177" s="1252"/>
      <c r="U177" s="917"/>
      <c r="V177" s="1252"/>
      <c r="W177" s="1252"/>
      <c r="X177" s="1252"/>
      <c r="Y177" s="917"/>
      <c r="Z177" s="917"/>
      <c r="AA177" s="917"/>
      <c r="AB177" s="917"/>
      <c r="AC177" s="917"/>
      <c r="AD177" s="917"/>
      <c r="AE177" s="917"/>
      <c r="AF177" s="917"/>
      <c r="AG177" s="917"/>
      <c r="AH177" s="917"/>
      <c r="AI177" s="917"/>
      <c r="AJ177" s="917"/>
      <c r="AK177" s="917"/>
      <c r="AL177" s="917"/>
      <c r="AM177" s="917"/>
      <c r="AN177" s="917"/>
      <c r="AO177" s="917"/>
    </row>
    <row r="178" spans="1:41" s="913" customFormat="1" ht="15.95" customHeight="1">
      <c r="A178" s="1948" t="s">
        <v>883</v>
      </c>
      <c r="B178" s="1272" t="s">
        <v>803</v>
      </c>
      <c r="C178" s="1273">
        <f t="shared" ref="C178:L178" si="43">SUMIF($B$4:$B$177,"차도",C$4:C$177)</f>
        <v>1</v>
      </c>
      <c r="D178" s="1273">
        <f t="shared" si="43"/>
        <v>10</v>
      </c>
      <c r="E178" s="1273">
        <f t="shared" si="43"/>
        <v>13</v>
      </c>
      <c r="F178" s="1273">
        <f t="shared" si="43"/>
        <v>25</v>
      </c>
      <c r="G178" s="1273">
        <f t="shared" si="43"/>
        <v>0</v>
      </c>
      <c r="H178" s="1273">
        <f t="shared" si="43"/>
        <v>0</v>
      </c>
      <c r="I178" s="1273">
        <f t="shared" si="43"/>
        <v>0</v>
      </c>
      <c r="J178" s="1273">
        <f t="shared" si="43"/>
        <v>0</v>
      </c>
      <c r="K178" s="1273">
        <f t="shared" si="43"/>
        <v>0</v>
      </c>
      <c r="L178" s="1273">
        <f t="shared" si="43"/>
        <v>0</v>
      </c>
      <c r="M178" s="1274"/>
      <c r="N178" s="916">
        <f>SUM(C178:M178)</f>
        <v>49</v>
      </c>
      <c r="O178" s="916"/>
      <c r="P178" s="916"/>
      <c r="Q178" s="918">
        <f>SUM(C178:L179)</f>
        <v>188</v>
      </c>
      <c r="R178" s="1262"/>
      <c r="S178" s="1262">
        <f t="shared" ref="S178:Z178" si="44">SUM(S4:S177)</f>
        <v>188</v>
      </c>
      <c r="T178" s="1262">
        <f t="shared" si="44"/>
        <v>0</v>
      </c>
      <c r="U178" s="1262">
        <f t="shared" si="44"/>
        <v>0</v>
      </c>
      <c r="V178" s="1262">
        <f t="shared" si="44"/>
        <v>24</v>
      </c>
      <c r="W178" s="1262">
        <f t="shared" si="44"/>
        <v>162</v>
      </c>
      <c r="X178" s="1262">
        <f t="shared" si="44"/>
        <v>2</v>
      </c>
      <c r="Y178" s="1262">
        <f t="shared" si="44"/>
        <v>0</v>
      </c>
      <c r="Z178" s="1262">
        <f t="shared" si="44"/>
        <v>0</v>
      </c>
      <c r="AA178" s="1262"/>
      <c r="AB178" s="1262"/>
      <c r="AC178" s="1262"/>
      <c r="AD178" s="1262"/>
      <c r="AE178" s="1262"/>
    </row>
    <row r="179" spans="1:41" s="913" customFormat="1" ht="15.95" customHeight="1">
      <c r="A179" s="1949"/>
      <c r="B179" s="1275" t="s">
        <v>804</v>
      </c>
      <c r="C179" s="1276">
        <f t="shared" ref="C179:L179" si="45">SUMIF($B$4:$B$177,"보도",C$4:C$177)</f>
        <v>5</v>
      </c>
      <c r="D179" s="1276">
        <f t="shared" si="45"/>
        <v>8</v>
      </c>
      <c r="E179" s="1276">
        <f t="shared" si="45"/>
        <v>59</v>
      </c>
      <c r="F179" s="1276">
        <f t="shared" si="45"/>
        <v>65</v>
      </c>
      <c r="G179" s="1276">
        <f t="shared" si="45"/>
        <v>1</v>
      </c>
      <c r="H179" s="1276">
        <f t="shared" si="45"/>
        <v>1</v>
      </c>
      <c r="I179" s="1276">
        <f t="shared" si="45"/>
        <v>0</v>
      </c>
      <c r="J179" s="1276">
        <f t="shared" si="45"/>
        <v>0</v>
      </c>
      <c r="K179" s="1276">
        <f t="shared" si="45"/>
        <v>0</v>
      </c>
      <c r="L179" s="1276">
        <f t="shared" si="45"/>
        <v>0</v>
      </c>
      <c r="M179" s="1277"/>
      <c r="N179" s="916">
        <f>SUM(C179:M179)</f>
        <v>139</v>
      </c>
      <c r="O179" s="916"/>
      <c r="P179" s="916"/>
      <c r="Q179" s="918"/>
      <c r="R179" s="1263"/>
      <c r="S179" s="1263"/>
      <c r="T179" s="1263"/>
      <c r="U179" s="1263"/>
      <c r="V179" s="1263"/>
      <c r="W179" s="1263"/>
      <c r="X179" s="1263"/>
      <c r="Y179" s="1263"/>
      <c r="Z179" s="1263"/>
      <c r="AA179" s="1263"/>
      <c r="AB179" s="1263"/>
      <c r="AC179" s="1263"/>
      <c r="AD179" s="1263"/>
      <c r="AE179" s="1263"/>
    </row>
    <row r="180" spans="1:41" s="913" customFormat="1" ht="15.95" customHeight="1">
      <c r="A180" s="1269" t="str">
        <f>R180</f>
        <v>M2-003</v>
      </c>
      <c r="B180" s="1270" t="str">
        <f t="shared" ref="B180:B260" si="46">IF($P180="보  도","보도","차도")</f>
        <v>차도</v>
      </c>
      <c r="C180" s="1271">
        <f>V180-D180</f>
        <v>0</v>
      </c>
      <c r="D180" s="1271"/>
      <c r="E180" s="1271">
        <f t="shared" ref="E180:E248" si="47">W180-F180</f>
        <v>1</v>
      </c>
      <c r="F180" s="1251">
        <v>1</v>
      </c>
      <c r="G180" s="1271">
        <f t="shared" ref="G180:G196" si="48">X180-H180</f>
        <v>0</v>
      </c>
      <c r="H180" s="1271"/>
      <c r="I180" s="1271">
        <f t="shared" ref="I180:I196" si="49">Y180-J180</f>
        <v>0</v>
      </c>
      <c r="J180" s="1271"/>
      <c r="K180" s="1271">
        <f t="shared" ref="K180:K196" si="50">Z180-L180</f>
        <v>0</v>
      </c>
      <c r="L180" s="1270"/>
      <c r="M180" s="1270"/>
      <c r="N180" s="916">
        <f t="shared" ref="N180:N196" si="51">SUM(C180:L180)</f>
        <v>2</v>
      </c>
      <c r="O180" s="916">
        <f t="shared" ref="O180:O196" si="52">T180-N180</f>
        <v>0</v>
      </c>
      <c r="P180" s="916" t="str">
        <f>VLOOKUP($A180,'맨홀 평균 높이'!$J$4:$M$572,4,0)</f>
        <v>차  도</v>
      </c>
      <c r="Q180" s="1264" t="s">
        <v>1230</v>
      </c>
      <c r="R180" s="1264" t="s">
        <v>1400</v>
      </c>
      <c r="S180" s="1252">
        <f>VLOOKUP($R180,Sheet1!$A$3:$C$241,2,FALSE)</f>
        <v>0</v>
      </c>
      <c r="T180" s="1252">
        <f>VLOOKUP($R180,Sheet1!$A$3:$C$241,3,FALSE)</f>
        <v>2</v>
      </c>
      <c r="U180" s="1252"/>
      <c r="V180" s="1252">
        <f>VLOOKUP($R180,Sheet1!$A$3:$F$214,4,FALSE)</f>
        <v>0</v>
      </c>
      <c r="W180" s="1252">
        <f>VLOOKUP($R180,Sheet1!$A$3:$F$214,5,FALSE)</f>
        <v>2</v>
      </c>
      <c r="X180" s="1252">
        <f>VLOOKUP($R180,Sheet1!$A$3:$F$214,6,FALSE)</f>
        <v>0</v>
      </c>
      <c r="Y180" s="1252"/>
      <c r="Z180" s="1252"/>
      <c r="AA180" s="1263"/>
      <c r="AB180" s="1263"/>
      <c r="AC180" s="1263"/>
      <c r="AD180" s="1263"/>
      <c r="AE180" s="1263"/>
      <c r="AF180" s="917"/>
      <c r="AG180" s="917"/>
      <c r="AH180" s="917"/>
      <c r="AI180" s="917"/>
      <c r="AJ180" s="917"/>
      <c r="AK180" s="917"/>
      <c r="AL180" s="917"/>
      <c r="AM180" s="917"/>
      <c r="AN180" s="917"/>
      <c r="AO180" s="917"/>
    </row>
    <row r="181" spans="1:41" s="913" customFormat="1" ht="15.95" customHeight="1">
      <c r="A181" s="1248" t="str">
        <f t="shared" ref="A181:A196" si="53">R181</f>
        <v>M2-004</v>
      </c>
      <c r="B181" s="915" t="str">
        <f t="shared" si="46"/>
        <v>보도</v>
      </c>
      <c r="C181" s="1251">
        <f t="shared" ref="C181:C248" si="54">V181-D181</f>
        <v>0</v>
      </c>
      <c r="D181" s="1251"/>
      <c r="E181" s="1251">
        <f t="shared" si="47"/>
        <v>1</v>
      </c>
      <c r="F181" s="1251">
        <v>1</v>
      </c>
      <c r="G181" s="1251">
        <f t="shared" si="48"/>
        <v>0</v>
      </c>
      <c r="H181" s="1251"/>
      <c r="I181" s="1251">
        <f t="shared" si="49"/>
        <v>0</v>
      </c>
      <c r="J181" s="1251"/>
      <c r="K181" s="1251">
        <f t="shared" si="50"/>
        <v>0</v>
      </c>
      <c r="L181" s="915"/>
      <c r="M181" s="915"/>
      <c r="N181" s="916">
        <f t="shared" si="51"/>
        <v>2</v>
      </c>
      <c r="O181" s="916">
        <f t="shared" si="52"/>
        <v>0</v>
      </c>
      <c r="P181" s="916" t="str">
        <f>VLOOKUP($A181,'맨홀 평균 높이'!$J$4:$M$572,4,0)</f>
        <v>보  도</v>
      </c>
      <c r="Q181" s="1264" t="s">
        <v>1230</v>
      </c>
      <c r="R181" s="1264" t="s">
        <v>1331</v>
      </c>
      <c r="S181" s="1252">
        <f>VLOOKUP($R181,Sheet1!$A$3:$C$241,2,FALSE)</f>
        <v>0</v>
      </c>
      <c r="T181" s="1252">
        <f>VLOOKUP($R181,Sheet1!$A$3:$C$241,3,FALSE)</f>
        <v>2</v>
      </c>
      <c r="U181" s="1252"/>
      <c r="V181" s="1252">
        <f>VLOOKUP($R181,Sheet1!$A$3:$F$214,4,FALSE)</f>
        <v>0</v>
      </c>
      <c r="W181" s="1252">
        <f>VLOOKUP($R181,Sheet1!$A$3:$F$214,5,FALSE)</f>
        <v>2</v>
      </c>
      <c r="X181" s="1252">
        <f>VLOOKUP($R181,Sheet1!$A$3:$F$214,6,FALSE)</f>
        <v>0</v>
      </c>
      <c r="Y181" s="1252"/>
      <c r="Z181" s="1252"/>
      <c r="AA181" s="917"/>
      <c r="AB181" s="917"/>
      <c r="AC181" s="917"/>
      <c r="AD181" s="917"/>
      <c r="AE181" s="917"/>
      <c r="AF181" s="917"/>
      <c r="AG181" s="917"/>
      <c r="AH181" s="917"/>
      <c r="AI181" s="917"/>
      <c r="AJ181" s="917"/>
      <c r="AK181" s="917"/>
      <c r="AL181" s="917"/>
      <c r="AM181" s="917"/>
      <c r="AN181" s="917"/>
      <c r="AO181" s="917"/>
    </row>
    <row r="182" spans="1:41" s="913" customFormat="1" ht="15.95" customHeight="1">
      <c r="A182" s="1248" t="str">
        <f t="shared" si="53"/>
        <v>M2-007</v>
      </c>
      <c r="B182" s="915" t="str">
        <f t="shared" si="46"/>
        <v>보도</v>
      </c>
      <c r="C182" s="1251">
        <f t="shared" si="54"/>
        <v>0</v>
      </c>
      <c r="D182" s="1251"/>
      <c r="E182" s="1251">
        <f t="shared" si="47"/>
        <v>1</v>
      </c>
      <c r="F182" s="1251">
        <v>1</v>
      </c>
      <c r="G182" s="1251">
        <f t="shared" si="48"/>
        <v>0</v>
      </c>
      <c r="H182" s="1251"/>
      <c r="I182" s="1251">
        <f t="shared" si="49"/>
        <v>0</v>
      </c>
      <c r="J182" s="1251"/>
      <c r="K182" s="1251">
        <f t="shared" si="50"/>
        <v>0</v>
      </c>
      <c r="L182" s="915"/>
      <c r="M182" s="915"/>
      <c r="N182" s="916">
        <f t="shared" si="51"/>
        <v>2</v>
      </c>
      <c r="O182" s="916">
        <f t="shared" si="52"/>
        <v>0</v>
      </c>
      <c r="P182" s="916" t="str">
        <f>VLOOKUP($A182,'맨홀 평균 높이'!$J$4:$M$572,4,0)</f>
        <v>보  도</v>
      </c>
      <c r="Q182" s="1264" t="s">
        <v>1334</v>
      </c>
      <c r="R182" s="1264" t="s">
        <v>1381</v>
      </c>
      <c r="S182" s="1252">
        <f>VLOOKUP($R182,Sheet1!$A$3:$C$241,2,FALSE)</f>
        <v>0</v>
      </c>
      <c r="T182" s="1252">
        <f>VLOOKUP($R182,Sheet1!$A$3:$C$241,3,FALSE)</f>
        <v>2</v>
      </c>
      <c r="U182" s="1252"/>
      <c r="V182" s="1252">
        <f>VLOOKUP($R182,Sheet1!$A$3:$F$214,4,FALSE)</f>
        <v>0</v>
      </c>
      <c r="W182" s="1252">
        <f>VLOOKUP($R182,Sheet1!$A$3:$F$214,5,FALSE)</f>
        <v>2</v>
      </c>
      <c r="X182" s="1252">
        <f>VLOOKUP($R182,Sheet1!$A$3:$F$214,6,FALSE)</f>
        <v>0</v>
      </c>
      <c r="Y182" s="1252"/>
      <c r="Z182" s="1252"/>
      <c r="AA182" s="917"/>
      <c r="AB182" s="917"/>
      <c r="AC182" s="917"/>
      <c r="AD182" s="917"/>
      <c r="AE182" s="917"/>
      <c r="AF182" s="917"/>
      <c r="AG182" s="917"/>
      <c r="AH182" s="917"/>
      <c r="AI182" s="917"/>
      <c r="AJ182" s="917"/>
      <c r="AK182" s="917"/>
      <c r="AL182" s="917"/>
      <c r="AM182" s="917"/>
      <c r="AN182" s="917"/>
      <c r="AO182" s="917"/>
    </row>
    <row r="183" spans="1:41" s="913" customFormat="1" ht="15.95" customHeight="1">
      <c r="A183" s="1248" t="str">
        <f t="shared" si="53"/>
        <v>M2-008(1)</v>
      </c>
      <c r="B183" s="915" t="str">
        <f t="shared" si="46"/>
        <v>보도</v>
      </c>
      <c r="C183" s="1251">
        <f t="shared" si="54"/>
        <v>0</v>
      </c>
      <c r="D183" s="1251"/>
      <c r="E183" s="1251">
        <f t="shared" si="47"/>
        <v>1</v>
      </c>
      <c r="F183" s="1251">
        <v>1</v>
      </c>
      <c r="G183" s="1251">
        <f t="shared" si="48"/>
        <v>0</v>
      </c>
      <c r="H183" s="1251"/>
      <c r="I183" s="1251">
        <f t="shared" si="49"/>
        <v>0</v>
      </c>
      <c r="J183" s="1251"/>
      <c r="K183" s="1251">
        <f t="shared" si="50"/>
        <v>0</v>
      </c>
      <c r="L183" s="915"/>
      <c r="M183" s="915"/>
      <c r="N183" s="916">
        <f t="shared" si="51"/>
        <v>2</v>
      </c>
      <c r="O183" s="916">
        <f t="shared" si="52"/>
        <v>0</v>
      </c>
      <c r="P183" s="916" t="str">
        <f>VLOOKUP($A183,'맨홀 평균 높이'!$J$4:$M$572,4,0)</f>
        <v>보  도</v>
      </c>
      <c r="Q183" s="1264" t="s">
        <v>1334</v>
      </c>
      <c r="R183" s="1264" t="s">
        <v>1382</v>
      </c>
      <c r="S183" s="1252">
        <f>VLOOKUP($R183,Sheet1!$A$3:$C$241,2,FALSE)</f>
        <v>0</v>
      </c>
      <c r="T183" s="1252">
        <f>VLOOKUP($R183,Sheet1!$A$3:$C$241,3,FALSE)</f>
        <v>2</v>
      </c>
      <c r="U183" s="1252"/>
      <c r="V183" s="1252">
        <f>VLOOKUP($R183,Sheet1!$A$3:$F$214,4,FALSE)</f>
        <v>0</v>
      </c>
      <c r="W183" s="1252">
        <f>VLOOKUP($R183,Sheet1!$A$3:$F$214,5,FALSE)</f>
        <v>2</v>
      </c>
      <c r="X183" s="1252">
        <f>VLOOKUP($R183,Sheet1!$A$3:$F$214,6,FALSE)</f>
        <v>0</v>
      </c>
      <c r="Y183" s="1252"/>
      <c r="Z183" s="1252"/>
      <c r="AA183" s="917"/>
      <c r="AB183" s="917"/>
      <c r="AC183" s="917"/>
      <c r="AD183" s="917"/>
      <c r="AE183" s="917"/>
      <c r="AF183" s="917"/>
      <c r="AG183" s="917"/>
      <c r="AH183" s="917"/>
      <c r="AI183" s="917"/>
      <c r="AJ183" s="917"/>
      <c r="AK183" s="917"/>
      <c r="AL183" s="917"/>
      <c r="AM183" s="917"/>
      <c r="AN183" s="917"/>
      <c r="AO183" s="917"/>
    </row>
    <row r="184" spans="1:41" s="913" customFormat="1" ht="15.95" customHeight="1">
      <c r="A184" s="1248" t="str">
        <f>R184</f>
        <v>M2-008(2)</v>
      </c>
      <c r="B184" s="915" t="str">
        <f>IF($P184="보  도","보도","차도")</f>
        <v>차도</v>
      </c>
      <c r="C184" s="1251">
        <f>V184-D184</f>
        <v>0</v>
      </c>
      <c r="D184" s="1251"/>
      <c r="E184" s="1251">
        <f>W184-F184</f>
        <v>2</v>
      </c>
      <c r="F184" s="1251">
        <v>1</v>
      </c>
      <c r="G184" s="1251">
        <f>X184-H184</f>
        <v>0</v>
      </c>
      <c r="H184" s="1251"/>
      <c r="I184" s="1251">
        <f>Y184-J184</f>
        <v>0</v>
      </c>
      <c r="J184" s="915"/>
      <c r="K184" s="1251">
        <f>Z184-L184</f>
        <v>0</v>
      </c>
      <c r="L184" s="915"/>
      <c r="M184" s="915"/>
      <c r="N184" s="916">
        <f>SUM(C184:L184)</f>
        <v>3</v>
      </c>
      <c r="O184" s="916">
        <f>S184-N184</f>
        <v>-3</v>
      </c>
      <c r="P184" s="916" t="str">
        <f>VLOOKUP($A184,'맨홀 평균 높이'!$J$4:$M$572,4,0)</f>
        <v>차  도</v>
      </c>
      <c r="Q184" s="1264" t="s">
        <v>1334</v>
      </c>
      <c r="R184" s="1264" t="s">
        <v>1383</v>
      </c>
      <c r="S184" s="1252">
        <f>VLOOKUP($R184,Sheet1!$A$3:$C$241,2,FALSE)</f>
        <v>0</v>
      </c>
      <c r="T184" s="1252">
        <f>VLOOKUP($R184,Sheet1!$A$3:$C$241,3,FALSE)</f>
        <v>3</v>
      </c>
      <c r="U184" s="1252"/>
      <c r="V184" s="1252">
        <f>VLOOKUP($R184,Sheet1!$A$3:$F$214,4,FALSE)</f>
        <v>0</v>
      </c>
      <c r="W184" s="1252">
        <f>VLOOKUP($R184,Sheet1!$A$3:$F$214,5,FALSE)</f>
        <v>3</v>
      </c>
      <c r="X184" s="1252">
        <f>VLOOKUP($R184,Sheet1!$A$3:$F$214,6,FALSE)</f>
        <v>0</v>
      </c>
      <c r="Y184" s="1252"/>
      <c r="Z184" s="1252"/>
      <c r="AA184" s="917"/>
      <c r="AB184" s="917"/>
      <c r="AC184" s="917"/>
      <c r="AD184" s="917"/>
      <c r="AE184" s="917"/>
      <c r="AF184" s="917"/>
      <c r="AG184" s="917"/>
      <c r="AH184" s="917"/>
      <c r="AI184" s="917"/>
      <c r="AJ184" s="917"/>
      <c r="AK184" s="917"/>
      <c r="AL184" s="917"/>
      <c r="AM184" s="917"/>
      <c r="AN184" s="917"/>
      <c r="AO184" s="917"/>
    </row>
    <row r="185" spans="1:41" s="913" customFormat="1" ht="15.95" customHeight="1">
      <c r="A185" s="1248" t="str">
        <f>R185</f>
        <v>M2-009</v>
      </c>
      <c r="B185" s="915" t="str">
        <f>IF($P185="보  도","보도","차도")</f>
        <v>차도</v>
      </c>
      <c r="C185" s="1251">
        <f>V185-D185</f>
        <v>0</v>
      </c>
      <c r="D185" s="1251"/>
      <c r="E185" s="1251">
        <f>W185-F185</f>
        <v>0</v>
      </c>
      <c r="F185" s="1251">
        <v>1</v>
      </c>
      <c r="G185" s="1251">
        <f>X185-H185</f>
        <v>0</v>
      </c>
      <c r="H185" s="1251"/>
      <c r="I185" s="1251">
        <f>Y185-J185</f>
        <v>0</v>
      </c>
      <c r="J185" s="915"/>
      <c r="K185" s="1251">
        <f>Z185-L185</f>
        <v>0</v>
      </c>
      <c r="L185" s="915"/>
      <c r="M185" s="915"/>
      <c r="N185" s="916">
        <f>SUM(C185:L185)</f>
        <v>1</v>
      </c>
      <c r="O185" s="916">
        <f>S185-N185</f>
        <v>-1</v>
      </c>
      <c r="P185" s="916" t="str">
        <f>VLOOKUP($A185,'맨홀 평균 높이'!$J$4:$M$572,4,0)</f>
        <v>차  도</v>
      </c>
      <c r="Q185" s="1264" t="s">
        <v>1234</v>
      </c>
      <c r="R185" s="1264" t="s">
        <v>1384</v>
      </c>
      <c r="S185" s="1252">
        <f>VLOOKUP($R185,Sheet1!$A$3:$C$241,2,FALSE)</f>
        <v>0</v>
      </c>
      <c r="T185" s="1252">
        <f>VLOOKUP($R185,Sheet1!$A$3:$C$241,3,FALSE)</f>
        <v>1</v>
      </c>
      <c r="U185" s="1252"/>
      <c r="V185" s="1252">
        <f>VLOOKUP($R185,Sheet1!$A$3:$F$214,4,FALSE)</f>
        <v>0</v>
      </c>
      <c r="W185" s="1252">
        <f>VLOOKUP($R185,Sheet1!$A$3:$F$214,5,FALSE)</f>
        <v>1</v>
      </c>
      <c r="X185" s="1252">
        <f>VLOOKUP($R185,Sheet1!$A$3:$F$214,6,FALSE)</f>
        <v>0</v>
      </c>
      <c r="Y185" s="1252"/>
      <c r="Z185" s="1252"/>
      <c r="AA185" s="917"/>
      <c r="AB185" s="917"/>
      <c r="AC185" s="917"/>
      <c r="AD185" s="917"/>
      <c r="AE185" s="917"/>
      <c r="AF185" s="917"/>
      <c r="AG185" s="917"/>
      <c r="AH185" s="917"/>
      <c r="AI185" s="917"/>
      <c r="AJ185" s="917"/>
      <c r="AK185" s="917"/>
      <c r="AL185" s="917"/>
      <c r="AM185" s="917"/>
      <c r="AN185" s="917"/>
      <c r="AO185" s="917"/>
    </row>
    <row r="186" spans="1:41" s="913" customFormat="1" ht="15.95" customHeight="1">
      <c r="A186" s="1248" t="str">
        <f>R186</f>
        <v>M2-016</v>
      </c>
      <c r="B186" s="915" t="str">
        <f>IF($P186="보  도","보도","차도")</f>
        <v>차도</v>
      </c>
      <c r="C186" s="1251">
        <f>V186-D186</f>
        <v>0</v>
      </c>
      <c r="D186" s="1251"/>
      <c r="E186" s="1251">
        <f>W186-F186</f>
        <v>3</v>
      </c>
      <c r="F186" s="1251">
        <v>1</v>
      </c>
      <c r="G186" s="1251">
        <f>X186-H186</f>
        <v>0</v>
      </c>
      <c r="H186" s="1251"/>
      <c r="I186" s="1251">
        <f>Y186-J186</f>
        <v>0</v>
      </c>
      <c r="J186" s="915"/>
      <c r="K186" s="1251">
        <f>Z186-L186</f>
        <v>0</v>
      </c>
      <c r="L186" s="915"/>
      <c r="M186" s="915"/>
      <c r="N186" s="916">
        <f>SUM(C186:L186)</f>
        <v>4</v>
      </c>
      <c r="O186" s="916">
        <f>S186-N186</f>
        <v>0</v>
      </c>
      <c r="P186" s="916" t="str">
        <f>VLOOKUP($A186,'맨홀 평균 높이'!$J$4:$M$572,4,0)</f>
        <v>차  도</v>
      </c>
      <c r="Q186" s="1264" t="s">
        <v>1234</v>
      </c>
      <c r="R186" s="1264" t="s">
        <v>1496</v>
      </c>
      <c r="S186" s="1252">
        <f>VLOOKUP($R186,Sheet1!$A$3:$C$241,2,FALSE)</f>
        <v>4</v>
      </c>
      <c r="T186" s="1252">
        <f>VLOOKUP($R186,Sheet1!$A$3:$C$241,3,FALSE)</f>
        <v>0</v>
      </c>
      <c r="U186" s="1252"/>
      <c r="V186" s="1252">
        <f>VLOOKUP($R186,Sheet1!$A$3:$F$214,4,FALSE)</f>
        <v>0</v>
      </c>
      <c r="W186" s="1252">
        <f>VLOOKUP($R186,Sheet1!$A$3:$F$214,5,FALSE)</f>
        <v>4</v>
      </c>
      <c r="X186" s="1252">
        <f>VLOOKUP($R186,Sheet1!$A$3:$F$214,6,FALSE)</f>
        <v>0</v>
      </c>
      <c r="Y186" s="1252"/>
      <c r="Z186" s="1252"/>
      <c r="AA186" s="917"/>
      <c r="AB186" s="917"/>
      <c r="AC186" s="917"/>
      <c r="AD186" s="917"/>
      <c r="AE186" s="917"/>
      <c r="AF186" s="917"/>
      <c r="AG186" s="917"/>
      <c r="AH186" s="917"/>
      <c r="AI186" s="917"/>
      <c r="AJ186" s="917"/>
      <c r="AK186" s="917"/>
      <c r="AL186" s="917"/>
      <c r="AM186" s="917"/>
      <c r="AN186" s="917"/>
      <c r="AO186" s="917"/>
    </row>
    <row r="187" spans="1:41" s="913" customFormat="1" ht="15.95" customHeight="1">
      <c r="A187" s="1282" t="str">
        <f>R187</f>
        <v>M2-023</v>
      </c>
      <c r="B187" s="915" t="str">
        <f>IF($P187="보  도","보도","차도")</f>
        <v>차도</v>
      </c>
      <c r="C187" s="1251">
        <f>V187-D187</f>
        <v>0</v>
      </c>
      <c r="D187" s="1251"/>
      <c r="E187" s="1251">
        <f>W187-F187</f>
        <v>2</v>
      </c>
      <c r="F187" s="1251">
        <v>1</v>
      </c>
      <c r="G187" s="1251">
        <f>X187-H187</f>
        <v>0</v>
      </c>
      <c r="H187" s="1251"/>
      <c r="I187" s="1251">
        <f>Y187-J187</f>
        <v>0</v>
      </c>
      <c r="J187" s="915"/>
      <c r="K187" s="1251">
        <f>Z187-L187</f>
        <v>0</v>
      </c>
      <c r="L187" s="915"/>
      <c r="M187" s="915"/>
      <c r="N187" s="916">
        <f>SUM(C187:L187)</f>
        <v>3</v>
      </c>
      <c r="O187" s="916">
        <f>S187-N187</f>
        <v>0</v>
      </c>
      <c r="P187" s="916" t="str">
        <f>VLOOKUP($A187,'맨홀 평균 높이'!$J$4:$M$572,4,0)</f>
        <v>차  도</v>
      </c>
      <c r="Q187" s="1264" t="s">
        <v>1234</v>
      </c>
      <c r="R187" s="1281" t="s">
        <v>1542</v>
      </c>
      <c r="S187" s="1252">
        <f>VLOOKUP($R187,Sheet1!$A$3:$C$241,2,FALSE)</f>
        <v>3</v>
      </c>
      <c r="T187" s="1252">
        <f>VLOOKUP($R187,Sheet1!$A$3:$C$241,3,FALSE)</f>
        <v>0</v>
      </c>
      <c r="U187" s="1252"/>
      <c r="V187" s="1252">
        <f>VLOOKUP($R187,Sheet1!$A$3:$F$214,4,FALSE)</f>
        <v>0</v>
      </c>
      <c r="W187" s="1252">
        <f>VLOOKUP($R187,Sheet1!$A$3:$F$214,5,FALSE)</f>
        <v>3</v>
      </c>
      <c r="X187" s="1252">
        <f>VLOOKUP($R187,Sheet1!$A$3:$F$214,6,FALSE)</f>
        <v>0</v>
      </c>
      <c r="Y187" s="1252"/>
      <c r="Z187" s="1252"/>
      <c r="AA187" s="917"/>
      <c r="AB187" s="917"/>
      <c r="AC187" s="917"/>
      <c r="AD187" s="917"/>
      <c r="AE187" s="917"/>
      <c r="AF187" s="917"/>
      <c r="AG187" s="917"/>
      <c r="AH187" s="917"/>
      <c r="AI187" s="917"/>
      <c r="AJ187" s="917"/>
      <c r="AK187" s="917"/>
      <c r="AL187" s="917"/>
      <c r="AM187" s="917"/>
      <c r="AN187" s="917"/>
      <c r="AO187" s="917"/>
    </row>
    <row r="188" spans="1:41" s="913" customFormat="1" ht="15.95" customHeight="1">
      <c r="A188" s="1248" t="str">
        <f t="shared" si="53"/>
        <v>M2-025</v>
      </c>
      <c r="B188" s="915" t="str">
        <f t="shared" si="46"/>
        <v>보도</v>
      </c>
      <c r="C188" s="1251">
        <f t="shared" si="54"/>
        <v>0</v>
      </c>
      <c r="D188" s="1251"/>
      <c r="E188" s="1251">
        <f t="shared" si="47"/>
        <v>1</v>
      </c>
      <c r="F188" s="1251">
        <v>1</v>
      </c>
      <c r="G188" s="1251">
        <f t="shared" si="48"/>
        <v>0</v>
      </c>
      <c r="H188" s="1251"/>
      <c r="I188" s="1251">
        <f t="shared" si="49"/>
        <v>0</v>
      </c>
      <c r="J188" s="1251"/>
      <c r="K188" s="1251">
        <f t="shared" si="50"/>
        <v>0</v>
      </c>
      <c r="L188" s="915"/>
      <c r="M188" s="915"/>
      <c r="N188" s="916">
        <f t="shared" si="51"/>
        <v>2</v>
      </c>
      <c r="O188" s="916">
        <f t="shared" si="52"/>
        <v>0</v>
      </c>
      <c r="P188" s="916" t="str">
        <f>VLOOKUP($A188,'맨홀 평균 높이'!$J$4:$M$572,4,0)</f>
        <v>보  도</v>
      </c>
      <c r="Q188" s="1264" t="s">
        <v>1234</v>
      </c>
      <c r="R188" s="1264" t="s">
        <v>1226</v>
      </c>
      <c r="S188" s="1252">
        <f>VLOOKUP($R188,Sheet1!$A$3:$C$241,2,FALSE)</f>
        <v>0</v>
      </c>
      <c r="T188" s="1252">
        <f>VLOOKUP($R188,Sheet1!$A$3:$C$241,3,FALSE)</f>
        <v>2</v>
      </c>
      <c r="U188" s="1252"/>
      <c r="V188" s="1252">
        <f>VLOOKUP($R188,Sheet1!$A$3:$F$214,4,FALSE)</f>
        <v>0</v>
      </c>
      <c r="W188" s="1252">
        <f>VLOOKUP($R188,Sheet1!$A$3:$F$214,5,FALSE)</f>
        <v>2</v>
      </c>
      <c r="X188" s="1252">
        <f>VLOOKUP($R188,Sheet1!$A$3:$F$214,6,FALSE)</f>
        <v>0</v>
      </c>
      <c r="Y188" s="1252"/>
      <c r="Z188" s="1252"/>
      <c r="AA188" s="917"/>
      <c r="AB188" s="917"/>
      <c r="AC188" s="917"/>
      <c r="AD188" s="917"/>
      <c r="AE188" s="917"/>
      <c r="AF188" s="917"/>
      <c r="AG188" s="917"/>
      <c r="AH188" s="917"/>
      <c r="AI188" s="917"/>
      <c r="AJ188" s="917"/>
      <c r="AK188" s="917"/>
      <c r="AL188" s="917"/>
      <c r="AM188" s="917"/>
      <c r="AN188" s="917"/>
      <c r="AO188" s="917"/>
    </row>
    <row r="189" spans="1:41" s="913" customFormat="1" ht="15.95" customHeight="1">
      <c r="A189" s="1282" t="str">
        <f>R189</f>
        <v>M2-026</v>
      </c>
      <c r="B189" s="915" t="str">
        <f>IF($P189="보  도","보도","차도")</f>
        <v>보도</v>
      </c>
      <c r="C189" s="1251">
        <f>V189-D189</f>
        <v>0</v>
      </c>
      <c r="D189" s="1251"/>
      <c r="E189" s="1251">
        <f>W189-F189</f>
        <v>2</v>
      </c>
      <c r="F189" s="1251">
        <v>1</v>
      </c>
      <c r="G189" s="1251">
        <f>X189-H189</f>
        <v>0</v>
      </c>
      <c r="H189" s="1251"/>
      <c r="I189" s="1251">
        <f>Y189-J189</f>
        <v>0</v>
      </c>
      <c r="J189" s="915"/>
      <c r="K189" s="1251">
        <f>Z189-L189</f>
        <v>0</v>
      </c>
      <c r="L189" s="915"/>
      <c r="M189" s="915"/>
      <c r="N189" s="916">
        <f>SUM(C189:L189)</f>
        <v>3</v>
      </c>
      <c r="O189" s="916">
        <f>S189-N189</f>
        <v>0</v>
      </c>
      <c r="P189" s="916" t="str">
        <f>VLOOKUP($A189,'맨홀 평균 높이'!$J$4:$M$572,4,0)</f>
        <v>보  도</v>
      </c>
      <c r="Q189" s="1264" t="s">
        <v>1234</v>
      </c>
      <c r="R189" s="1264" t="s">
        <v>1543</v>
      </c>
      <c r="S189" s="1252">
        <f>VLOOKUP($R189,Sheet1!$A$3:$C$241,2,FALSE)</f>
        <v>3</v>
      </c>
      <c r="T189" s="1252">
        <f>VLOOKUP($R189,Sheet1!$A$3:$C$241,3,FALSE)</f>
        <v>0</v>
      </c>
      <c r="U189" s="1252"/>
      <c r="V189" s="1252">
        <f>VLOOKUP($R189,Sheet1!$A$3:$F$214,4,FALSE)</f>
        <v>0</v>
      </c>
      <c r="W189" s="1252">
        <f>VLOOKUP($R189,Sheet1!$A$3:$F$214,5,FALSE)</f>
        <v>3</v>
      </c>
      <c r="X189" s="1252">
        <f>VLOOKUP($R189,Sheet1!$A$3:$F$214,6,FALSE)</f>
        <v>0</v>
      </c>
      <c r="Y189" s="1252"/>
      <c r="Z189" s="1252"/>
      <c r="AA189" s="917"/>
      <c r="AB189" s="917"/>
      <c r="AC189" s="917"/>
      <c r="AD189" s="917"/>
      <c r="AE189" s="917"/>
      <c r="AF189" s="917"/>
      <c r="AG189" s="917"/>
      <c r="AH189" s="917"/>
      <c r="AI189" s="917"/>
      <c r="AJ189" s="917"/>
      <c r="AK189" s="917"/>
      <c r="AL189" s="917"/>
      <c r="AM189" s="917"/>
      <c r="AN189" s="917"/>
      <c r="AO189" s="917"/>
    </row>
    <row r="190" spans="1:41" s="913" customFormat="1" ht="15.95" customHeight="1">
      <c r="A190" s="1282" t="str">
        <f>R190</f>
        <v>M2-030</v>
      </c>
      <c r="B190" s="915" t="str">
        <f>IF($P190="보  도","보도","차도")</f>
        <v>차도</v>
      </c>
      <c r="C190" s="1251">
        <f>V190-D190</f>
        <v>0</v>
      </c>
      <c r="D190" s="1251"/>
      <c r="E190" s="1251">
        <f>W190-F190</f>
        <v>2</v>
      </c>
      <c r="F190" s="1251">
        <v>1</v>
      </c>
      <c r="G190" s="1251">
        <f>X190-H190</f>
        <v>0</v>
      </c>
      <c r="H190" s="1251"/>
      <c r="I190" s="1251">
        <f>Y190-J190</f>
        <v>0</v>
      </c>
      <c r="J190" s="915"/>
      <c r="K190" s="1251">
        <f>Z190-L190</f>
        <v>0</v>
      </c>
      <c r="L190" s="915"/>
      <c r="M190" s="915"/>
      <c r="N190" s="916">
        <f>SUM(C190:L190)</f>
        <v>3</v>
      </c>
      <c r="O190" s="916">
        <f>S190-N190</f>
        <v>0</v>
      </c>
      <c r="P190" s="916" t="str">
        <f>VLOOKUP($A190,'맨홀 평균 높이'!$J$4:$M$572,4,0)</f>
        <v>차  도</v>
      </c>
      <c r="Q190" s="1264" t="s">
        <v>1234</v>
      </c>
      <c r="R190" s="1264" t="s">
        <v>1544</v>
      </c>
      <c r="S190" s="1252">
        <f>VLOOKUP($R190,Sheet1!$A$3:$C$241,2,FALSE)</f>
        <v>3</v>
      </c>
      <c r="T190" s="1252">
        <f>VLOOKUP($R190,Sheet1!$A$3:$C$241,3,FALSE)</f>
        <v>0</v>
      </c>
      <c r="U190" s="1252"/>
      <c r="V190" s="1252">
        <f>VLOOKUP($R190,Sheet1!$A$3:$F$214,4,FALSE)</f>
        <v>0</v>
      </c>
      <c r="W190" s="1252">
        <f>VLOOKUP($R190,Sheet1!$A$3:$F$214,5,FALSE)</f>
        <v>3</v>
      </c>
      <c r="X190" s="1252">
        <f>VLOOKUP($R190,Sheet1!$A$3:$F$214,6,FALSE)</f>
        <v>0</v>
      </c>
      <c r="Y190" s="1252"/>
      <c r="Z190" s="1252"/>
      <c r="AA190" s="917"/>
      <c r="AB190" s="917"/>
      <c r="AC190" s="917"/>
      <c r="AD190" s="917"/>
      <c r="AE190" s="917"/>
      <c r="AF190" s="917"/>
      <c r="AG190" s="917"/>
      <c r="AH190" s="917"/>
      <c r="AI190" s="917"/>
      <c r="AJ190" s="917"/>
      <c r="AK190" s="917"/>
      <c r="AL190" s="917"/>
      <c r="AM190" s="917"/>
      <c r="AN190" s="917"/>
      <c r="AO190" s="917"/>
    </row>
    <row r="191" spans="1:41" s="913" customFormat="1" ht="15.95" customHeight="1">
      <c r="A191" s="1282" t="str">
        <f>R191</f>
        <v>M2-031</v>
      </c>
      <c r="B191" s="915" t="str">
        <f>IF($P191="보  도","보도","차도")</f>
        <v>차도</v>
      </c>
      <c r="C191" s="1251">
        <f>V191-D191</f>
        <v>1</v>
      </c>
      <c r="D191" s="1251"/>
      <c r="E191" s="1251">
        <f>W191-F191</f>
        <v>1</v>
      </c>
      <c r="F191" s="1251">
        <v>1</v>
      </c>
      <c r="G191" s="1251">
        <f>X191-H191</f>
        <v>0</v>
      </c>
      <c r="H191" s="1251"/>
      <c r="I191" s="1251">
        <f>Y191-J191</f>
        <v>0</v>
      </c>
      <c r="J191" s="915"/>
      <c r="K191" s="1251">
        <f>Z191-L191</f>
        <v>0</v>
      </c>
      <c r="L191" s="915"/>
      <c r="M191" s="915"/>
      <c r="N191" s="916">
        <f>SUM(C191:L191)</f>
        <v>3</v>
      </c>
      <c r="O191" s="916">
        <f>S191-N191</f>
        <v>0</v>
      </c>
      <c r="P191" s="916" t="str">
        <f>VLOOKUP($A191,'맨홀 평균 높이'!$J$4:$M$572,4,0)</f>
        <v>차  도</v>
      </c>
      <c r="Q191" s="1264" t="s">
        <v>1234</v>
      </c>
      <c r="R191" s="1264" t="s">
        <v>1545</v>
      </c>
      <c r="S191" s="1252">
        <f>VLOOKUP($R191,Sheet1!$A$3:$C$241,2,FALSE)</f>
        <v>3</v>
      </c>
      <c r="T191" s="1252">
        <f>VLOOKUP($R191,Sheet1!$A$3:$C$241,3,FALSE)</f>
        <v>0</v>
      </c>
      <c r="U191" s="1252"/>
      <c r="V191" s="1252">
        <f>VLOOKUP($R191,Sheet1!$A$3:$F$214,4,FALSE)</f>
        <v>1</v>
      </c>
      <c r="W191" s="1252">
        <f>VLOOKUP($R191,Sheet1!$A$3:$F$214,5,FALSE)</f>
        <v>2</v>
      </c>
      <c r="X191" s="1252">
        <f>VLOOKUP($R191,Sheet1!$A$3:$F$214,6,FALSE)</f>
        <v>0</v>
      </c>
      <c r="Y191" s="1252"/>
      <c r="Z191" s="1252"/>
      <c r="AA191" s="917"/>
      <c r="AB191" s="917"/>
      <c r="AC191" s="917"/>
      <c r="AD191" s="917"/>
      <c r="AE191" s="917"/>
      <c r="AF191" s="917"/>
      <c r="AG191" s="917"/>
      <c r="AH191" s="917"/>
      <c r="AI191" s="917"/>
      <c r="AJ191" s="917"/>
      <c r="AK191" s="917"/>
      <c r="AL191" s="917"/>
      <c r="AM191" s="917"/>
      <c r="AN191" s="917"/>
      <c r="AO191" s="917"/>
    </row>
    <row r="192" spans="1:41" s="913" customFormat="1" ht="15.95" customHeight="1">
      <c r="A192" s="1282" t="str">
        <f>R192</f>
        <v>M2-034</v>
      </c>
      <c r="B192" s="915" t="str">
        <f>IF($P192="보  도","보도","차도")</f>
        <v>차도</v>
      </c>
      <c r="C192" s="1251">
        <f>V192-D192</f>
        <v>0</v>
      </c>
      <c r="D192" s="1251"/>
      <c r="E192" s="1251">
        <f>W192-F192</f>
        <v>2</v>
      </c>
      <c r="F192" s="1251">
        <v>1</v>
      </c>
      <c r="G192" s="1251">
        <f>X192-H192</f>
        <v>0</v>
      </c>
      <c r="H192" s="1251"/>
      <c r="I192" s="1251">
        <f>Y192-J192</f>
        <v>0</v>
      </c>
      <c r="J192" s="915"/>
      <c r="K192" s="1251">
        <f>Z192-L192</f>
        <v>0</v>
      </c>
      <c r="L192" s="915"/>
      <c r="M192" s="915"/>
      <c r="N192" s="916">
        <f>SUM(C192:L192)</f>
        <v>3</v>
      </c>
      <c r="O192" s="916">
        <f>S192-N192</f>
        <v>0</v>
      </c>
      <c r="P192" s="916" t="str">
        <f>VLOOKUP($A192,'맨홀 평균 높이'!$J$4:$M$572,4,0)</f>
        <v>차  도</v>
      </c>
      <c r="Q192" s="1264" t="s">
        <v>1234</v>
      </c>
      <c r="R192" s="1264" t="s">
        <v>1540</v>
      </c>
      <c r="S192" s="1252">
        <f>VLOOKUP($R192,Sheet1!$A$3:$C$241,2,FALSE)</f>
        <v>3</v>
      </c>
      <c r="T192" s="1252">
        <f>VLOOKUP($R192,Sheet1!$A$3:$C$241,3,FALSE)</f>
        <v>0</v>
      </c>
      <c r="U192" s="1252"/>
      <c r="V192" s="1252">
        <f>VLOOKUP($R192,Sheet1!$A$3:$F$214,4,FALSE)</f>
        <v>0</v>
      </c>
      <c r="W192" s="1252">
        <f>VLOOKUP($R192,Sheet1!$A$3:$F$214,5,FALSE)</f>
        <v>3</v>
      </c>
      <c r="X192" s="1252">
        <f>VLOOKUP($R192,Sheet1!$A$3:$F$214,6,FALSE)</f>
        <v>0</v>
      </c>
      <c r="Y192" s="1252"/>
      <c r="Z192" s="1252"/>
      <c r="AA192" s="917"/>
      <c r="AB192" s="917"/>
      <c r="AC192" s="917"/>
      <c r="AD192" s="917"/>
      <c r="AE192" s="917"/>
      <c r="AF192" s="917"/>
      <c r="AG192" s="917"/>
      <c r="AH192" s="917"/>
      <c r="AI192" s="917"/>
      <c r="AJ192" s="917"/>
      <c r="AK192" s="917"/>
      <c r="AL192" s="917"/>
      <c r="AM192" s="917"/>
      <c r="AN192" s="917"/>
      <c r="AO192" s="917"/>
    </row>
    <row r="193" spans="1:41" s="913" customFormat="1" ht="15.95" customHeight="1">
      <c r="A193" s="1282" t="str">
        <f>R193</f>
        <v>M2-038</v>
      </c>
      <c r="B193" s="915" t="str">
        <f>IF($P193="보  도","보도","차도")</f>
        <v>차도</v>
      </c>
      <c r="C193" s="1251">
        <f>V193-D193</f>
        <v>0</v>
      </c>
      <c r="D193" s="1251"/>
      <c r="E193" s="1251">
        <f>W193-F193</f>
        <v>2</v>
      </c>
      <c r="F193" s="1251">
        <v>1</v>
      </c>
      <c r="G193" s="1251">
        <f>X193-H193</f>
        <v>0</v>
      </c>
      <c r="H193" s="1251"/>
      <c r="I193" s="1251">
        <f>Y193-J193</f>
        <v>0</v>
      </c>
      <c r="J193" s="915"/>
      <c r="K193" s="1251">
        <f>Z193-L193</f>
        <v>0</v>
      </c>
      <c r="L193" s="915"/>
      <c r="M193" s="915"/>
      <c r="N193" s="916">
        <f>SUM(C193:L193)</f>
        <v>3</v>
      </c>
      <c r="O193" s="916">
        <f>S193-N193</f>
        <v>0</v>
      </c>
      <c r="P193" s="916" t="str">
        <f>VLOOKUP($A193,'맨홀 평균 높이'!$J$4:$M$572,4,0)</f>
        <v>차  도</v>
      </c>
      <c r="Q193" s="1264" t="s">
        <v>1234</v>
      </c>
      <c r="R193" s="1264" t="s">
        <v>1546</v>
      </c>
      <c r="S193" s="1252">
        <f>VLOOKUP($R193,Sheet1!$A$3:$C$241,2,FALSE)</f>
        <v>3</v>
      </c>
      <c r="T193" s="1252">
        <f>VLOOKUP($R193,Sheet1!$A$3:$C$241,3,FALSE)</f>
        <v>0</v>
      </c>
      <c r="U193" s="1252"/>
      <c r="V193" s="1252">
        <f>VLOOKUP($R193,Sheet1!$A$3:$F$214,4,FALSE)</f>
        <v>0</v>
      </c>
      <c r="W193" s="1252">
        <f>VLOOKUP($R193,Sheet1!$A$3:$F$214,5,FALSE)</f>
        <v>3</v>
      </c>
      <c r="X193" s="1252">
        <f>VLOOKUP($R193,Sheet1!$A$3:$F$214,6,FALSE)</f>
        <v>0</v>
      </c>
      <c r="Y193" s="1252"/>
      <c r="Z193" s="1252"/>
      <c r="AA193" s="917"/>
      <c r="AB193" s="917"/>
      <c r="AC193" s="917"/>
      <c r="AD193" s="917"/>
      <c r="AE193" s="917"/>
      <c r="AF193" s="917"/>
      <c r="AG193" s="917"/>
      <c r="AH193" s="917"/>
      <c r="AI193" s="917"/>
      <c r="AJ193" s="917"/>
      <c r="AK193" s="917"/>
      <c r="AL193" s="917"/>
      <c r="AM193" s="917"/>
      <c r="AN193" s="917"/>
      <c r="AO193" s="917"/>
    </row>
    <row r="194" spans="1:41" s="913" customFormat="1" ht="15.95" customHeight="1">
      <c r="A194" s="1248" t="str">
        <f t="shared" si="53"/>
        <v>M2-042</v>
      </c>
      <c r="B194" s="915" t="str">
        <f t="shared" si="46"/>
        <v>보도</v>
      </c>
      <c r="C194" s="1251">
        <f t="shared" si="54"/>
        <v>0</v>
      </c>
      <c r="D194" s="1251"/>
      <c r="E194" s="1251">
        <f t="shared" si="47"/>
        <v>2</v>
      </c>
      <c r="F194" s="1251"/>
      <c r="G194" s="1251">
        <f t="shared" si="48"/>
        <v>0</v>
      </c>
      <c r="H194" s="1251">
        <v>1</v>
      </c>
      <c r="I194" s="1251">
        <f t="shared" si="49"/>
        <v>0</v>
      </c>
      <c r="J194" s="1251"/>
      <c r="K194" s="1251">
        <f t="shared" si="50"/>
        <v>0</v>
      </c>
      <c r="L194" s="915"/>
      <c r="M194" s="915"/>
      <c r="N194" s="916">
        <f t="shared" si="51"/>
        <v>3</v>
      </c>
      <c r="O194" s="916">
        <f t="shared" si="52"/>
        <v>0</v>
      </c>
      <c r="P194" s="916" t="str">
        <f>VLOOKUP($A194,'맨홀 평균 높이'!$J$4:$M$572,4,0)</f>
        <v>보  도</v>
      </c>
      <c r="Q194" s="1264" t="s">
        <v>1290</v>
      </c>
      <c r="R194" s="1264" t="s">
        <v>1385</v>
      </c>
      <c r="S194" s="1252">
        <f>VLOOKUP($R194,Sheet1!$A$3:$C$241,2,FALSE)</f>
        <v>0</v>
      </c>
      <c r="T194" s="1252">
        <f>VLOOKUP($R194,Sheet1!$A$3:$C$241,3,FALSE)</f>
        <v>3</v>
      </c>
      <c r="U194" s="1252"/>
      <c r="V194" s="1252">
        <f>VLOOKUP($R194,Sheet1!$A$3:$F$214,4,FALSE)</f>
        <v>0</v>
      </c>
      <c r="W194" s="1252">
        <f>VLOOKUP($R194,Sheet1!$A$3:$F$214,5,FALSE)</f>
        <v>2</v>
      </c>
      <c r="X194" s="1252">
        <f>VLOOKUP($R194,Sheet1!$A$3:$F$214,6,FALSE)</f>
        <v>1</v>
      </c>
      <c r="Y194" s="1252"/>
      <c r="Z194" s="1252"/>
      <c r="AA194" s="917"/>
      <c r="AB194" s="917"/>
      <c r="AC194" s="917"/>
      <c r="AD194" s="917"/>
      <c r="AE194" s="917"/>
      <c r="AF194" s="917"/>
      <c r="AG194" s="917"/>
      <c r="AH194" s="917"/>
      <c r="AI194" s="917"/>
      <c r="AJ194" s="917"/>
      <c r="AK194" s="917"/>
      <c r="AL194" s="917"/>
      <c r="AM194" s="917"/>
      <c r="AN194" s="917"/>
      <c r="AO194" s="917"/>
    </row>
    <row r="195" spans="1:41" s="913" customFormat="1" ht="15.95" customHeight="1">
      <c r="A195" s="1255" t="str">
        <f t="shared" ref="A195" si="55">R195</f>
        <v>M2-045</v>
      </c>
      <c r="B195" s="915" t="str">
        <f t="shared" si="46"/>
        <v>보도</v>
      </c>
      <c r="C195" s="1257">
        <f t="shared" ref="C195" si="56">V195-D195</f>
        <v>1</v>
      </c>
      <c r="D195" s="1257">
        <v>1</v>
      </c>
      <c r="E195" s="1257">
        <f t="shared" ref="E195" si="57">W195-F195</f>
        <v>0</v>
      </c>
      <c r="F195" s="1257"/>
      <c r="G195" s="1257">
        <f t="shared" ref="G195" si="58">X195-H195</f>
        <v>0</v>
      </c>
      <c r="H195" s="1257"/>
      <c r="I195" s="1257">
        <f t="shared" ref="I195" si="59">Y195-J195</f>
        <v>0</v>
      </c>
      <c r="J195" s="1257"/>
      <c r="K195" s="1257">
        <f t="shared" ref="K195" si="60">Z195-L195</f>
        <v>0</v>
      </c>
      <c r="L195" s="915"/>
      <c r="M195" s="915"/>
      <c r="N195" s="916">
        <f t="shared" ref="N195" si="61">SUM(C195:L195)</f>
        <v>2</v>
      </c>
      <c r="O195" s="916">
        <f t="shared" ref="O195" si="62">T195-N195</f>
        <v>-2</v>
      </c>
      <c r="P195" s="916" t="str">
        <f>VLOOKUP($A195,'맨홀 평균 높이'!$J$4:$M$572,4,0)</f>
        <v>보  도</v>
      </c>
      <c r="Q195" s="1264" t="s">
        <v>1263</v>
      </c>
      <c r="R195" s="1281" t="s">
        <v>1499</v>
      </c>
      <c r="S195" s="1258">
        <f>VLOOKUP($R195,Sheet1!$A$3:$C$241,2,FALSE)</f>
        <v>2</v>
      </c>
      <c r="T195" s="1258">
        <f>VLOOKUP($R195,Sheet1!$A$3:$C$241,3,FALSE)</f>
        <v>0</v>
      </c>
      <c r="U195" s="1258"/>
      <c r="V195" s="1258">
        <f>VLOOKUP($R195,Sheet1!$A$3:$F$214,4,FALSE)</f>
        <v>2</v>
      </c>
      <c r="W195" s="1258">
        <f>VLOOKUP($R195,Sheet1!$A$3:$F$214,5,FALSE)</f>
        <v>0</v>
      </c>
      <c r="X195" s="1258">
        <f>VLOOKUP($R195,Sheet1!$A$3:$F$214,6,FALSE)</f>
        <v>0</v>
      </c>
      <c r="Y195" s="1258"/>
      <c r="Z195" s="1258"/>
      <c r="AA195" s="917"/>
      <c r="AB195" s="917"/>
      <c r="AC195" s="917"/>
      <c r="AD195" s="917"/>
      <c r="AE195" s="917"/>
      <c r="AF195" s="917"/>
      <c r="AG195" s="917"/>
      <c r="AH195" s="917"/>
      <c r="AI195" s="917"/>
      <c r="AJ195" s="917"/>
      <c r="AK195" s="917"/>
      <c r="AL195" s="917"/>
      <c r="AM195" s="917"/>
      <c r="AN195" s="917"/>
      <c r="AO195" s="917"/>
    </row>
    <row r="196" spans="1:41" s="913" customFormat="1" ht="15.95" customHeight="1">
      <c r="A196" s="1248" t="str">
        <f t="shared" si="53"/>
        <v>M2-046(1)</v>
      </c>
      <c r="B196" s="915" t="str">
        <f t="shared" si="46"/>
        <v>보도</v>
      </c>
      <c r="C196" s="1251">
        <f t="shared" si="54"/>
        <v>0</v>
      </c>
      <c r="D196" s="1251">
        <v>1</v>
      </c>
      <c r="E196" s="1251">
        <f t="shared" si="47"/>
        <v>0</v>
      </c>
      <c r="F196" s="1251"/>
      <c r="G196" s="1251">
        <f t="shared" si="48"/>
        <v>0</v>
      </c>
      <c r="H196" s="1251"/>
      <c r="I196" s="1251">
        <f t="shared" si="49"/>
        <v>0</v>
      </c>
      <c r="J196" s="1251"/>
      <c r="K196" s="1251">
        <f t="shared" si="50"/>
        <v>0</v>
      </c>
      <c r="L196" s="915"/>
      <c r="M196" s="915"/>
      <c r="N196" s="916">
        <f t="shared" si="51"/>
        <v>1</v>
      </c>
      <c r="O196" s="916">
        <f t="shared" si="52"/>
        <v>0</v>
      </c>
      <c r="P196" s="916" t="str">
        <f>VLOOKUP($A196,'맨홀 평균 높이'!$J$4:$M$572,4,0)</f>
        <v>보  도</v>
      </c>
      <c r="Q196" s="1264" t="s">
        <v>1261</v>
      </c>
      <c r="R196" s="1264" t="s">
        <v>1440</v>
      </c>
      <c r="S196" s="1252">
        <f>VLOOKUP($R196,Sheet1!$A$3:$C$241,2,FALSE)</f>
        <v>0</v>
      </c>
      <c r="T196" s="1252">
        <f>VLOOKUP($R196,Sheet1!$A$3:$C$241,3,FALSE)</f>
        <v>1</v>
      </c>
      <c r="U196" s="1252"/>
      <c r="V196" s="1252">
        <f>VLOOKUP($R196,Sheet1!$A$3:$F$214,4,FALSE)</f>
        <v>1</v>
      </c>
      <c r="W196" s="1252">
        <f>VLOOKUP($R196,Sheet1!$A$3:$F$214,5,FALSE)</f>
        <v>0</v>
      </c>
      <c r="X196" s="1252">
        <f>VLOOKUP($R196,Sheet1!$A$3:$F$214,6,FALSE)</f>
        <v>0</v>
      </c>
      <c r="Y196" s="1252"/>
      <c r="Z196" s="1252"/>
      <c r="AA196" s="917"/>
      <c r="AB196" s="917"/>
      <c r="AC196" s="917"/>
      <c r="AD196" s="917"/>
      <c r="AE196" s="917"/>
      <c r="AF196" s="917"/>
      <c r="AG196" s="917"/>
      <c r="AH196" s="917"/>
      <c r="AI196" s="917"/>
      <c r="AJ196" s="917"/>
      <c r="AK196" s="917"/>
      <c r="AL196" s="917"/>
      <c r="AM196" s="917"/>
      <c r="AN196" s="917"/>
      <c r="AO196" s="917"/>
    </row>
    <row r="197" spans="1:41" s="913" customFormat="1" ht="15.95" customHeight="1">
      <c r="A197" s="1248" t="str">
        <f t="shared" ref="A197:A248" si="63">R197</f>
        <v>M2-046(3)</v>
      </c>
      <c r="B197" s="915" t="str">
        <f t="shared" si="46"/>
        <v>보도</v>
      </c>
      <c r="C197" s="1251">
        <f t="shared" si="54"/>
        <v>1</v>
      </c>
      <c r="D197" s="1251">
        <v>1</v>
      </c>
      <c r="E197" s="1251">
        <f t="shared" si="47"/>
        <v>0</v>
      </c>
      <c r="F197" s="1251"/>
      <c r="G197" s="1251"/>
      <c r="H197" s="1251"/>
      <c r="I197" s="1251"/>
      <c r="J197" s="1251"/>
      <c r="K197" s="1251"/>
      <c r="L197" s="915"/>
      <c r="M197" s="915"/>
      <c r="N197" s="916">
        <f t="shared" ref="N197:N248" si="64">SUM(C197:L197)</f>
        <v>2</v>
      </c>
      <c r="O197" s="916">
        <f t="shared" ref="O197:O248" si="65">T197-N197</f>
        <v>0</v>
      </c>
      <c r="P197" s="916" t="str">
        <f>VLOOKUP($A197,'맨홀 평균 높이'!$J$4:$M$572,4,0)</f>
        <v>보  도</v>
      </c>
      <c r="Q197" s="1264" t="s">
        <v>1262</v>
      </c>
      <c r="R197" s="1264" t="s">
        <v>1441</v>
      </c>
      <c r="S197" s="1252">
        <f>VLOOKUP($R197,Sheet1!$A$3:$C$241,2,FALSE)</f>
        <v>0</v>
      </c>
      <c r="T197" s="1252">
        <f>VLOOKUP($R197,Sheet1!$A$3:$C$241,3,FALSE)</f>
        <v>2</v>
      </c>
      <c r="U197" s="1252"/>
      <c r="V197" s="1252">
        <f>VLOOKUP($R197,Sheet1!$A$3:$F$214,4,FALSE)</f>
        <v>2</v>
      </c>
      <c r="W197" s="1252">
        <f>VLOOKUP($R197,Sheet1!$A$3:$F$214,5,FALSE)</f>
        <v>0</v>
      </c>
      <c r="X197" s="1252">
        <f>VLOOKUP($R197,Sheet1!$A$3:$F$214,6,FALSE)</f>
        <v>0</v>
      </c>
      <c r="Y197" s="1252"/>
      <c r="Z197" s="1252"/>
      <c r="AA197" s="917"/>
      <c r="AB197" s="917"/>
      <c r="AC197" s="917"/>
      <c r="AD197" s="917"/>
      <c r="AE197" s="917"/>
      <c r="AF197" s="917"/>
      <c r="AG197" s="917"/>
      <c r="AH197" s="917"/>
      <c r="AI197" s="917"/>
      <c r="AJ197" s="917"/>
      <c r="AK197" s="917"/>
      <c r="AL197" s="917"/>
      <c r="AM197" s="917"/>
      <c r="AN197" s="917"/>
      <c r="AO197" s="917"/>
    </row>
    <row r="198" spans="1:41" s="913" customFormat="1" ht="15.95" customHeight="1">
      <c r="A198" s="1248" t="str">
        <f t="shared" si="63"/>
        <v>M2-047</v>
      </c>
      <c r="B198" s="915" t="str">
        <f t="shared" si="46"/>
        <v>보도</v>
      </c>
      <c r="C198" s="1251">
        <f t="shared" si="54"/>
        <v>1</v>
      </c>
      <c r="D198" s="1251"/>
      <c r="E198" s="1251">
        <f t="shared" si="47"/>
        <v>0</v>
      </c>
      <c r="F198" s="1251">
        <v>1</v>
      </c>
      <c r="G198" s="1251"/>
      <c r="H198" s="1251"/>
      <c r="I198" s="1251"/>
      <c r="J198" s="1251"/>
      <c r="K198" s="1251"/>
      <c r="L198" s="915"/>
      <c r="M198" s="915"/>
      <c r="N198" s="916">
        <f t="shared" si="64"/>
        <v>2</v>
      </c>
      <c r="O198" s="916">
        <f t="shared" si="65"/>
        <v>0</v>
      </c>
      <c r="P198" s="916" t="str">
        <f>VLOOKUP($A198,'맨홀 평균 높이'!$J$4:$M$572,4,0)</f>
        <v>보  도</v>
      </c>
      <c r="Q198" s="1264" t="s">
        <v>1262</v>
      </c>
      <c r="R198" s="1264" t="s">
        <v>1401</v>
      </c>
      <c r="S198" s="1252">
        <f>VLOOKUP($R198,Sheet1!$A$3:$C$241,2,FALSE)</f>
        <v>0</v>
      </c>
      <c r="T198" s="1252">
        <f>VLOOKUP($R198,Sheet1!$A$3:$C$241,3,FALSE)</f>
        <v>2</v>
      </c>
      <c r="U198" s="1252"/>
      <c r="V198" s="1252">
        <f>VLOOKUP($R198,Sheet1!$A$3:$F$214,4,FALSE)</f>
        <v>1</v>
      </c>
      <c r="W198" s="1252">
        <f>VLOOKUP($R198,Sheet1!$A$3:$F$214,5,FALSE)</f>
        <v>1</v>
      </c>
      <c r="X198" s="1252">
        <f>VLOOKUP($R198,Sheet1!$A$3:$F$214,6,FALSE)</f>
        <v>0</v>
      </c>
      <c r="Y198" s="1252"/>
      <c r="Z198" s="1252"/>
      <c r="AA198" s="917"/>
      <c r="AB198" s="917"/>
      <c r="AC198" s="917"/>
      <c r="AD198" s="917"/>
      <c r="AE198" s="917"/>
      <c r="AF198" s="917"/>
      <c r="AG198" s="917"/>
      <c r="AH198" s="917"/>
      <c r="AI198" s="917"/>
      <c r="AJ198" s="917"/>
      <c r="AK198" s="917"/>
      <c r="AL198" s="917"/>
      <c r="AM198" s="917"/>
      <c r="AN198" s="917"/>
      <c r="AO198" s="917"/>
    </row>
    <row r="199" spans="1:41" s="913" customFormat="1" ht="15.95" customHeight="1">
      <c r="A199" s="1255" t="str">
        <f t="shared" ref="A199" si="66">R199</f>
        <v>M2-048(1)</v>
      </c>
      <c r="B199" s="915" t="str">
        <f t="shared" si="46"/>
        <v>차도</v>
      </c>
      <c r="C199" s="1257">
        <f t="shared" ref="C199" si="67">V199-D199</f>
        <v>1</v>
      </c>
      <c r="D199" s="1257">
        <v>1</v>
      </c>
      <c r="E199" s="1257">
        <f t="shared" ref="E199" si="68">W199-F199</f>
        <v>0</v>
      </c>
      <c r="F199" s="1257"/>
      <c r="G199" s="1257"/>
      <c r="H199" s="1257"/>
      <c r="I199" s="1257"/>
      <c r="J199" s="1257"/>
      <c r="K199" s="1257"/>
      <c r="L199" s="915"/>
      <c r="M199" s="915"/>
      <c r="N199" s="916">
        <f t="shared" ref="N199" si="69">SUM(C199:L199)</f>
        <v>2</v>
      </c>
      <c r="O199" s="916">
        <f t="shared" ref="O199" si="70">T199-N199</f>
        <v>0</v>
      </c>
      <c r="P199" s="916" t="str">
        <f>VLOOKUP($A199,'맨홀 평균 높이'!$J$4:$M$572,4,0)</f>
        <v>차  도</v>
      </c>
      <c r="Q199" s="1264" t="s">
        <v>1262</v>
      </c>
      <c r="R199" s="1281" t="s">
        <v>1503</v>
      </c>
      <c r="S199" s="1258">
        <f>VLOOKUP($R199,Sheet1!$A$3:$C$241,2,FALSE)</f>
        <v>0</v>
      </c>
      <c r="T199" s="1258">
        <f>VLOOKUP($R199,Sheet1!$A$3:$C$241,3,FALSE)</f>
        <v>2</v>
      </c>
      <c r="U199" s="1258"/>
      <c r="V199" s="1258">
        <f>VLOOKUP($R199,Sheet1!$A$3:$F$214,4,FALSE)</f>
        <v>2</v>
      </c>
      <c r="W199" s="1258">
        <f>VLOOKUP($R199,Sheet1!$A$3:$F$214,5,FALSE)</f>
        <v>0</v>
      </c>
      <c r="X199" s="1258">
        <f>VLOOKUP($R199,Sheet1!$A$3:$F$214,6,FALSE)</f>
        <v>0</v>
      </c>
      <c r="Y199" s="1258"/>
      <c r="Z199" s="1258"/>
      <c r="AA199" s="917"/>
      <c r="AB199" s="917"/>
      <c r="AC199" s="917"/>
      <c r="AD199" s="917"/>
      <c r="AE199" s="917"/>
      <c r="AF199" s="917"/>
      <c r="AG199" s="917"/>
      <c r="AH199" s="917"/>
      <c r="AI199" s="917"/>
      <c r="AJ199" s="917"/>
      <c r="AK199" s="917"/>
      <c r="AL199" s="917"/>
      <c r="AM199" s="917"/>
      <c r="AN199" s="917"/>
      <c r="AO199" s="917"/>
    </row>
    <row r="200" spans="1:41" s="913" customFormat="1" ht="15.95" customHeight="1">
      <c r="A200" s="1248" t="str">
        <f t="shared" si="63"/>
        <v>M2-049</v>
      </c>
      <c r="B200" s="915" t="str">
        <f t="shared" si="46"/>
        <v>차도</v>
      </c>
      <c r="C200" s="1251">
        <f t="shared" si="54"/>
        <v>2</v>
      </c>
      <c r="D200" s="1251"/>
      <c r="E200" s="1251">
        <f t="shared" si="47"/>
        <v>0</v>
      </c>
      <c r="F200" s="1251">
        <v>1</v>
      </c>
      <c r="G200" s="1251"/>
      <c r="H200" s="1251"/>
      <c r="I200" s="1251"/>
      <c r="J200" s="1251"/>
      <c r="K200" s="1251"/>
      <c r="L200" s="915"/>
      <c r="M200" s="915"/>
      <c r="N200" s="916">
        <f t="shared" si="64"/>
        <v>3</v>
      </c>
      <c r="O200" s="916">
        <f t="shared" si="65"/>
        <v>0</v>
      </c>
      <c r="P200" s="916" t="str">
        <f>VLOOKUP($A200,'맨홀 평균 높이'!$J$4:$M$572,4,0)</f>
        <v>차  도</v>
      </c>
      <c r="Q200" s="1264" t="s">
        <v>1263</v>
      </c>
      <c r="R200" s="1264" t="s">
        <v>1386</v>
      </c>
      <c r="S200" s="1252">
        <f>VLOOKUP($R200,Sheet1!$A$3:$C$241,2,FALSE)</f>
        <v>0</v>
      </c>
      <c r="T200" s="1252">
        <f>VLOOKUP($R200,Sheet1!$A$3:$C$241,3,FALSE)</f>
        <v>3</v>
      </c>
      <c r="U200" s="1252"/>
      <c r="V200" s="1252">
        <f>VLOOKUP($R200,Sheet1!$A$3:$F$214,4,FALSE)</f>
        <v>2</v>
      </c>
      <c r="W200" s="1252">
        <f>VLOOKUP($R200,Sheet1!$A$3:$F$214,5,FALSE)</f>
        <v>1</v>
      </c>
      <c r="X200" s="1252">
        <f>VLOOKUP($R200,Sheet1!$A$3:$F$214,6,FALSE)</f>
        <v>0</v>
      </c>
      <c r="Y200" s="1252"/>
      <c r="Z200" s="1252"/>
      <c r="AA200" s="917"/>
      <c r="AB200" s="917"/>
      <c r="AC200" s="917"/>
      <c r="AD200" s="917"/>
      <c r="AE200" s="917"/>
      <c r="AF200" s="917"/>
      <c r="AG200" s="917"/>
      <c r="AH200" s="917"/>
      <c r="AI200" s="917"/>
      <c r="AJ200" s="917"/>
      <c r="AK200" s="917"/>
      <c r="AL200" s="917"/>
      <c r="AM200" s="917"/>
      <c r="AN200" s="917"/>
      <c r="AO200" s="917"/>
    </row>
    <row r="201" spans="1:41" s="913" customFormat="1" ht="15.95" customHeight="1">
      <c r="A201" s="1248" t="str">
        <f t="shared" si="63"/>
        <v>M2-050(1)</v>
      </c>
      <c r="B201" s="915" t="str">
        <f t="shared" si="46"/>
        <v>차도</v>
      </c>
      <c r="C201" s="1251">
        <f t="shared" si="54"/>
        <v>2</v>
      </c>
      <c r="D201" s="1251">
        <v>1</v>
      </c>
      <c r="E201" s="1251">
        <f t="shared" si="47"/>
        <v>0</v>
      </c>
      <c r="F201" s="1251"/>
      <c r="G201" s="1251"/>
      <c r="H201" s="1251"/>
      <c r="I201" s="1251"/>
      <c r="J201" s="1251"/>
      <c r="K201" s="1251"/>
      <c r="L201" s="915"/>
      <c r="M201" s="915"/>
      <c r="N201" s="916">
        <f t="shared" si="64"/>
        <v>3</v>
      </c>
      <c r="O201" s="916">
        <f t="shared" si="65"/>
        <v>0</v>
      </c>
      <c r="P201" s="916" t="str">
        <f>VLOOKUP($A201,'맨홀 평균 높이'!$J$4:$M$572,4,0)</f>
        <v>차  도</v>
      </c>
      <c r="Q201" s="1264" t="s">
        <v>1263</v>
      </c>
      <c r="R201" s="1264" t="s">
        <v>1442</v>
      </c>
      <c r="S201" s="1252">
        <f>VLOOKUP($R201,Sheet1!$A$3:$C$241,2,FALSE)</f>
        <v>0</v>
      </c>
      <c r="T201" s="1252">
        <f>VLOOKUP($R201,Sheet1!$A$3:$C$241,3,FALSE)</f>
        <v>3</v>
      </c>
      <c r="U201" s="1252"/>
      <c r="V201" s="1252">
        <f>VLOOKUP($R201,Sheet1!$A$3:$F$214,4,FALSE)</f>
        <v>3</v>
      </c>
      <c r="W201" s="1252">
        <f>VLOOKUP($R201,Sheet1!$A$3:$F$214,5,FALSE)</f>
        <v>0</v>
      </c>
      <c r="X201" s="1252">
        <f>VLOOKUP($R201,Sheet1!$A$3:$F$214,6,FALSE)</f>
        <v>0</v>
      </c>
      <c r="Y201" s="1252"/>
      <c r="Z201" s="1252"/>
      <c r="AA201" s="917"/>
      <c r="AB201" s="917"/>
      <c r="AC201" s="917"/>
      <c r="AD201" s="917"/>
      <c r="AE201" s="917"/>
      <c r="AF201" s="917"/>
      <c r="AG201" s="917"/>
      <c r="AH201" s="917"/>
      <c r="AI201" s="917"/>
      <c r="AJ201" s="917"/>
      <c r="AK201" s="917"/>
      <c r="AL201" s="917"/>
      <c r="AM201" s="917"/>
      <c r="AN201" s="917"/>
      <c r="AO201" s="917"/>
    </row>
    <row r="202" spans="1:41" s="913" customFormat="1" ht="15.95" customHeight="1">
      <c r="A202" s="1248" t="str">
        <f t="shared" ref="A202" si="71">R202</f>
        <v>M2-050(2)</v>
      </c>
      <c r="B202" s="915" t="str">
        <f t="shared" si="46"/>
        <v>보도</v>
      </c>
      <c r="C202" s="1251">
        <f t="shared" ref="C202" si="72">V202-D202</f>
        <v>1</v>
      </c>
      <c r="D202" s="1251">
        <v>1</v>
      </c>
      <c r="E202" s="1251">
        <f t="shared" ref="E202" si="73">W202-F202</f>
        <v>0</v>
      </c>
      <c r="F202" s="1251"/>
      <c r="G202" s="1251"/>
      <c r="H202" s="1251"/>
      <c r="I202" s="1251"/>
      <c r="J202" s="1251"/>
      <c r="K202" s="1251"/>
      <c r="L202" s="915"/>
      <c r="M202" s="915"/>
      <c r="N202" s="916">
        <f t="shared" ref="N202" si="74">SUM(C202:L202)</f>
        <v>2</v>
      </c>
      <c r="O202" s="916">
        <f t="shared" ref="O202" si="75">T202-N202</f>
        <v>0</v>
      </c>
      <c r="P202" s="916" t="str">
        <f>VLOOKUP($A202,'맨홀 평균 높이'!$J$4:$M$572,4,0)</f>
        <v>보  도</v>
      </c>
      <c r="Q202" s="1264" t="s">
        <v>1263</v>
      </c>
      <c r="R202" s="1264" t="s">
        <v>1443</v>
      </c>
      <c r="S202" s="1252">
        <f>VLOOKUP($R202,Sheet1!$A$3:$C$241,2,FALSE)</f>
        <v>0</v>
      </c>
      <c r="T202" s="1252">
        <f>VLOOKUP($R202,Sheet1!$A$3:$C$241,3,FALSE)</f>
        <v>2</v>
      </c>
      <c r="U202" s="1252"/>
      <c r="V202" s="1252">
        <f>VLOOKUP($R202,Sheet1!$A$3:$F$214,4,FALSE)</f>
        <v>2</v>
      </c>
      <c r="W202" s="1252">
        <f>VLOOKUP($R202,Sheet1!$A$3:$F$214,5,FALSE)</f>
        <v>0</v>
      </c>
      <c r="X202" s="1252">
        <f>VLOOKUP($R202,Sheet1!$A$3:$F$214,6,FALSE)</f>
        <v>0</v>
      </c>
      <c r="Y202" s="1252"/>
      <c r="Z202" s="1252"/>
      <c r="AA202" s="917"/>
      <c r="AB202" s="917"/>
      <c r="AC202" s="917"/>
      <c r="AD202" s="917"/>
      <c r="AE202" s="917"/>
      <c r="AF202" s="917"/>
      <c r="AG202" s="917"/>
      <c r="AH202" s="917"/>
      <c r="AI202" s="917"/>
      <c r="AJ202" s="917"/>
      <c r="AK202" s="917"/>
      <c r="AL202" s="917"/>
      <c r="AM202" s="917"/>
      <c r="AN202" s="917"/>
      <c r="AO202" s="917"/>
    </row>
    <row r="203" spans="1:41" s="913" customFormat="1" ht="15.95" customHeight="1">
      <c r="A203" s="1248" t="str">
        <f t="shared" si="63"/>
        <v>M2-050(3)</v>
      </c>
      <c r="B203" s="915" t="str">
        <f t="shared" si="46"/>
        <v>보도</v>
      </c>
      <c r="C203" s="1251">
        <f t="shared" si="54"/>
        <v>1</v>
      </c>
      <c r="D203" s="1251">
        <v>1</v>
      </c>
      <c r="E203" s="1251">
        <f t="shared" si="47"/>
        <v>0</v>
      </c>
      <c r="F203" s="1251"/>
      <c r="G203" s="1251"/>
      <c r="H203" s="1251"/>
      <c r="I203" s="1251"/>
      <c r="J203" s="1251"/>
      <c r="K203" s="1251"/>
      <c r="L203" s="915"/>
      <c r="M203" s="915"/>
      <c r="N203" s="916">
        <f t="shared" si="64"/>
        <v>2</v>
      </c>
      <c r="O203" s="916">
        <f t="shared" si="65"/>
        <v>0</v>
      </c>
      <c r="P203" s="916" t="str">
        <f>VLOOKUP($A203,'맨홀 평균 높이'!$J$4:$M$572,4,0)</f>
        <v>보  도</v>
      </c>
      <c r="Q203" s="1264" t="s">
        <v>1263</v>
      </c>
      <c r="R203" s="1264" t="s">
        <v>1444</v>
      </c>
      <c r="S203" s="1252">
        <f>VLOOKUP($R203,Sheet1!$A$3:$C$241,2,FALSE)</f>
        <v>0</v>
      </c>
      <c r="T203" s="1252">
        <f>VLOOKUP($R203,Sheet1!$A$3:$C$241,3,FALSE)</f>
        <v>2</v>
      </c>
      <c r="U203" s="1252"/>
      <c r="V203" s="1252">
        <f>VLOOKUP($R203,Sheet1!$A$3:$F$214,4,FALSE)</f>
        <v>2</v>
      </c>
      <c r="W203" s="1252">
        <f>VLOOKUP($R203,Sheet1!$A$3:$F$214,5,FALSE)</f>
        <v>0</v>
      </c>
      <c r="X203" s="1252">
        <f>VLOOKUP($R203,Sheet1!$A$3:$F$214,6,FALSE)</f>
        <v>0</v>
      </c>
      <c r="Y203" s="1252"/>
      <c r="Z203" s="1252"/>
      <c r="AA203" s="917"/>
      <c r="AB203" s="917"/>
      <c r="AC203" s="917"/>
      <c r="AD203" s="917"/>
      <c r="AE203" s="917"/>
      <c r="AF203" s="917"/>
      <c r="AG203" s="917"/>
      <c r="AH203" s="917"/>
      <c r="AI203" s="917"/>
      <c r="AJ203" s="917"/>
      <c r="AK203" s="917"/>
      <c r="AL203" s="917"/>
      <c r="AM203" s="917"/>
      <c r="AN203" s="917"/>
      <c r="AO203" s="917"/>
    </row>
    <row r="204" spans="1:41" s="913" customFormat="1" ht="15.95" customHeight="1">
      <c r="A204" s="1248" t="str">
        <f t="shared" si="63"/>
        <v>M2-051(1)</v>
      </c>
      <c r="B204" s="915" t="str">
        <f t="shared" si="46"/>
        <v>보도</v>
      </c>
      <c r="C204" s="1251">
        <f t="shared" si="54"/>
        <v>1</v>
      </c>
      <c r="D204" s="1251">
        <v>1</v>
      </c>
      <c r="E204" s="1251">
        <f t="shared" si="47"/>
        <v>0</v>
      </c>
      <c r="F204" s="1251"/>
      <c r="G204" s="1251"/>
      <c r="H204" s="1251"/>
      <c r="I204" s="1251"/>
      <c r="J204" s="1251"/>
      <c r="K204" s="1251"/>
      <c r="L204" s="915"/>
      <c r="M204" s="915"/>
      <c r="N204" s="916">
        <f t="shared" si="64"/>
        <v>2</v>
      </c>
      <c r="O204" s="916">
        <f t="shared" si="65"/>
        <v>0</v>
      </c>
      <c r="P204" s="916" t="str">
        <f>VLOOKUP($A204,'맨홀 평균 높이'!$J$4:$M$572,4,0)</f>
        <v>보  도</v>
      </c>
      <c r="Q204" s="1264" t="s">
        <v>1263</v>
      </c>
      <c r="R204" s="1264" t="s">
        <v>1445</v>
      </c>
      <c r="S204" s="1252">
        <f>VLOOKUP($R204,Sheet1!$A$3:$C$241,2,FALSE)</f>
        <v>0</v>
      </c>
      <c r="T204" s="1252">
        <f>VLOOKUP($R204,Sheet1!$A$3:$C$241,3,FALSE)</f>
        <v>2</v>
      </c>
      <c r="U204" s="1252"/>
      <c r="V204" s="1252">
        <f>VLOOKUP($R204,Sheet1!$A$3:$F$214,4,FALSE)</f>
        <v>2</v>
      </c>
      <c r="W204" s="1252">
        <f>VLOOKUP($R204,Sheet1!$A$3:$F$214,5,FALSE)</f>
        <v>0</v>
      </c>
      <c r="X204" s="1252">
        <f>VLOOKUP($R204,Sheet1!$A$3:$F$214,6,FALSE)</f>
        <v>0</v>
      </c>
      <c r="Y204" s="1252"/>
      <c r="Z204" s="1252"/>
      <c r="AA204" s="917"/>
      <c r="AB204" s="917"/>
      <c r="AC204" s="917"/>
      <c r="AD204" s="917"/>
      <c r="AE204" s="917"/>
      <c r="AF204" s="917"/>
      <c r="AG204" s="917"/>
      <c r="AH204" s="917"/>
      <c r="AI204" s="917"/>
      <c r="AJ204" s="917"/>
      <c r="AK204" s="917"/>
      <c r="AL204" s="917"/>
      <c r="AM204" s="917"/>
      <c r="AN204" s="917"/>
      <c r="AO204" s="917"/>
    </row>
    <row r="205" spans="1:41" s="913" customFormat="1" ht="15.95" customHeight="1">
      <c r="A205" s="1248" t="str">
        <f t="shared" si="63"/>
        <v>M2-052</v>
      </c>
      <c r="B205" s="915" t="str">
        <f t="shared" si="46"/>
        <v>차도</v>
      </c>
      <c r="C205" s="1251">
        <f t="shared" si="54"/>
        <v>1</v>
      </c>
      <c r="D205" s="1251">
        <v>1</v>
      </c>
      <c r="E205" s="1251">
        <f t="shared" si="47"/>
        <v>0</v>
      </c>
      <c r="F205" s="1251"/>
      <c r="G205" s="1251"/>
      <c r="H205" s="1251"/>
      <c r="I205" s="1251"/>
      <c r="J205" s="1251"/>
      <c r="K205" s="1251"/>
      <c r="L205" s="915"/>
      <c r="M205" s="915"/>
      <c r="N205" s="916">
        <f t="shared" si="64"/>
        <v>2</v>
      </c>
      <c r="O205" s="916">
        <f t="shared" si="65"/>
        <v>0</v>
      </c>
      <c r="P205" s="916" t="str">
        <f>VLOOKUP($A205,'맨홀 평균 높이'!$J$4:$M$572,4,0)</f>
        <v>차  도</v>
      </c>
      <c r="Q205" s="1264" t="s">
        <v>1263</v>
      </c>
      <c r="R205" s="1264" t="s">
        <v>1446</v>
      </c>
      <c r="S205" s="1252">
        <f>VLOOKUP($R205,Sheet1!$A$3:$C$241,2,FALSE)</f>
        <v>0</v>
      </c>
      <c r="T205" s="1252">
        <f>VLOOKUP($R205,Sheet1!$A$3:$C$241,3,FALSE)</f>
        <v>2</v>
      </c>
      <c r="U205" s="1252"/>
      <c r="V205" s="1252">
        <f>VLOOKUP($R205,Sheet1!$A$3:$F$214,4,FALSE)</f>
        <v>2</v>
      </c>
      <c r="W205" s="1252">
        <f>VLOOKUP($R205,Sheet1!$A$3:$F$214,5,FALSE)</f>
        <v>0</v>
      </c>
      <c r="X205" s="1252">
        <f>VLOOKUP($R205,Sheet1!$A$3:$F$214,6,FALSE)</f>
        <v>0</v>
      </c>
      <c r="Y205" s="1252"/>
      <c r="Z205" s="1252"/>
      <c r="AA205" s="917"/>
      <c r="AB205" s="917"/>
      <c r="AC205" s="917"/>
      <c r="AD205" s="917"/>
      <c r="AE205" s="917"/>
      <c r="AF205" s="917"/>
      <c r="AG205" s="917"/>
      <c r="AH205" s="917"/>
      <c r="AI205" s="917"/>
      <c r="AJ205" s="917"/>
      <c r="AK205" s="917"/>
      <c r="AL205" s="917"/>
      <c r="AM205" s="917"/>
      <c r="AN205" s="917"/>
      <c r="AO205" s="917"/>
    </row>
    <row r="206" spans="1:41" s="913" customFormat="1" ht="15.95" customHeight="1">
      <c r="A206" s="1248" t="str">
        <f t="shared" si="63"/>
        <v>M2-053</v>
      </c>
      <c r="B206" s="915" t="str">
        <f t="shared" si="46"/>
        <v>차도</v>
      </c>
      <c r="C206" s="1251">
        <f t="shared" si="54"/>
        <v>1</v>
      </c>
      <c r="D206" s="1251"/>
      <c r="E206" s="1251">
        <f t="shared" si="47"/>
        <v>0</v>
      </c>
      <c r="F206" s="1251">
        <v>1</v>
      </c>
      <c r="G206" s="1251"/>
      <c r="H206" s="1251"/>
      <c r="I206" s="1251"/>
      <c r="J206" s="1251"/>
      <c r="K206" s="1251"/>
      <c r="L206" s="915"/>
      <c r="M206" s="915"/>
      <c r="N206" s="916">
        <f t="shared" si="64"/>
        <v>2</v>
      </c>
      <c r="O206" s="916">
        <f t="shared" si="65"/>
        <v>0</v>
      </c>
      <c r="P206" s="916" t="str">
        <f>VLOOKUP($A206,'맨홀 평균 높이'!$J$4:$M$572,4,0)</f>
        <v>차  도</v>
      </c>
      <c r="Q206" s="1264" t="s">
        <v>1264</v>
      </c>
      <c r="R206" s="1264" t="s">
        <v>1402</v>
      </c>
      <c r="S206" s="1252">
        <f>VLOOKUP($R206,Sheet1!$A$3:$C$241,2,FALSE)</f>
        <v>0</v>
      </c>
      <c r="T206" s="1252">
        <f>VLOOKUP($R206,Sheet1!$A$3:$C$241,3,FALSE)</f>
        <v>2</v>
      </c>
      <c r="U206" s="1252"/>
      <c r="V206" s="1252">
        <f>VLOOKUP($R206,Sheet1!$A$3:$F$214,4,FALSE)</f>
        <v>1</v>
      </c>
      <c r="W206" s="1252">
        <f>VLOOKUP($R206,Sheet1!$A$3:$F$214,5,FALSE)</f>
        <v>1</v>
      </c>
      <c r="X206" s="1252">
        <f>VLOOKUP($R206,Sheet1!$A$3:$F$214,6,FALSE)</f>
        <v>0</v>
      </c>
      <c r="Y206" s="1252"/>
      <c r="Z206" s="1252"/>
      <c r="AA206" s="917"/>
      <c r="AB206" s="917"/>
      <c r="AC206" s="917"/>
      <c r="AD206" s="917"/>
      <c r="AE206" s="917"/>
      <c r="AF206" s="917"/>
      <c r="AG206" s="917"/>
      <c r="AH206" s="917"/>
      <c r="AI206" s="917"/>
      <c r="AJ206" s="917"/>
      <c r="AK206" s="917"/>
      <c r="AL206" s="917"/>
      <c r="AM206" s="917"/>
      <c r="AN206" s="917"/>
      <c r="AO206" s="917"/>
    </row>
    <row r="207" spans="1:41" s="913" customFormat="1" ht="15.95" customHeight="1">
      <c r="A207" s="1248" t="str">
        <f t="shared" si="63"/>
        <v>M2-054</v>
      </c>
      <c r="B207" s="915" t="str">
        <f t="shared" si="46"/>
        <v>보도</v>
      </c>
      <c r="C207" s="1251">
        <f t="shared" si="54"/>
        <v>0</v>
      </c>
      <c r="D207" s="1251"/>
      <c r="E207" s="1251">
        <f t="shared" si="47"/>
        <v>1</v>
      </c>
      <c r="F207" s="1251">
        <v>1</v>
      </c>
      <c r="G207" s="1251"/>
      <c r="H207" s="1251"/>
      <c r="I207" s="1251"/>
      <c r="J207" s="1251"/>
      <c r="K207" s="1251"/>
      <c r="L207" s="915"/>
      <c r="M207" s="915"/>
      <c r="N207" s="916">
        <f t="shared" si="64"/>
        <v>2</v>
      </c>
      <c r="O207" s="916">
        <f t="shared" si="65"/>
        <v>0</v>
      </c>
      <c r="P207" s="916" t="str">
        <f>VLOOKUP($A207,'맨홀 평균 높이'!$J$4:$M$572,4,0)</f>
        <v>보  도</v>
      </c>
      <c r="Q207" s="1264" t="s">
        <v>1264</v>
      </c>
      <c r="R207" s="1264" t="s">
        <v>1403</v>
      </c>
      <c r="S207" s="1252">
        <f>VLOOKUP($R207,Sheet1!$A$3:$C$241,2,FALSE)</f>
        <v>0</v>
      </c>
      <c r="T207" s="1252">
        <f>VLOOKUP($R207,Sheet1!$A$3:$C$241,3,FALSE)</f>
        <v>2</v>
      </c>
      <c r="U207" s="1252"/>
      <c r="V207" s="1252">
        <f>VLOOKUP($R207,Sheet1!$A$3:$F$214,4,FALSE)</f>
        <v>0</v>
      </c>
      <c r="W207" s="1252">
        <f>VLOOKUP($R207,Sheet1!$A$3:$F$214,5,FALSE)</f>
        <v>2</v>
      </c>
      <c r="X207" s="1252">
        <f>VLOOKUP($R207,Sheet1!$A$3:$F$214,6,FALSE)</f>
        <v>0</v>
      </c>
      <c r="Y207" s="1252"/>
      <c r="Z207" s="1252"/>
      <c r="AA207" s="917"/>
      <c r="AB207" s="917"/>
      <c r="AC207" s="917"/>
      <c r="AD207" s="917"/>
      <c r="AE207" s="917"/>
      <c r="AF207" s="917"/>
      <c r="AG207" s="917"/>
      <c r="AH207" s="917"/>
      <c r="AI207" s="917"/>
      <c r="AJ207" s="917"/>
      <c r="AK207" s="917"/>
      <c r="AL207" s="917"/>
      <c r="AM207" s="917"/>
      <c r="AN207" s="917"/>
      <c r="AO207" s="917"/>
    </row>
    <row r="208" spans="1:41" s="913" customFormat="1" ht="15.95" customHeight="1">
      <c r="A208" s="1248" t="str">
        <f t="shared" si="63"/>
        <v>M2-055</v>
      </c>
      <c r="B208" s="915" t="str">
        <f t="shared" si="46"/>
        <v>보도</v>
      </c>
      <c r="C208" s="1251">
        <f t="shared" si="54"/>
        <v>0</v>
      </c>
      <c r="D208" s="1251"/>
      <c r="E208" s="1251">
        <f t="shared" si="47"/>
        <v>1</v>
      </c>
      <c r="F208" s="1251">
        <v>1</v>
      </c>
      <c r="G208" s="1251"/>
      <c r="H208" s="1251"/>
      <c r="I208" s="1251"/>
      <c r="J208" s="1251"/>
      <c r="K208" s="1251"/>
      <c r="L208" s="915"/>
      <c r="M208" s="915"/>
      <c r="N208" s="916">
        <f t="shared" si="64"/>
        <v>2</v>
      </c>
      <c r="O208" s="916">
        <f t="shared" si="65"/>
        <v>0</v>
      </c>
      <c r="P208" s="916" t="str">
        <f>VLOOKUP($A208,'맨홀 평균 높이'!$J$4:$M$572,4,0)</f>
        <v>보  도</v>
      </c>
      <c r="Q208" s="1264" t="s">
        <v>1264</v>
      </c>
      <c r="R208" s="1264" t="s">
        <v>1399</v>
      </c>
      <c r="S208" s="1252">
        <f>VLOOKUP($R208,Sheet1!$A$3:$C$241,2,FALSE)</f>
        <v>0</v>
      </c>
      <c r="T208" s="1252">
        <f>VLOOKUP($R208,Sheet1!$A$3:$C$241,3,FALSE)</f>
        <v>2</v>
      </c>
      <c r="U208" s="1252"/>
      <c r="V208" s="1252">
        <f>VLOOKUP($R208,Sheet1!$A$3:$F$214,4,FALSE)</f>
        <v>0</v>
      </c>
      <c r="W208" s="1252">
        <f>VLOOKUP($R208,Sheet1!$A$3:$F$214,5,FALSE)</f>
        <v>2</v>
      </c>
      <c r="X208" s="1252">
        <f>VLOOKUP($R208,Sheet1!$A$3:$F$214,6,FALSE)</f>
        <v>0</v>
      </c>
      <c r="Y208" s="1252"/>
      <c r="Z208" s="1252"/>
      <c r="AA208" s="917"/>
      <c r="AB208" s="917"/>
      <c r="AC208" s="917"/>
      <c r="AD208" s="917"/>
      <c r="AE208" s="917"/>
      <c r="AF208" s="917"/>
      <c r="AG208" s="917"/>
      <c r="AH208" s="917"/>
      <c r="AI208" s="917"/>
      <c r="AJ208" s="917"/>
      <c r="AK208" s="917"/>
      <c r="AL208" s="917"/>
      <c r="AM208" s="917"/>
      <c r="AN208" s="917"/>
      <c r="AO208" s="917"/>
    </row>
    <row r="209" spans="1:41" s="913" customFormat="1" ht="15.95" customHeight="1">
      <c r="A209" s="1248" t="str">
        <f t="shared" si="63"/>
        <v>M2-056</v>
      </c>
      <c r="B209" s="915" t="str">
        <f t="shared" si="46"/>
        <v>보도</v>
      </c>
      <c r="C209" s="1251">
        <f t="shared" si="54"/>
        <v>0</v>
      </c>
      <c r="D209" s="1251"/>
      <c r="E209" s="1251">
        <f t="shared" si="47"/>
        <v>1</v>
      </c>
      <c r="F209" s="1251">
        <v>1</v>
      </c>
      <c r="G209" s="1251"/>
      <c r="H209" s="1251"/>
      <c r="I209" s="1251"/>
      <c r="J209" s="1251"/>
      <c r="K209" s="1251"/>
      <c r="L209" s="915"/>
      <c r="M209" s="915"/>
      <c r="N209" s="916">
        <f t="shared" si="64"/>
        <v>2</v>
      </c>
      <c r="O209" s="916">
        <f t="shared" si="65"/>
        <v>0</v>
      </c>
      <c r="P209" s="916" t="str">
        <f>VLOOKUP($A209,'맨홀 평균 높이'!$J$4:$M$572,4,0)</f>
        <v>보  도</v>
      </c>
      <c r="Q209" s="1264" t="s">
        <v>1264</v>
      </c>
      <c r="R209" s="1264" t="s">
        <v>1404</v>
      </c>
      <c r="S209" s="1252">
        <f>VLOOKUP($R209,Sheet1!$A$3:$C$241,2,FALSE)</f>
        <v>0</v>
      </c>
      <c r="T209" s="1252">
        <f>VLOOKUP($R209,Sheet1!$A$3:$C$241,3,FALSE)</f>
        <v>2</v>
      </c>
      <c r="U209" s="1252"/>
      <c r="V209" s="1252">
        <f>VLOOKUP($R209,Sheet1!$A$3:$F$214,4,FALSE)</f>
        <v>0</v>
      </c>
      <c r="W209" s="1252">
        <f>VLOOKUP($R209,Sheet1!$A$3:$F$214,5,FALSE)</f>
        <v>2</v>
      </c>
      <c r="X209" s="1252">
        <f>VLOOKUP($R209,Sheet1!$A$3:$F$214,6,FALSE)</f>
        <v>0</v>
      </c>
      <c r="Y209" s="1252"/>
      <c r="Z209" s="1252"/>
      <c r="AA209" s="917"/>
      <c r="AB209" s="917"/>
      <c r="AC209" s="917"/>
      <c r="AD209" s="917"/>
      <c r="AE209" s="917"/>
      <c r="AF209" s="917"/>
      <c r="AG209" s="917"/>
      <c r="AH209" s="917"/>
      <c r="AI209" s="917"/>
      <c r="AJ209" s="917"/>
      <c r="AK209" s="917"/>
      <c r="AL209" s="917"/>
      <c r="AM209" s="917"/>
      <c r="AN209" s="917"/>
      <c r="AO209" s="917"/>
    </row>
    <row r="210" spans="1:41" s="913" customFormat="1" ht="15.95" customHeight="1">
      <c r="A210" s="1248" t="str">
        <f t="shared" si="63"/>
        <v>M2-057(1)</v>
      </c>
      <c r="B210" s="915" t="str">
        <f t="shared" si="46"/>
        <v>보도</v>
      </c>
      <c r="C210" s="1251">
        <f t="shared" si="54"/>
        <v>0</v>
      </c>
      <c r="D210" s="1251"/>
      <c r="E210" s="1251">
        <f t="shared" si="47"/>
        <v>1</v>
      </c>
      <c r="F210" s="1251">
        <v>1</v>
      </c>
      <c r="G210" s="1251"/>
      <c r="H210" s="1251"/>
      <c r="I210" s="1251"/>
      <c r="J210" s="1251"/>
      <c r="K210" s="1251"/>
      <c r="L210" s="915"/>
      <c r="M210" s="915"/>
      <c r="N210" s="916">
        <f t="shared" si="64"/>
        <v>2</v>
      </c>
      <c r="O210" s="916">
        <f t="shared" si="65"/>
        <v>0</v>
      </c>
      <c r="P210" s="916" t="str">
        <f>VLOOKUP($A210,'맨홀 평균 높이'!$J$4:$M$572,4,0)</f>
        <v>보  도</v>
      </c>
      <c r="Q210" s="1264" t="s">
        <v>1336</v>
      </c>
      <c r="R210" s="1264" t="s">
        <v>1405</v>
      </c>
      <c r="S210" s="1252">
        <f>VLOOKUP($R210,Sheet1!$A$3:$C$241,2,FALSE)</f>
        <v>0</v>
      </c>
      <c r="T210" s="1252">
        <f>VLOOKUP($R210,Sheet1!$A$3:$C$241,3,FALSE)</f>
        <v>2</v>
      </c>
      <c r="U210" s="1252"/>
      <c r="V210" s="1252">
        <f>VLOOKUP($R210,Sheet1!$A$3:$F$214,4,FALSE)</f>
        <v>0</v>
      </c>
      <c r="W210" s="1252">
        <f>VLOOKUP($R210,Sheet1!$A$3:$F$214,5,FALSE)</f>
        <v>2</v>
      </c>
      <c r="X210" s="1252">
        <f>VLOOKUP($R210,Sheet1!$A$3:$F$214,6,FALSE)</f>
        <v>0</v>
      </c>
      <c r="Y210" s="1252"/>
      <c r="Z210" s="1252"/>
      <c r="AA210" s="917"/>
      <c r="AB210" s="917"/>
      <c r="AC210" s="917"/>
      <c r="AD210" s="917"/>
      <c r="AE210" s="917"/>
      <c r="AF210" s="917"/>
      <c r="AG210" s="917"/>
      <c r="AH210" s="917"/>
      <c r="AI210" s="917"/>
      <c r="AJ210" s="917"/>
      <c r="AK210" s="917"/>
      <c r="AL210" s="917"/>
      <c r="AM210" s="917"/>
      <c r="AN210" s="917"/>
      <c r="AO210" s="917"/>
    </row>
    <row r="211" spans="1:41" s="913" customFormat="1" ht="15.95" customHeight="1">
      <c r="A211" s="1248" t="str">
        <f t="shared" si="63"/>
        <v>M2-057(2)</v>
      </c>
      <c r="B211" s="915" t="str">
        <f t="shared" si="46"/>
        <v>보도</v>
      </c>
      <c r="C211" s="1251">
        <f t="shared" si="54"/>
        <v>0</v>
      </c>
      <c r="D211" s="1251"/>
      <c r="E211" s="1251">
        <f t="shared" si="47"/>
        <v>1</v>
      </c>
      <c r="F211" s="1251">
        <v>1</v>
      </c>
      <c r="G211" s="1251"/>
      <c r="H211" s="1251"/>
      <c r="I211" s="1251"/>
      <c r="J211" s="1251"/>
      <c r="K211" s="1251"/>
      <c r="L211" s="915"/>
      <c r="M211" s="915"/>
      <c r="N211" s="916">
        <f t="shared" si="64"/>
        <v>2</v>
      </c>
      <c r="O211" s="916">
        <f t="shared" si="65"/>
        <v>0</v>
      </c>
      <c r="P211" s="916" t="str">
        <f>VLOOKUP($A211,'맨홀 평균 높이'!$J$4:$M$572,4,0)</f>
        <v>보  도</v>
      </c>
      <c r="Q211" s="1264" t="s">
        <v>1336</v>
      </c>
      <c r="R211" s="1264" t="s">
        <v>1332</v>
      </c>
      <c r="S211" s="1252">
        <f>VLOOKUP($R211,Sheet1!$A$3:$C$241,2,FALSE)</f>
        <v>0</v>
      </c>
      <c r="T211" s="1252">
        <f>VLOOKUP($R211,Sheet1!$A$3:$C$241,3,FALSE)</f>
        <v>2</v>
      </c>
      <c r="U211" s="1252"/>
      <c r="V211" s="1252">
        <f>VLOOKUP($R211,Sheet1!$A$3:$F$214,4,FALSE)</f>
        <v>0</v>
      </c>
      <c r="W211" s="1252">
        <f>VLOOKUP($R211,Sheet1!$A$3:$F$214,5,FALSE)</f>
        <v>2</v>
      </c>
      <c r="X211" s="1252">
        <f>VLOOKUP($R211,Sheet1!$A$3:$F$214,6,FALSE)</f>
        <v>0</v>
      </c>
      <c r="Y211" s="1252"/>
      <c r="Z211" s="1252"/>
      <c r="AA211" s="917"/>
      <c r="AB211" s="917"/>
      <c r="AC211" s="917"/>
      <c r="AD211" s="917"/>
      <c r="AE211" s="917"/>
      <c r="AF211" s="917"/>
      <c r="AG211" s="917"/>
      <c r="AH211" s="917"/>
      <c r="AI211" s="917"/>
      <c r="AJ211" s="917"/>
      <c r="AK211" s="917"/>
      <c r="AL211" s="917"/>
      <c r="AM211" s="917"/>
      <c r="AN211" s="917"/>
      <c r="AO211" s="917"/>
    </row>
    <row r="212" spans="1:41" s="913" customFormat="1" ht="15.95" customHeight="1">
      <c r="A212" s="1248" t="str">
        <f t="shared" si="63"/>
        <v>M2-059(2)</v>
      </c>
      <c r="B212" s="915" t="str">
        <f t="shared" si="46"/>
        <v>보도</v>
      </c>
      <c r="C212" s="1251">
        <f t="shared" si="54"/>
        <v>1</v>
      </c>
      <c r="D212" s="1251">
        <v>1</v>
      </c>
      <c r="E212" s="1251">
        <f t="shared" si="47"/>
        <v>0</v>
      </c>
      <c r="F212" s="1251"/>
      <c r="G212" s="1251"/>
      <c r="H212" s="1251"/>
      <c r="I212" s="1251"/>
      <c r="J212" s="1251"/>
      <c r="K212" s="1251"/>
      <c r="L212" s="915"/>
      <c r="M212" s="915"/>
      <c r="N212" s="916">
        <f t="shared" si="64"/>
        <v>2</v>
      </c>
      <c r="O212" s="916">
        <f t="shared" si="65"/>
        <v>0</v>
      </c>
      <c r="P212" s="916" t="str">
        <f>VLOOKUP($A212,'맨홀 평균 높이'!$J$4:$M$572,4,0)</f>
        <v>보  도</v>
      </c>
      <c r="Q212" s="1264" t="s">
        <v>1265</v>
      </c>
      <c r="R212" s="1264" t="s">
        <v>1447</v>
      </c>
      <c r="S212" s="1252">
        <f>VLOOKUP($R212,Sheet1!$A$3:$C$241,2,FALSE)</f>
        <v>0</v>
      </c>
      <c r="T212" s="1252">
        <f>VLOOKUP($R212,Sheet1!$A$3:$C$241,3,FALSE)</f>
        <v>2</v>
      </c>
      <c r="U212" s="1252"/>
      <c r="V212" s="1252">
        <f>VLOOKUP($R212,Sheet1!$A$3:$F$214,4,FALSE)</f>
        <v>2</v>
      </c>
      <c r="W212" s="1252">
        <f>VLOOKUP($R212,Sheet1!$A$3:$F$214,5,FALSE)</f>
        <v>0</v>
      </c>
      <c r="X212" s="1252">
        <f>VLOOKUP($R212,Sheet1!$A$3:$F$214,6,FALSE)</f>
        <v>0</v>
      </c>
      <c r="Y212" s="1252"/>
      <c r="Z212" s="1252"/>
      <c r="AA212" s="917"/>
      <c r="AB212" s="917"/>
      <c r="AC212" s="917"/>
      <c r="AD212" s="917"/>
      <c r="AE212" s="917"/>
      <c r="AF212" s="917"/>
      <c r="AG212" s="917"/>
      <c r="AH212" s="917"/>
      <c r="AI212" s="917"/>
      <c r="AJ212" s="917"/>
      <c r="AK212" s="917"/>
      <c r="AL212" s="917"/>
      <c r="AM212" s="917"/>
      <c r="AN212" s="917"/>
      <c r="AO212" s="917"/>
    </row>
    <row r="213" spans="1:41" s="913" customFormat="1" ht="15.95" customHeight="1">
      <c r="A213" s="1248" t="str">
        <f t="shared" si="63"/>
        <v>M2-059(3)</v>
      </c>
      <c r="B213" s="915" t="str">
        <f t="shared" si="46"/>
        <v>보도</v>
      </c>
      <c r="C213" s="1251">
        <f t="shared" si="54"/>
        <v>1</v>
      </c>
      <c r="D213" s="1251">
        <v>1</v>
      </c>
      <c r="E213" s="1251">
        <f t="shared" si="47"/>
        <v>0</v>
      </c>
      <c r="F213" s="1251"/>
      <c r="G213" s="1251"/>
      <c r="H213" s="1251"/>
      <c r="I213" s="1251"/>
      <c r="J213" s="1251"/>
      <c r="K213" s="1251"/>
      <c r="L213" s="915"/>
      <c r="M213" s="915"/>
      <c r="N213" s="916">
        <f t="shared" si="64"/>
        <v>2</v>
      </c>
      <c r="O213" s="916">
        <f t="shared" si="65"/>
        <v>0</v>
      </c>
      <c r="P213" s="916" t="str">
        <f>VLOOKUP($A213,'맨홀 평균 높이'!$J$4:$M$572,4,0)</f>
        <v>보  도</v>
      </c>
      <c r="Q213" s="1264" t="s">
        <v>1265</v>
      </c>
      <c r="R213" s="1264" t="s">
        <v>1448</v>
      </c>
      <c r="S213" s="1252">
        <f>VLOOKUP($R213,Sheet1!$A$3:$C$241,2,FALSE)</f>
        <v>0</v>
      </c>
      <c r="T213" s="1252">
        <f>VLOOKUP($R213,Sheet1!$A$3:$C$241,3,FALSE)</f>
        <v>2</v>
      </c>
      <c r="U213" s="1252"/>
      <c r="V213" s="1252">
        <f>VLOOKUP($R213,Sheet1!$A$3:$F$214,4,FALSE)</f>
        <v>2</v>
      </c>
      <c r="W213" s="1252">
        <f>VLOOKUP($R213,Sheet1!$A$3:$F$214,5,FALSE)</f>
        <v>0</v>
      </c>
      <c r="X213" s="1252">
        <f>VLOOKUP($R213,Sheet1!$A$3:$F$214,6,FALSE)</f>
        <v>0</v>
      </c>
      <c r="Y213" s="1252"/>
      <c r="Z213" s="1252"/>
      <c r="AA213" s="917"/>
      <c r="AB213" s="917"/>
      <c r="AC213" s="917"/>
      <c r="AD213" s="917"/>
      <c r="AE213" s="917"/>
      <c r="AF213" s="917"/>
      <c r="AG213" s="917"/>
      <c r="AH213" s="917"/>
      <c r="AI213" s="917"/>
      <c r="AJ213" s="917"/>
      <c r="AK213" s="917"/>
      <c r="AL213" s="917"/>
      <c r="AM213" s="917"/>
      <c r="AN213" s="917"/>
      <c r="AO213" s="917"/>
    </row>
    <row r="214" spans="1:41" s="913" customFormat="1" ht="15.95" customHeight="1">
      <c r="A214" s="1248" t="str">
        <f t="shared" si="63"/>
        <v>M2-060(1)</v>
      </c>
      <c r="B214" s="915" t="str">
        <f t="shared" si="46"/>
        <v>차도</v>
      </c>
      <c r="C214" s="1251">
        <f t="shared" si="54"/>
        <v>2</v>
      </c>
      <c r="D214" s="1251">
        <v>1</v>
      </c>
      <c r="E214" s="1251">
        <f t="shared" si="47"/>
        <v>0</v>
      </c>
      <c r="F214" s="1251"/>
      <c r="G214" s="1251"/>
      <c r="H214" s="1251"/>
      <c r="I214" s="1251"/>
      <c r="J214" s="1251"/>
      <c r="K214" s="1251"/>
      <c r="L214" s="915"/>
      <c r="M214" s="915"/>
      <c r="N214" s="916">
        <f t="shared" si="64"/>
        <v>3</v>
      </c>
      <c r="O214" s="916">
        <f t="shared" si="65"/>
        <v>0</v>
      </c>
      <c r="P214" s="916" t="str">
        <f>VLOOKUP($A214,'맨홀 평균 높이'!$J$4:$M$572,4,0)</f>
        <v>차  도</v>
      </c>
      <c r="Q214" s="1264" t="s">
        <v>1263</v>
      </c>
      <c r="R214" s="1264" t="s">
        <v>1449</v>
      </c>
      <c r="S214" s="1252">
        <f>VLOOKUP($R214,Sheet1!$A$3:$C$241,2,FALSE)</f>
        <v>0</v>
      </c>
      <c r="T214" s="1252">
        <f>VLOOKUP($R214,Sheet1!$A$3:$C$241,3,FALSE)</f>
        <v>3</v>
      </c>
      <c r="U214" s="1252"/>
      <c r="V214" s="1252">
        <f>VLOOKUP($R214,Sheet1!$A$3:$F$214,4,FALSE)</f>
        <v>3</v>
      </c>
      <c r="W214" s="1252">
        <f>VLOOKUP($R214,Sheet1!$A$3:$F$214,5,FALSE)</f>
        <v>0</v>
      </c>
      <c r="X214" s="1252">
        <f>VLOOKUP($R214,Sheet1!$A$3:$F$214,6,FALSE)</f>
        <v>0</v>
      </c>
      <c r="Y214" s="1252"/>
      <c r="Z214" s="1252"/>
      <c r="AA214" s="917"/>
      <c r="AB214" s="917"/>
      <c r="AC214" s="917"/>
      <c r="AD214" s="917"/>
      <c r="AE214" s="917"/>
      <c r="AF214" s="917"/>
      <c r="AG214" s="917"/>
      <c r="AH214" s="917"/>
      <c r="AI214" s="917"/>
      <c r="AJ214" s="917"/>
      <c r="AK214" s="917"/>
      <c r="AL214" s="917"/>
      <c r="AM214" s="917"/>
      <c r="AN214" s="917"/>
      <c r="AO214" s="917"/>
    </row>
    <row r="215" spans="1:41" s="913" customFormat="1" ht="15.95" customHeight="1">
      <c r="A215" s="1248" t="str">
        <f t="shared" si="63"/>
        <v>M2-061(1)</v>
      </c>
      <c r="B215" s="915" t="str">
        <f t="shared" si="46"/>
        <v>차도</v>
      </c>
      <c r="C215" s="1251">
        <f t="shared" si="54"/>
        <v>2</v>
      </c>
      <c r="D215" s="1251">
        <v>1</v>
      </c>
      <c r="E215" s="1251">
        <f t="shared" si="47"/>
        <v>0</v>
      </c>
      <c r="F215" s="1251"/>
      <c r="G215" s="1251"/>
      <c r="H215" s="1251"/>
      <c r="I215" s="1251"/>
      <c r="J215" s="1251"/>
      <c r="K215" s="1251"/>
      <c r="L215" s="915"/>
      <c r="M215" s="915"/>
      <c r="N215" s="916">
        <f t="shared" si="64"/>
        <v>3</v>
      </c>
      <c r="O215" s="916">
        <f t="shared" si="65"/>
        <v>0</v>
      </c>
      <c r="P215" s="916" t="str">
        <f>VLOOKUP($A215,'맨홀 평균 높이'!$J$4:$M$572,4,0)</f>
        <v>차  도</v>
      </c>
      <c r="Q215" s="1264" t="s">
        <v>1263</v>
      </c>
      <c r="R215" s="1264" t="s">
        <v>1406</v>
      </c>
      <c r="S215" s="1252">
        <f>VLOOKUP($R215,Sheet1!$A$3:$C$241,2,FALSE)</f>
        <v>0</v>
      </c>
      <c r="T215" s="1252">
        <f>VLOOKUP($R215,Sheet1!$A$3:$C$241,3,FALSE)</f>
        <v>3</v>
      </c>
      <c r="U215" s="1252"/>
      <c r="V215" s="1252">
        <f>VLOOKUP($R215,Sheet1!$A$3:$F$214,4,FALSE)</f>
        <v>3</v>
      </c>
      <c r="W215" s="1252">
        <f>VLOOKUP($R215,Sheet1!$A$3:$F$214,5,FALSE)</f>
        <v>0</v>
      </c>
      <c r="X215" s="1252">
        <f>VLOOKUP($R215,Sheet1!$A$3:$F$214,6,FALSE)</f>
        <v>0</v>
      </c>
      <c r="Y215" s="1252"/>
      <c r="Z215" s="1252"/>
      <c r="AA215" s="917"/>
      <c r="AB215" s="917"/>
      <c r="AC215" s="917"/>
      <c r="AD215" s="917"/>
      <c r="AE215" s="917"/>
      <c r="AF215" s="917"/>
      <c r="AG215" s="917"/>
      <c r="AH215" s="917"/>
      <c r="AI215" s="917"/>
      <c r="AJ215" s="917"/>
      <c r="AK215" s="917"/>
      <c r="AL215" s="917"/>
      <c r="AM215" s="917"/>
      <c r="AN215" s="917"/>
      <c r="AO215" s="917"/>
    </row>
    <row r="216" spans="1:41" s="913" customFormat="1" ht="15.95" customHeight="1">
      <c r="A216" s="1248" t="str">
        <f t="shared" si="63"/>
        <v>M2-062(1)</v>
      </c>
      <c r="B216" s="915" t="str">
        <f t="shared" si="46"/>
        <v>차도</v>
      </c>
      <c r="C216" s="1251">
        <f t="shared" si="54"/>
        <v>0</v>
      </c>
      <c r="D216" s="1251">
        <v>1</v>
      </c>
      <c r="E216" s="1251">
        <f t="shared" si="47"/>
        <v>0</v>
      </c>
      <c r="F216" s="1251"/>
      <c r="G216" s="1251"/>
      <c r="H216" s="1251"/>
      <c r="I216" s="1251"/>
      <c r="J216" s="1251"/>
      <c r="K216" s="1251"/>
      <c r="L216" s="915"/>
      <c r="M216" s="915"/>
      <c r="N216" s="916">
        <f t="shared" si="64"/>
        <v>1</v>
      </c>
      <c r="O216" s="916">
        <f t="shared" si="65"/>
        <v>0</v>
      </c>
      <c r="P216" s="916" t="str">
        <f>VLOOKUP($A216,'맨홀 평균 높이'!$J$4:$M$572,4,0)</f>
        <v>차  도</v>
      </c>
      <c r="Q216" s="1264" t="s">
        <v>1265</v>
      </c>
      <c r="R216" s="1264" t="s">
        <v>1491</v>
      </c>
      <c r="S216" s="1252">
        <f>VLOOKUP($R216,Sheet1!$A$3:$C$241,2,FALSE)</f>
        <v>0</v>
      </c>
      <c r="T216" s="1252">
        <f>VLOOKUP($R216,Sheet1!$A$3:$C$241,3,FALSE)</f>
        <v>1</v>
      </c>
      <c r="U216" s="1252"/>
      <c r="V216" s="1252">
        <f>VLOOKUP($R216,Sheet1!$A$3:$F$214,4,FALSE)</f>
        <v>1</v>
      </c>
      <c r="W216" s="1252">
        <f>VLOOKUP($R216,Sheet1!$A$3:$F$214,5,FALSE)</f>
        <v>0</v>
      </c>
      <c r="X216" s="1252">
        <f>VLOOKUP($R216,Sheet1!$A$3:$F$214,6,FALSE)</f>
        <v>0</v>
      </c>
      <c r="Y216" s="1252"/>
      <c r="Z216" s="1252"/>
      <c r="AA216" s="917"/>
      <c r="AB216" s="917"/>
      <c r="AC216" s="917"/>
      <c r="AD216" s="917"/>
      <c r="AE216" s="917"/>
      <c r="AF216" s="917"/>
      <c r="AG216" s="917"/>
      <c r="AH216" s="917"/>
      <c r="AI216" s="917"/>
      <c r="AJ216" s="917"/>
      <c r="AK216" s="917"/>
      <c r="AL216" s="917"/>
      <c r="AM216" s="917"/>
      <c r="AN216" s="917"/>
      <c r="AO216" s="917"/>
    </row>
    <row r="217" spans="1:41" s="913" customFormat="1" ht="15.95" customHeight="1">
      <c r="A217" s="1248" t="str">
        <f t="shared" si="63"/>
        <v>M2-063(2)</v>
      </c>
      <c r="B217" s="915" t="str">
        <f t="shared" si="46"/>
        <v>차도</v>
      </c>
      <c r="C217" s="1251">
        <f t="shared" si="54"/>
        <v>1</v>
      </c>
      <c r="D217" s="1251">
        <v>1</v>
      </c>
      <c r="E217" s="1251">
        <f t="shared" si="47"/>
        <v>0</v>
      </c>
      <c r="F217" s="1251"/>
      <c r="G217" s="1251"/>
      <c r="H217" s="1251"/>
      <c r="I217" s="1251"/>
      <c r="J217" s="1251"/>
      <c r="K217" s="1251"/>
      <c r="L217" s="915"/>
      <c r="M217" s="915"/>
      <c r="N217" s="916">
        <f t="shared" si="64"/>
        <v>2</v>
      </c>
      <c r="O217" s="916">
        <f t="shared" si="65"/>
        <v>0</v>
      </c>
      <c r="P217" s="916" t="str">
        <f>VLOOKUP($A217,'맨홀 평균 높이'!$J$4:$M$572,4,0)</f>
        <v>차  도</v>
      </c>
      <c r="Q217" s="1264" t="s">
        <v>1266</v>
      </c>
      <c r="R217" s="1264" t="s">
        <v>1450</v>
      </c>
      <c r="S217" s="1252">
        <f>VLOOKUP($R217,Sheet1!$A$3:$C$241,2,FALSE)</f>
        <v>0</v>
      </c>
      <c r="T217" s="1252">
        <f>VLOOKUP($R217,Sheet1!$A$3:$C$241,3,FALSE)</f>
        <v>2</v>
      </c>
      <c r="U217" s="1252"/>
      <c r="V217" s="1252">
        <f>VLOOKUP($R217,Sheet1!$A$3:$F$214,4,FALSE)</f>
        <v>2</v>
      </c>
      <c r="W217" s="1252">
        <f>VLOOKUP($R217,Sheet1!$A$3:$F$214,5,FALSE)</f>
        <v>0</v>
      </c>
      <c r="X217" s="1252">
        <f>VLOOKUP($R217,Sheet1!$A$3:$F$214,6,FALSE)</f>
        <v>0</v>
      </c>
      <c r="Y217" s="1252"/>
      <c r="Z217" s="1252"/>
      <c r="AA217" s="917"/>
      <c r="AB217" s="917"/>
      <c r="AC217" s="917"/>
      <c r="AD217" s="917"/>
      <c r="AE217" s="917"/>
      <c r="AF217" s="917"/>
      <c r="AG217" s="917"/>
      <c r="AH217" s="917"/>
      <c r="AI217" s="917"/>
      <c r="AJ217" s="917"/>
      <c r="AK217" s="917"/>
      <c r="AL217" s="917"/>
      <c r="AM217" s="917"/>
      <c r="AN217" s="917"/>
      <c r="AO217" s="917"/>
    </row>
    <row r="218" spans="1:41" s="913" customFormat="1" ht="15.95" customHeight="1">
      <c r="A218" s="1248" t="str">
        <f t="shared" si="63"/>
        <v>M2-065</v>
      </c>
      <c r="B218" s="915" t="str">
        <f t="shared" si="46"/>
        <v>차도</v>
      </c>
      <c r="C218" s="1251">
        <f t="shared" si="54"/>
        <v>0</v>
      </c>
      <c r="D218" s="1251"/>
      <c r="E218" s="1251">
        <f t="shared" si="47"/>
        <v>1</v>
      </c>
      <c r="F218" s="1251">
        <v>1</v>
      </c>
      <c r="G218" s="1251"/>
      <c r="H218" s="1251"/>
      <c r="I218" s="1251"/>
      <c r="J218" s="1251"/>
      <c r="K218" s="1251"/>
      <c r="L218" s="915"/>
      <c r="M218" s="915"/>
      <c r="N218" s="916">
        <f t="shared" si="64"/>
        <v>2</v>
      </c>
      <c r="O218" s="916">
        <f t="shared" si="65"/>
        <v>1</v>
      </c>
      <c r="P218" s="916" t="str">
        <f>VLOOKUP($A218,'맨홀 평균 높이'!$J$4:$M$572,4,0)</f>
        <v>차  도</v>
      </c>
      <c r="Q218" s="1264" t="s">
        <v>1338</v>
      </c>
      <c r="R218" s="1264" t="s">
        <v>1388</v>
      </c>
      <c r="S218" s="1252">
        <f>VLOOKUP($R218,Sheet1!$A$3:$C$241,2,FALSE)</f>
        <v>0</v>
      </c>
      <c r="T218" s="1252">
        <f>VLOOKUP($R218,Sheet1!$A$3:$C$241,3,FALSE)</f>
        <v>3</v>
      </c>
      <c r="U218" s="1252"/>
      <c r="V218" s="1252">
        <f>VLOOKUP($R218,Sheet1!$A$3:$F$214,4,FALSE)</f>
        <v>0</v>
      </c>
      <c r="W218" s="1252">
        <f>VLOOKUP($R218,Sheet1!$A$3:$F$214,5,FALSE)</f>
        <v>2</v>
      </c>
      <c r="X218" s="1252">
        <f>VLOOKUP($R218,Sheet1!$A$3:$F$214,6,FALSE)</f>
        <v>0</v>
      </c>
      <c r="Y218" s="1252"/>
      <c r="Z218" s="1252"/>
      <c r="AA218" s="917"/>
      <c r="AB218" s="917"/>
      <c r="AC218" s="917"/>
      <c r="AD218" s="917"/>
      <c r="AE218" s="917"/>
      <c r="AF218" s="917"/>
      <c r="AG218" s="917"/>
      <c r="AH218" s="917"/>
      <c r="AI218" s="917"/>
      <c r="AJ218" s="917"/>
      <c r="AK218" s="917"/>
      <c r="AL218" s="917"/>
      <c r="AM218" s="917"/>
      <c r="AN218" s="917"/>
      <c r="AO218" s="917"/>
    </row>
    <row r="219" spans="1:41" s="913" customFormat="1" ht="15.95" customHeight="1">
      <c r="A219" s="1248" t="str">
        <f t="shared" si="63"/>
        <v>M2-066(2)</v>
      </c>
      <c r="B219" s="915" t="str">
        <f t="shared" si="46"/>
        <v>보도</v>
      </c>
      <c r="C219" s="1251">
        <f t="shared" si="54"/>
        <v>0</v>
      </c>
      <c r="D219" s="1251"/>
      <c r="E219" s="1251">
        <f t="shared" si="47"/>
        <v>1</v>
      </c>
      <c r="F219" s="1251">
        <v>1</v>
      </c>
      <c r="G219" s="1251"/>
      <c r="H219" s="1251"/>
      <c r="I219" s="1251"/>
      <c r="J219" s="1251"/>
      <c r="K219" s="1251"/>
      <c r="L219" s="915"/>
      <c r="M219" s="915"/>
      <c r="N219" s="916">
        <f t="shared" si="64"/>
        <v>2</v>
      </c>
      <c r="O219" s="916">
        <f t="shared" si="65"/>
        <v>0</v>
      </c>
      <c r="P219" s="916" t="str">
        <f>VLOOKUP($A219,'맨홀 평균 높이'!$J$4:$M$572,4,0)</f>
        <v>보  도</v>
      </c>
      <c r="Q219" s="1264" t="s">
        <v>1338</v>
      </c>
      <c r="R219" s="1264" t="s">
        <v>1407</v>
      </c>
      <c r="S219" s="1252">
        <f>VLOOKUP($R219,Sheet1!$A$3:$C$241,2,FALSE)</f>
        <v>0</v>
      </c>
      <c r="T219" s="1252">
        <f>VLOOKUP($R219,Sheet1!$A$3:$C$241,3,FALSE)</f>
        <v>2</v>
      </c>
      <c r="U219" s="1252"/>
      <c r="V219" s="1252">
        <f>VLOOKUP($R219,Sheet1!$A$3:$F$214,4,FALSE)</f>
        <v>0</v>
      </c>
      <c r="W219" s="1252">
        <f>VLOOKUP($R219,Sheet1!$A$3:$F$214,5,FALSE)</f>
        <v>2</v>
      </c>
      <c r="X219" s="1252">
        <f>VLOOKUP($R219,Sheet1!$A$3:$F$214,6,FALSE)</f>
        <v>0</v>
      </c>
      <c r="Y219" s="1252"/>
      <c r="Z219" s="1252"/>
      <c r="AA219" s="917"/>
      <c r="AB219" s="917"/>
      <c r="AC219" s="917"/>
      <c r="AD219" s="917"/>
      <c r="AE219" s="917"/>
      <c r="AF219" s="917"/>
      <c r="AG219" s="917"/>
      <c r="AH219" s="917"/>
      <c r="AI219" s="917"/>
      <c r="AJ219" s="917"/>
      <c r="AK219" s="917"/>
      <c r="AL219" s="917"/>
      <c r="AM219" s="917"/>
      <c r="AN219" s="917"/>
      <c r="AO219" s="917"/>
    </row>
    <row r="220" spans="1:41" s="913" customFormat="1" ht="15.95" customHeight="1">
      <c r="A220" s="1248" t="str">
        <f t="shared" si="63"/>
        <v>M2-067(1)</v>
      </c>
      <c r="B220" s="915" t="str">
        <f t="shared" si="46"/>
        <v>보도</v>
      </c>
      <c r="C220" s="1251">
        <f t="shared" si="54"/>
        <v>0</v>
      </c>
      <c r="D220" s="1251"/>
      <c r="E220" s="1251">
        <f t="shared" si="47"/>
        <v>1</v>
      </c>
      <c r="F220" s="1251">
        <v>1</v>
      </c>
      <c r="G220" s="1251"/>
      <c r="H220" s="1251"/>
      <c r="I220" s="1251"/>
      <c r="J220" s="1251"/>
      <c r="K220" s="1251"/>
      <c r="L220" s="915"/>
      <c r="M220" s="915"/>
      <c r="N220" s="916">
        <f t="shared" si="64"/>
        <v>2</v>
      </c>
      <c r="O220" s="916">
        <f t="shared" si="65"/>
        <v>0</v>
      </c>
      <c r="P220" s="916" t="str">
        <f>VLOOKUP($A220,'맨홀 평균 높이'!$J$4:$M$572,4,0)</f>
        <v>보  도</v>
      </c>
      <c r="Q220" s="1264" t="s">
        <v>1338</v>
      </c>
      <c r="R220" s="1264" t="s">
        <v>1333</v>
      </c>
      <c r="S220" s="1252">
        <f>VLOOKUP($R220,Sheet1!$A$3:$C$241,2,FALSE)</f>
        <v>0</v>
      </c>
      <c r="T220" s="1252">
        <f>VLOOKUP($R220,Sheet1!$A$3:$C$241,3,FALSE)</f>
        <v>2</v>
      </c>
      <c r="U220" s="1252"/>
      <c r="V220" s="1252">
        <f>VLOOKUP($R220,Sheet1!$A$3:$F$214,4,FALSE)</f>
        <v>0</v>
      </c>
      <c r="W220" s="1252">
        <f>VLOOKUP($R220,Sheet1!$A$3:$F$214,5,FALSE)</f>
        <v>2</v>
      </c>
      <c r="X220" s="1252">
        <f>VLOOKUP($R220,Sheet1!$A$3:$F$214,6,FALSE)</f>
        <v>0</v>
      </c>
      <c r="Y220" s="1252"/>
      <c r="Z220" s="1252"/>
      <c r="AA220" s="917"/>
      <c r="AB220" s="917"/>
      <c r="AC220" s="917"/>
      <c r="AD220" s="917"/>
      <c r="AE220" s="917"/>
      <c r="AF220" s="917"/>
      <c r="AG220" s="917"/>
      <c r="AH220" s="917"/>
      <c r="AI220" s="917"/>
      <c r="AJ220" s="917"/>
      <c r="AK220" s="917"/>
      <c r="AL220" s="917"/>
      <c r="AM220" s="917"/>
      <c r="AN220" s="917"/>
      <c r="AO220" s="917"/>
    </row>
    <row r="221" spans="1:41" s="913" customFormat="1" ht="15.95" customHeight="1">
      <c r="A221" s="1248" t="str">
        <f t="shared" si="63"/>
        <v>M2-068</v>
      </c>
      <c r="B221" s="915" t="str">
        <f t="shared" si="46"/>
        <v>차도</v>
      </c>
      <c r="C221" s="1251">
        <f t="shared" si="54"/>
        <v>0</v>
      </c>
      <c r="D221" s="1251">
        <v>1</v>
      </c>
      <c r="E221" s="1251">
        <f t="shared" si="47"/>
        <v>0</v>
      </c>
      <c r="F221" s="1251"/>
      <c r="G221" s="1251"/>
      <c r="H221" s="1251"/>
      <c r="I221" s="1251"/>
      <c r="J221" s="1251"/>
      <c r="K221" s="1251"/>
      <c r="L221" s="915"/>
      <c r="M221" s="915"/>
      <c r="N221" s="916">
        <f t="shared" si="64"/>
        <v>1</v>
      </c>
      <c r="O221" s="916">
        <f t="shared" si="65"/>
        <v>0</v>
      </c>
      <c r="P221" s="916" t="str">
        <f>VLOOKUP($A221,'맨홀 평균 높이'!$J$4:$M$572,4,0)</f>
        <v>차  도</v>
      </c>
      <c r="Q221" s="1264" t="s">
        <v>1268</v>
      </c>
      <c r="R221" s="1264" t="s">
        <v>1387</v>
      </c>
      <c r="S221" s="1252">
        <f>VLOOKUP($R221,Sheet1!$A$3:$C$241,2,FALSE)</f>
        <v>0</v>
      </c>
      <c r="T221" s="1252">
        <f>VLOOKUP($R221,Sheet1!$A$3:$C$241,3,FALSE)</f>
        <v>1</v>
      </c>
      <c r="U221" s="1252"/>
      <c r="V221" s="1252">
        <f>VLOOKUP($R221,Sheet1!$A$3:$F$214,4,FALSE)</f>
        <v>1</v>
      </c>
      <c r="W221" s="1252">
        <f>VLOOKUP($R221,Sheet1!$A$3:$F$214,5,FALSE)</f>
        <v>0</v>
      </c>
      <c r="X221" s="1252">
        <f>VLOOKUP($R221,Sheet1!$A$3:$F$214,6,FALSE)</f>
        <v>0</v>
      </c>
      <c r="Y221" s="1252"/>
      <c r="Z221" s="1252"/>
      <c r="AA221" s="917"/>
      <c r="AB221" s="917"/>
      <c r="AC221" s="917"/>
      <c r="AD221" s="917"/>
      <c r="AE221" s="917"/>
      <c r="AF221" s="917"/>
      <c r="AG221" s="917"/>
      <c r="AH221" s="917"/>
      <c r="AI221" s="917"/>
      <c r="AJ221" s="917"/>
      <c r="AK221" s="917"/>
      <c r="AL221" s="917"/>
      <c r="AM221" s="917"/>
      <c r="AN221" s="917"/>
      <c r="AO221" s="917"/>
    </row>
    <row r="222" spans="1:41" s="913" customFormat="1" ht="15.95" customHeight="1">
      <c r="A222" s="1248" t="str">
        <f t="shared" si="63"/>
        <v>M2-069(1)</v>
      </c>
      <c r="B222" s="915" t="str">
        <f t="shared" si="46"/>
        <v>차도</v>
      </c>
      <c r="C222" s="1251">
        <f t="shared" si="54"/>
        <v>1</v>
      </c>
      <c r="D222" s="1251">
        <v>1</v>
      </c>
      <c r="E222" s="1251">
        <f t="shared" si="47"/>
        <v>0</v>
      </c>
      <c r="F222" s="1251"/>
      <c r="G222" s="1251"/>
      <c r="H222" s="1251"/>
      <c r="I222" s="1251"/>
      <c r="J222" s="1251"/>
      <c r="K222" s="1251"/>
      <c r="L222" s="915"/>
      <c r="M222" s="915"/>
      <c r="N222" s="916">
        <f t="shared" si="64"/>
        <v>2</v>
      </c>
      <c r="O222" s="916">
        <f t="shared" si="65"/>
        <v>0</v>
      </c>
      <c r="P222" s="916" t="str">
        <f>VLOOKUP($A222,'맨홀 평균 높이'!$J$4:$M$572,4,0)</f>
        <v>차  도</v>
      </c>
      <c r="Q222" s="1264" t="s">
        <v>1268</v>
      </c>
      <c r="R222" s="1264" t="s">
        <v>1451</v>
      </c>
      <c r="S222" s="1252">
        <f>VLOOKUP($R222,Sheet1!$A$3:$C$241,2,FALSE)</f>
        <v>0</v>
      </c>
      <c r="T222" s="1252">
        <f>VLOOKUP($R222,Sheet1!$A$3:$C$241,3,FALSE)</f>
        <v>2</v>
      </c>
      <c r="U222" s="1252"/>
      <c r="V222" s="1252">
        <f>VLOOKUP($R222,Sheet1!$A$3:$F$214,4,FALSE)</f>
        <v>2</v>
      </c>
      <c r="W222" s="1252">
        <f>VLOOKUP($R222,Sheet1!$A$3:$F$214,5,FALSE)</f>
        <v>0</v>
      </c>
      <c r="X222" s="1252">
        <f>VLOOKUP($R222,Sheet1!$A$3:$F$214,6,FALSE)</f>
        <v>0</v>
      </c>
      <c r="Y222" s="1252"/>
      <c r="Z222" s="1252"/>
      <c r="AA222" s="917"/>
      <c r="AB222" s="917"/>
      <c r="AC222" s="917"/>
      <c r="AD222" s="917"/>
      <c r="AE222" s="917"/>
      <c r="AF222" s="917"/>
      <c r="AG222" s="917"/>
      <c r="AH222" s="917"/>
      <c r="AI222" s="917"/>
      <c r="AJ222" s="917"/>
      <c r="AK222" s="917"/>
      <c r="AL222" s="917"/>
      <c r="AM222" s="917"/>
      <c r="AN222" s="917"/>
      <c r="AO222" s="917"/>
    </row>
    <row r="223" spans="1:41" s="913" customFormat="1" ht="15.95" customHeight="1">
      <c r="A223" s="1248" t="str">
        <f t="shared" si="63"/>
        <v>M2-070(1)</v>
      </c>
      <c r="B223" s="915" t="str">
        <f t="shared" si="46"/>
        <v>차도</v>
      </c>
      <c r="C223" s="1251">
        <f t="shared" si="54"/>
        <v>1</v>
      </c>
      <c r="D223" s="1251">
        <v>1</v>
      </c>
      <c r="E223" s="1251">
        <f t="shared" si="47"/>
        <v>0</v>
      </c>
      <c r="F223" s="1251"/>
      <c r="G223" s="1251"/>
      <c r="H223" s="1251"/>
      <c r="I223" s="1251"/>
      <c r="J223" s="1251"/>
      <c r="K223" s="1251"/>
      <c r="L223" s="915"/>
      <c r="M223" s="915"/>
      <c r="N223" s="916">
        <f t="shared" si="64"/>
        <v>2</v>
      </c>
      <c r="O223" s="916">
        <f t="shared" si="65"/>
        <v>0</v>
      </c>
      <c r="P223" s="916" t="str">
        <f>VLOOKUP($A223,'맨홀 평균 높이'!$J$4:$M$572,4,0)</f>
        <v>차  도</v>
      </c>
      <c r="Q223" s="1264" t="s">
        <v>1268</v>
      </c>
      <c r="R223" s="1264" t="s">
        <v>1452</v>
      </c>
      <c r="S223" s="1252">
        <f>VLOOKUP($R223,Sheet1!$A$3:$C$241,2,FALSE)</f>
        <v>0</v>
      </c>
      <c r="T223" s="1252">
        <f>VLOOKUP($R223,Sheet1!$A$3:$C$241,3,FALSE)</f>
        <v>2</v>
      </c>
      <c r="U223" s="1252"/>
      <c r="V223" s="1252">
        <f>VLOOKUP($R223,Sheet1!$A$3:$F$214,4,FALSE)</f>
        <v>2</v>
      </c>
      <c r="W223" s="1252">
        <f>VLOOKUP($R223,Sheet1!$A$3:$F$214,5,FALSE)</f>
        <v>0</v>
      </c>
      <c r="X223" s="1252">
        <f>VLOOKUP($R223,Sheet1!$A$3:$F$214,6,FALSE)</f>
        <v>0</v>
      </c>
      <c r="Y223" s="1252"/>
      <c r="Z223" s="1252"/>
      <c r="AA223" s="917"/>
      <c r="AB223" s="917"/>
      <c r="AC223" s="917"/>
      <c r="AD223" s="917"/>
      <c r="AE223" s="917"/>
      <c r="AF223" s="917"/>
      <c r="AG223" s="917"/>
      <c r="AH223" s="917"/>
      <c r="AI223" s="917"/>
      <c r="AJ223" s="917"/>
      <c r="AK223" s="917"/>
      <c r="AL223" s="917"/>
      <c r="AM223" s="917"/>
      <c r="AN223" s="917"/>
      <c r="AO223" s="917"/>
    </row>
    <row r="224" spans="1:41" s="913" customFormat="1" ht="15.95" customHeight="1">
      <c r="A224" s="1248" t="str">
        <f t="shared" si="63"/>
        <v>M2-070(2)</v>
      </c>
      <c r="B224" s="915" t="str">
        <f t="shared" si="46"/>
        <v>차도</v>
      </c>
      <c r="C224" s="1251">
        <f t="shared" si="54"/>
        <v>1</v>
      </c>
      <c r="D224" s="1251">
        <v>1</v>
      </c>
      <c r="E224" s="1251">
        <f t="shared" si="47"/>
        <v>0</v>
      </c>
      <c r="F224" s="1251"/>
      <c r="G224" s="1251"/>
      <c r="H224" s="1251"/>
      <c r="I224" s="1251"/>
      <c r="J224" s="1251"/>
      <c r="K224" s="1251"/>
      <c r="L224" s="915"/>
      <c r="M224" s="915"/>
      <c r="N224" s="916">
        <f t="shared" si="64"/>
        <v>2</v>
      </c>
      <c r="O224" s="916">
        <f t="shared" si="65"/>
        <v>0</v>
      </c>
      <c r="P224" s="916" t="str">
        <f>VLOOKUP($A224,'맨홀 평균 높이'!$J$4:$M$572,4,0)</f>
        <v>차  도</v>
      </c>
      <c r="Q224" s="1264" t="s">
        <v>1268</v>
      </c>
      <c r="R224" s="1264" t="s">
        <v>1453</v>
      </c>
      <c r="S224" s="1252">
        <f>VLOOKUP($R224,Sheet1!$A$3:$C$241,2,FALSE)</f>
        <v>0</v>
      </c>
      <c r="T224" s="1252">
        <f>VLOOKUP($R224,Sheet1!$A$3:$C$241,3,FALSE)</f>
        <v>2</v>
      </c>
      <c r="U224" s="1252"/>
      <c r="V224" s="1252">
        <f>VLOOKUP($R224,Sheet1!$A$3:$F$214,4,FALSE)</f>
        <v>2</v>
      </c>
      <c r="W224" s="1252">
        <f>VLOOKUP($R224,Sheet1!$A$3:$F$214,5,FALSE)</f>
        <v>0</v>
      </c>
      <c r="X224" s="1252">
        <f>VLOOKUP($R224,Sheet1!$A$3:$F$214,6,FALSE)</f>
        <v>0</v>
      </c>
      <c r="Y224" s="1252"/>
      <c r="Z224" s="1252"/>
      <c r="AA224" s="917"/>
      <c r="AB224" s="917"/>
      <c r="AC224" s="917"/>
      <c r="AD224" s="917"/>
      <c r="AE224" s="917"/>
      <c r="AF224" s="917"/>
      <c r="AG224" s="917"/>
      <c r="AH224" s="917"/>
      <c r="AI224" s="917"/>
      <c r="AJ224" s="917"/>
      <c r="AK224" s="917"/>
      <c r="AL224" s="917"/>
      <c r="AM224" s="917"/>
      <c r="AN224" s="917"/>
      <c r="AO224" s="917"/>
    </row>
    <row r="225" spans="1:41" s="913" customFormat="1" ht="15.95" customHeight="1">
      <c r="A225" s="1248" t="str">
        <f t="shared" ref="A225" si="76">R225</f>
        <v>M2-070(3)</v>
      </c>
      <c r="B225" s="915" t="str">
        <f t="shared" si="46"/>
        <v>차도</v>
      </c>
      <c r="C225" s="1251">
        <f t="shared" ref="C225" si="77">V225-D225</f>
        <v>1</v>
      </c>
      <c r="D225" s="1251">
        <v>1</v>
      </c>
      <c r="E225" s="1251">
        <f t="shared" ref="E225" si="78">W225-F225</f>
        <v>0</v>
      </c>
      <c r="F225" s="1251"/>
      <c r="G225" s="1251"/>
      <c r="H225" s="1251"/>
      <c r="I225" s="1251"/>
      <c r="J225" s="1251"/>
      <c r="K225" s="1251"/>
      <c r="L225" s="915"/>
      <c r="M225" s="915"/>
      <c r="N225" s="916">
        <f t="shared" ref="N225" si="79">SUM(C225:L225)</f>
        <v>2</v>
      </c>
      <c r="O225" s="916">
        <f t="shared" ref="O225" si="80">T225-N225</f>
        <v>0</v>
      </c>
      <c r="P225" s="916" t="str">
        <f>VLOOKUP($A225,'맨홀 평균 높이'!$J$4:$M$572,4,0)</f>
        <v>차  도</v>
      </c>
      <c r="Q225" s="1264" t="s">
        <v>1268</v>
      </c>
      <c r="R225" s="1264" t="s">
        <v>1454</v>
      </c>
      <c r="S225" s="1252">
        <f>VLOOKUP($R225,Sheet1!$A$3:$C$241,2,FALSE)</f>
        <v>0</v>
      </c>
      <c r="T225" s="1252">
        <f>VLOOKUP($R225,Sheet1!$A$3:$C$241,3,FALSE)</f>
        <v>2</v>
      </c>
      <c r="U225" s="1252"/>
      <c r="V225" s="1252">
        <f>VLOOKUP($R225,Sheet1!$A$3:$F$214,4,FALSE)</f>
        <v>2</v>
      </c>
      <c r="W225" s="1252">
        <f>VLOOKUP($R225,Sheet1!$A$3:$F$214,5,FALSE)</f>
        <v>0</v>
      </c>
      <c r="X225" s="1252">
        <f>VLOOKUP($R225,Sheet1!$A$3:$F$214,6,FALSE)</f>
        <v>0</v>
      </c>
      <c r="Y225" s="1252"/>
      <c r="Z225" s="1252"/>
      <c r="AA225" s="917"/>
      <c r="AB225" s="917"/>
      <c r="AC225" s="917"/>
      <c r="AD225" s="917"/>
      <c r="AE225" s="917"/>
      <c r="AF225" s="917"/>
      <c r="AG225" s="917"/>
      <c r="AH225" s="917"/>
      <c r="AI225" s="917"/>
      <c r="AJ225" s="917"/>
      <c r="AK225" s="917"/>
      <c r="AL225" s="917"/>
      <c r="AM225" s="917"/>
      <c r="AN225" s="917"/>
      <c r="AO225" s="917"/>
    </row>
    <row r="226" spans="1:41" s="913" customFormat="1" ht="15.95" customHeight="1">
      <c r="A226" s="1248" t="str">
        <f t="shared" si="63"/>
        <v>M2-070(4)</v>
      </c>
      <c r="B226" s="915" t="str">
        <f t="shared" si="46"/>
        <v>차도</v>
      </c>
      <c r="C226" s="1251">
        <f t="shared" si="54"/>
        <v>1</v>
      </c>
      <c r="D226" s="1251">
        <v>1</v>
      </c>
      <c r="E226" s="1251">
        <f t="shared" si="47"/>
        <v>0</v>
      </c>
      <c r="F226" s="1251"/>
      <c r="G226" s="1251"/>
      <c r="H226" s="1251"/>
      <c r="I226" s="1251"/>
      <c r="J226" s="1251"/>
      <c r="K226" s="1251"/>
      <c r="L226" s="915"/>
      <c r="M226" s="915"/>
      <c r="N226" s="916">
        <f t="shared" si="64"/>
        <v>2</v>
      </c>
      <c r="O226" s="916">
        <f t="shared" si="65"/>
        <v>0</v>
      </c>
      <c r="P226" s="916" t="str">
        <f>VLOOKUP($A226,'맨홀 평균 높이'!$J$4:$M$572,4,0)</f>
        <v>차  도</v>
      </c>
      <c r="Q226" s="1264" t="s">
        <v>1268</v>
      </c>
      <c r="R226" s="1264" t="s">
        <v>1455</v>
      </c>
      <c r="S226" s="1252">
        <f>VLOOKUP($R226,Sheet1!$A$3:$C$241,2,FALSE)</f>
        <v>0</v>
      </c>
      <c r="T226" s="1252">
        <f>VLOOKUP($R226,Sheet1!$A$3:$C$241,3,FALSE)</f>
        <v>2</v>
      </c>
      <c r="U226" s="1252"/>
      <c r="V226" s="1252">
        <f>VLOOKUP($R226,Sheet1!$A$3:$F$214,4,FALSE)</f>
        <v>2</v>
      </c>
      <c r="W226" s="1252">
        <f>VLOOKUP($R226,Sheet1!$A$3:$F$214,5,FALSE)</f>
        <v>0</v>
      </c>
      <c r="X226" s="1252">
        <f>VLOOKUP($R226,Sheet1!$A$3:$F$214,6,FALSE)</f>
        <v>0</v>
      </c>
      <c r="Y226" s="1252"/>
      <c r="Z226" s="1252"/>
      <c r="AA226" s="917"/>
      <c r="AB226" s="917"/>
      <c r="AC226" s="917"/>
      <c r="AD226" s="917"/>
      <c r="AE226" s="917"/>
      <c r="AF226" s="917"/>
      <c r="AG226" s="917"/>
      <c r="AH226" s="917"/>
      <c r="AI226" s="917"/>
      <c r="AJ226" s="917"/>
      <c r="AK226" s="917"/>
      <c r="AL226" s="917"/>
      <c r="AM226" s="917"/>
      <c r="AN226" s="917"/>
      <c r="AO226" s="917"/>
    </row>
    <row r="227" spans="1:41" s="913" customFormat="1" ht="15.95" customHeight="1">
      <c r="A227" s="1248" t="str">
        <f t="shared" si="63"/>
        <v>M2-072(1)</v>
      </c>
      <c r="B227" s="915" t="str">
        <f t="shared" si="46"/>
        <v>보도</v>
      </c>
      <c r="C227" s="1251">
        <f t="shared" si="54"/>
        <v>2</v>
      </c>
      <c r="D227" s="1251">
        <v>1</v>
      </c>
      <c r="E227" s="1251">
        <f t="shared" si="47"/>
        <v>0</v>
      </c>
      <c r="F227" s="1251"/>
      <c r="G227" s="1251"/>
      <c r="H227" s="1251"/>
      <c r="I227" s="1251"/>
      <c r="J227" s="1251"/>
      <c r="K227" s="1251"/>
      <c r="L227" s="915"/>
      <c r="M227" s="915"/>
      <c r="N227" s="916">
        <f t="shared" si="64"/>
        <v>3</v>
      </c>
      <c r="O227" s="916">
        <f t="shared" si="65"/>
        <v>0</v>
      </c>
      <c r="P227" s="916" t="str">
        <f>VLOOKUP($A227,'맨홀 평균 높이'!$J$4:$M$572,4,0)</f>
        <v>보  도</v>
      </c>
      <c r="Q227" s="1264" t="s">
        <v>1270</v>
      </c>
      <c r="R227" s="1264" t="s">
        <v>1456</v>
      </c>
      <c r="S227" s="1252">
        <f>VLOOKUP($R227,Sheet1!$A$3:$C$241,2,FALSE)</f>
        <v>0</v>
      </c>
      <c r="T227" s="1252">
        <f>VLOOKUP($R227,Sheet1!$A$3:$C$241,3,FALSE)</f>
        <v>3</v>
      </c>
      <c r="U227" s="1252"/>
      <c r="V227" s="1252">
        <f>VLOOKUP($R227,Sheet1!$A$3:$F$214,4,FALSE)</f>
        <v>3</v>
      </c>
      <c r="W227" s="1252">
        <f>VLOOKUP($R227,Sheet1!$A$3:$F$214,5,FALSE)</f>
        <v>0</v>
      </c>
      <c r="X227" s="1252">
        <f>VLOOKUP($R227,Sheet1!$A$3:$F$214,6,FALSE)</f>
        <v>0</v>
      </c>
      <c r="Y227" s="1252"/>
      <c r="Z227" s="1252"/>
      <c r="AA227" s="917"/>
      <c r="AB227" s="917"/>
      <c r="AC227" s="917"/>
      <c r="AD227" s="917"/>
      <c r="AE227" s="917"/>
      <c r="AF227" s="917"/>
      <c r="AG227" s="917"/>
      <c r="AH227" s="917"/>
      <c r="AI227" s="917"/>
      <c r="AJ227" s="917"/>
      <c r="AK227" s="917"/>
      <c r="AL227" s="917"/>
      <c r="AM227" s="917"/>
      <c r="AN227" s="917"/>
      <c r="AO227" s="917"/>
    </row>
    <row r="228" spans="1:41" s="913" customFormat="1" ht="15.95" customHeight="1">
      <c r="A228" s="1248" t="str">
        <f t="shared" si="63"/>
        <v>M2-076</v>
      </c>
      <c r="B228" s="915" t="str">
        <f t="shared" si="46"/>
        <v>차도</v>
      </c>
      <c r="C228" s="1251">
        <f t="shared" si="54"/>
        <v>1</v>
      </c>
      <c r="D228" s="1251">
        <v>1</v>
      </c>
      <c r="E228" s="1251">
        <f t="shared" si="47"/>
        <v>0</v>
      </c>
      <c r="F228" s="1251"/>
      <c r="G228" s="1251"/>
      <c r="H228" s="1251"/>
      <c r="I228" s="1251"/>
      <c r="J228" s="1251"/>
      <c r="K228" s="1251"/>
      <c r="L228" s="915"/>
      <c r="M228" s="915"/>
      <c r="N228" s="916">
        <f t="shared" si="64"/>
        <v>2</v>
      </c>
      <c r="O228" s="916">
        <f t="shared" si="65"/>
        <v>0</v>
      </c>
      <c r="P228" s="916" t="str">
        <f>VLOOKUP($A228,'맨홀 평균 높이'!$J$4:$M$572,4,0)</f>
        <v>차  도</v>
      </c>
      <c r="Q228" s="1264" t="s">
        <v>1268</v>
      </c>
      <c r="R228" s="1264" t="s">
        <v>1457</v>
      </c>
      <c r="S228" s="1252">
        <f>VLOOKUP($R228,Sheet1!$A$3:$C$241,2,FALSE)</f>
        <v>0</v>
      </c>
      <c r="T228" s="1252">
        <f>VLOOKUP($R228,Sheet1!$A$3:$C$241,3,FALSE)</f>
        <v>2</v>
      </c>
      <c r="U228" s="1252"/>
      <c r="V228" s="1252">
        <f>VLOOKUP($R228,Sheet1!$A$3:$F$214,4,FALSE)</f>
        <v>2</v>
      </c>
      <c r="W228" s="1252">
        <f>VLOOKUP($R228,Sheet1!$A$3:$F$214,5,FALSE)</f>
        <v>0</v>
      </c>
      <c r="X228" s="1252">
        <f>VLOOKUP($R228,Sheet1!$A$3:$F$214,6,FALSE)</f>
        <v>0</v>
      </c>
      <c r="Y228" s="1252"/>
      <c r="Z228" s="1252"/>
      <c r="AA228" s="917"/>
      <c r="AB228" s="917"/>
      <c r="AC228" s="917"/>
      <c r="AD228" s="917"/>
      <c r="AE228" s="917"/>
      <c r="AF228" s="917"/>
      <c r="AG228" s="917"/>
      <c r="AH228" s="917"/>
      <c r="AI228" s="917"/>
      <c r="AJ228" s="917"/>
      <c r="AK228" s="917"/>
      <c r="AL228" s="917"/>
      <c r="AM228" s="917"/>
      <c r="AN228" s="917"/>
      <c r="AO228" s="917"/>
    </row>
    <row r="229" spans="1:41" s="913" customFormat="1" ht="15.95" customHeight="1">
      <c r="A229" s="1248" t="str">
        <f t="shared" si="63"/>
        <v>M2-078(1)</v>
      </c>
      <c r="B229" s="915" t="str">
        <f t="shared" si="46"/>
        <v>차도</v>
      </c>
      <c r="C229" s="1251">
        <f t="shared" si="54"/>
        <v>1</v>
      </c>
      <c r="D229" s="1251">
        <v>1</v>
      </c>
      <c r="E229" s="1251">
        <f t="shared" si="47"/>
        <v>0</v>
      </c>
      <c r="F229" s="1251"/>
      <c r="G229" s="1251"/>
      <c r="H229" s="1251"/>
      <c r="I229" s="1251"/>
      <c r="J229" s="1251"/>
      <c r="K229" s="1251"/>
      <c r="L229" s="915"/>
      <c r="M229" s="915"/>
      <c r="N229" s="916">
        <f t="shared" si="64"/>
        <v>2</v>
      </c>
      <c r="O229" s="916">
        <f t="shared" si="65"/>
        <v>0</v>
      </c>
      <c r="P229" s="916" t="str">
        <f>VLOOKUP($A229,'맨홀 평균 높이'!$J$4:$M$572,4,0)</f>
        <v>차  도</v>
      </c>
      <c r="Q229" s="1264" t="s">
        <v>1272</v>
      </c>
      <c r="R229" s="1264" t="s">
        <v>1458</v>
      </c>
      <c r="S229" s="1252">
        <f>VLOOKUP($R229,Sheet1!$A$3:$C$241,2,FALSE)</f>
        <v>0</v>
      </c>
      <c r="T229" s="1252">
        <f>VLOOKUP($R229,Sheet1!$A$3:$C$241,3,FALSE)</f>
        <v>2</v>
      </c>
      <c r="U229" s="1252"/>
      <c r="V229" s="1252">
        <f>VLOOKUP($R229,Sheet1!$A$3:$F$214,4,FALSE)</f>
        <v>2</v>
      </c>
      <c r="W229" s="1252">
        <f>VLOOKUP($R229,Sheet1!$A$3:$F$214,5,FALSE)</f>
        <v>0</v>
      </c>
      <c r="X229" s="1252">
        <f>VLOOKUP($R229,Sheet1!$A$3:$F$214,6,FALSE)</f>
        <v>0</v>
      </c>
      <c r="Y229" s="1252"/>
      <c r="Z229" s="1252"/>
      <c r="AA229" s="917"/>
      <c r="AB229" s="917"/>
      <c r="AC229" s="917"/>
      <c r="AD229" s="917"/>
      <c r="AE229" s="917"/>
      <c r="AF229" s="917"/>
      <c r="AG229" s="917"/>
      <c r="AH229" s="917"/>
      <c r="AI229" s="917"/>
      <c r="AJ229" s="917"/>
      <c r="AK229" s="917"/>
      <c r="AL229" s="917"/>
      <c r="AM229" s="917"/>
      <c r="AN229" s="917"/>
      <c r="AO229" s="917"/>
    </row>
    <row r="230" spans="1:41" s="913" customFormat="1" ht="15.95" customHeight="1">
      <c r="A230" s="1248" t="str">
        <f t="shared" si="63"/>
        <v>M2-078(2)</v>
      </c>
      <c r="B230" s="915" t="str">
        <f t="shared" si="46"/>
        <v>차도</v>
      </c>
      <c r="C230" s="1251">
        <f t="shared" si="54"/>
        <v>1</v>
      </c>
      <c r="D230" s="1251">
        <v>1</v>
      </c>
      <c r="E230" s="1251">
        <f t="shared" si="47"/>
        <v>0</v>
      </c>
      <c r="F230" s="1251"/>
      <c r="G230" s="1251"/>
      <c r="H230" s="1251"/>
      <c r="I230" s="1251"/>
      <c r="J230" s="1251"/>
      <c r="K230" s="1251"/>
      <c r="L230" s="915"/>
      <c r="M230" s="915"/>
      <c r="N230" s="916">
        <f t="shared" si="64"/>
        <v>2</v>
      </c>
      <c r="O230" s="916">
        <f t="shared" si="65"/>
        <v>0</v>
      </c>
      <c r="P230" s="916" t="str">
        <f>VLOOKUP($A230,'맨홀 평균 높이'!$J$4:$M$572,4,0)</f>
        <v>차  도</v>
      </c>
      <c r="Q230" s="1264" t="s">
        <v>1272</v>
      </c>
      <c r="R230" s="1264" t="s">
        <v>1459</v>
      </c>
      <c r="S230" s="1252">
        <f>VLOOKUP($R230,Sheet1!$A$3:$C$241,2,FALSE)</f>
        <v>0</v>
      </c>
      <c r="T230" s="1252">
        <f>VLOOKUP($R230,Sheet1!$A$3:$C$241,3,FALSE)</f>
        <v>2</v>
      </c>
      <c r="U230" s="1252"/>
      <c r="V230" s="1252">
        <f>VLOOKUP($R230,Sheet1!$A$3:$F$214,4,FALSE)</f>
        <v>2</v>
      </c>
      <c r="W230" s="1252">
        <f>VLOOKUP($R230,Sheet1!$A$3:$F$214,5,FALSE)</f>
        <v>0</v>
      </c>
      <c r="X230" s="1252">
        <f>VLOOKUP($R230,Sheet1!$A$3:$F$214,6,FALSE)</f>
        <v>0</v>
      </c>
      <c r="Y230" s="1252"/>
      <c r="Z230" s="1252"/>
      <c r="AA230" s="917"/>
      <c r="AB230" s="917"/>
      <c r="AC230" s="917"/>
      <c r="AD230" s="917"/>
      <c r="AE230" s="917"/>
      <c r="AF230" s="917"/>
      <c r="AG230" s="917"/>
      <c r="AH230" s="917"/>
      <c r="AI230" s="917"/>
      <c r="AJ230" s="917"/>
      <c r="AK230" s="917"/>
      <c r="AL230" s="917"/>
      <c r="AM230" s="917"/>
      <c r="AN230" s="917"/>
      <c r="AO230" s="917"/>
    </row>
    <row r="231" spans="1:41" s="913" customFormat="1" ht="15.95" customHeight="1">
      <c r="A231" s="1248" t="str">
        <f t="shared" si="63"/>
        <v>M2-079(1)</v>
      </c>
      <c r="B231" s="915" t="str">
        <f t="shared" si="46"/>
        <v>차도</v>
      </c>
      <c r="C231" s="1251">
        <f t="shared" si="54"/>
        <v>1</v>
      </c>
      <c r="D231" s="1251">
        <v>1</v>
      </c>
      <c r="E231" s="1251">
        <f t="shared" si="47"/>
        <v>0</v>
      </c>
      <c r="F231" s="1251"/>
      <c r="G231" s="1251"/>
      <c r="H231" s="1251"/>
      <c r="I231" s="1251"/>
      <c r="J231" s="1251"/>
      <c r="K231" s="1251"/>
      <c r="L231" s="915"/>
      <c r="M231" s="915"/>
      <c r="N231" s="916">
        <f t="shared" si="64"/>
        <v>2</v>
      </c>
      <c r="O231" s="916">
        <f t="shared" si="65"/>
        <v>0</v>
      </c>
      <c r="P231" s="916" t="str">
        <f>VLOOKUP($A231,'맨홀 평균 높이'!$J$4:$M$572,4,0)</f>
        <v>차  도</v>
      </c>
      <c r="Q231" s="1264" t="s">
        <v>1272</v>
      </c>
      <c r="R231" s="1264" t="s">
        <v>1460</v>
      </c>
      <c r="S231" s="1252">
        <f>VLOOKUP($R231,Sheet1!$A$3:$C$241,2,FALSE)</f>
        <v>0</v>
      </c>
      <c r="T231" s="1252">
        <f>VLOOKUP($R231,Sheet1!$A$3:$C$241,3,FALSE)</f>
        <v>2</v>
      </c>
      <c r="U231" s="1252"/>
      <c r="V231" s="1252">
        <f>VLOOKUP($R231,Sheet1!$A$3:$F$214,4,FALSE)</f>
        <v>2</v>
      </c>
      <c r="W231" s="1252">
        <f>VLOOKUP($R231,Sheet1!$A$3:$F$214,5,FALSE)</f>
        <v>0</v>
      </c>
      <c r="X231" s="1252">
        <f>VLOOKUP($R231,Sheet1!$A$3:$F$214,6,FALSE)</f>
        <v>0</v>
      </c>
      <c r="Y231" s="1252"/>
      <c r="Z231" s="1252"/>
      <c r="AA231" s="917"/>
      <c r="AB231" s="917"/>
      <c r="AC231" s="917"/>
      <c r="AD231" s="917"/>
      <c r="AE231" s="917"/>
      <c r="AF231" s="917"/>
      <c r="AG231" s="917"/>
      <c r="AH231" s="917"/>
      <c r="AI231" s="917"/>
      <c r="AJ231" s="917"/>
      <c r="AK231" s="917"/>
      <c r="AL231" s="917"/>
      <c r="AM231" s="917"/>
      <c r="AN231" s="917"/>
      <c r="AO231" s="917"/>
    </row>
    <row r="232" spans="1:41" s="913" customFormat="1" ht="15.95" customHeight="1">
      <c r="A232" s="1248" t="str">
        <f t="shared" si="63"/>
        <v>M2-079(2)</v>
      </c>
      <c r="B232" s="915" t="str">
        <f t="shared" si="46"/>
        <v>차도</v>
      </c>
      <c r="C232" s="1251">
        <f t="shared" si="54"/>
        <v>1</v>
      </c>
      <c r="D232" s="1251">
        <v>1</v>
      </c>
      <c r="E232" s="1251">
        <f t="shared" si="47"/>
        <v>0</v>
      </c>
      <c r="F232" s="1251"/>
      <c r="G232" s="1251"/>
      <c r="H232" s="1251"/>
      <c r="I232" s="1251"/>
      <c r="J232" s="1251"/>
      <c r="K232" s="1251"/>
      <c r="L232" s="915"/>
      <c r="M232" s="915"/>
      <c r="N232" s="916">
        <f t="shared" si="64"/>
        <v>2</v>
      </c>
      <c r="O232" s="916">
        <f t="shared" si="65"/>
        <v>0</v>
      </c>
      <c r="P232" s="916" t="str">
        <f>VLOOKUP($A232,'맨홀 평균 높이'!$J$4:$M$572,4,0)</f>
        <v>차  도</v>
      </c>
      <c r="Q232" s="1264" t="s">
        <v>1272</v>
      </c>
      <c r="R232" s="1264" t="s">
        <v>1461</v>
      </c>
      <c r="S232" s="1252">
        <f>VLOOKUP($R232,Sheet1!$A$3:$C$241,2,FALSE)</f>
        <v>0</v>
      </c>
      <c r="T232" s="1252">
        <f>VLOOKUP($R232,Sheet1!$A$3:$C$241,3,FALSE)</f>
        <v>2</v>
      </c>
      <c r="U232" s="1252"/>
      <c r="V232" s="1252">
        <f>VLOOKUP($R232,Sheet1!$A$3:$F$214,4,FALSE)</f>
        <v>2</v>
      </c>
      <c r="W232" s="1252">
        <f>VLOOKUP($R232,Sheet1!$A$3:$F$214,5,FALSE)</f>
        <v>0</v>
      </c>
      <c r="X232" s="1252">
        <f>VLOOKUP($R232,Sheet1!$A$3:$F$214,6,FALSE)</f>
        <v>0</v>
      </c>
      <c r="Y232" s="1252"/>
      <c r="Z232" s="1252"/>
      <c r="AA232" s="917"/>
      <c r="AB232" s="917"/>
      <c r="AC232" s="917"/>
      <c r="AD232" s="917"/>
      <c r="AE232" s="917"/>
      <c r="AF232" s="917"/>
      <c r="AG232" s="917"/>
      <c r="AH232" s="917"/>
      <c r="AI232" s="917"/>
      <c r="AJ232" s="917"/>
      <c r="AK232" s="917"/>
      <c r="AL232" s="917"/>
      <c r="AM232" s="917"/>
      <c r="AN232" s="917"/>
      <c r="AO232" s="917"/>
    </row>
    <row r="233" spans="1:41" s="913" customFormat="1" ht="15.95" customHeight="1">
      <c r="A233" s="1248" t="str">
        <f t="shared" si="63"/>
        <v>M2-079(3)</v>
      </c>
      <c r="B233" s="915" t="str">
        <f t="shared" si="46"/>
        <v>차도</v>
      </c>
      <c r="C233" s="1251">
        <f t="shared" si="54"/>
        <v>1</v>
      </c>
      <c r="D233" s="1251">
        <v>1</v>
      </c>
      <c r="E233" s="1251">
        <f t="shared" si="47"/>
        <v>0</v>
      </c>
      <c r="F233" s="1251"/>
      <c r="G233" s="1251"/>
      <c r="H233" s="1251"/>
      <c r="I233" s="1251"/>
      <c r="J233" s="1251"/>
      <c r="K233" s="1251"/>
      <c r="L233" s="915"/>
      <c r="M233" s="915"/>
      <c r="N233" s="916">
        <f t="shared" si="64"/>
        <v>2</v>
      </c>
      <c r="O233" s="916">
        <f t="shared" si="65"/>
        <v>0</v>
      </c>
      <c r="P233" s="916" t="str">
        <f>VLOOKUP($A233,'맨홀 평균 높이'!$J$4:$M$572,4,0)</f>
        <v>차  도</v>
      </c>
      <c r="Q233" s="1264" t="s">
        <v>1272</v>
      </c>
      <c r="R233" s="1264" t="s">
        <v>1462</v>
      </c>
      <c r="S233" s="1252">
        <f>VLOOKUP($R233,Sheet1!$A$3:$C$241,2,FALSE)</f>
        <v>0</v>
      </c>
      <c r="T233" s="1252">
        <f>VLOOKUP($R233,Sheet1!$A$3:$C$241,3,FALSE)</f>
        <v>2</v>
      </c>
      <c r="U233" s="1252"/>
      <c r="V233" s="1252">
        <f>VLOOKUP($R233,Sheet1!$A$3:$F$214,4,FALSE)</f>
        <v>2</v>
      </c>
      <c r="W233" s="1252">
        <f>VLOOKUP($R233,Sheet1!$A$3:$F$214,5,FALSE)</f>
        <v>0</v>
      </c>
      <c r="X233" s="1252">
        <f>VLOOKUP($R233,Sheet1!$A$3:$F$214,6,FALSE)</f>
        <v>0</v>
      </c>
      <c r="Y233" s="1252"/>
      <c r="Z233" s="1252"/>
      <c r="AA233" s="917"/>
      <c r="AB233" s="917"/>
      <c r="AC233" s="917"/>
      <c r="AD233" s="917"/>
      <c r="AE233" s="917"/>
      <c r="AF233" s="917"/>
      <c r="AG233" s="917"/>
      <c r="AH233" s="917"/>
      <c r="AI233" s="917"/>
      <c r="AJ233" s="917"/>
      <c r="AK233" s="917"/>
      <c r="AL233" s="917"/>
      <c r="AM233" s="917"/>
      <c r="AN233" s="917"/>
      <c r="AO233" s="917"/>
    </row>
    <row r="234" spans="1:41" s="913" customFormat="1" ht="15.95" customHeight="1">
      <c r="A234" s="1248" t="str">
        <f t="shared" si="63"/>
        <v>M2-080</v>
      </c>
      <c r="B234" s="915" t="str">
        <f t="shared" si="46"/>
        <v>차도</v>
      </c>
      <c r="C234" s="1251">
        <f t="shared" si="54"/>
        <v>2</v>
      </c>
      <c r="D234" s="1251">
        <v>1</v>
      </c>
      <c r="E234" s="1251">
        <f t="shared" si="47"/>
        <v>0</v>
      </c>
      <c r="F234" s="1251"/>
      <c r="G234" s="1251"/>
      <c r="H234" s="1251"/>
      <c r="I234" s="1251"/>
      <c r="J234" s="1251"/>
      <c r="K234" s="1251"/>
      <c r="L234" s="915"/>
      <c r="M234" s="915"/>
      <c r="N234" s="916">
        <f t="shared" si="64"/>
        <v>3</v>
      </c>
      <c r="O234" s="916">
        <f t="shared" si="65"/>
        <v>0</v>
      </c>
      <c r="P234" s="916" t="str">
        <f>VLOOKUP($A234,'맨홀 평균 높이'!$J$4:$M$572,4,0)</f>
        <v>차  도</v>
      </c>
      <c r="Q234" s="1264" t="s">
        <v>1272</v>
      </c>
      <c r="R234" s="1264" t="s">
        <v>1393</v>
      </c>
      <c r="S234" s="1252">
        <f>VLOOKUP($R234,Sheet1!$A$3:$C$241,2,FALSE)</f>
        <v>0</v>
      </c>
      <c r="T234" s="1252">
        <f>VLOOKUP($R234,Sheet1!$A$3:$C$241,3,FALSE)</f>
        <v>3</v>
      </c>
      <c r="U234" s="1252"/>
      <c r="V234" s="1252">
        <f>VLOOKUP($R234,Sheet1!$A$3:$F$214,4,FALSE)</f>
        <v>3</v>
      </c>
      <c r="W234" s="1252">
        <f>VLOOKUP($R234,Sheet1!$A$3:$F$214,5,FALSE)</f>
        <v>0</v>
      </c>
      <c r="X234" s="1252">
        <f>VLOOKUP($R234,Sheet1!$A$3:$F$214,6,FALSE)</f>
        <v>0</v>
      </c>
      <c r="Y234" s="1252"/>
      <c r="Z234" s="1252"/>
      <c r="AA234" s="917"/>
      <c r="AB234" s="917"/>
      <c r="AC234" s="917"/>
      <c r="AD234" s="917"/>
      <c r="AE234" s="917"/>
      <c r="AF234" s="917"/>
      <c r="AG234" s="917"/>
      <c r="AH234" s="917"/>
      <c r="AI234" s="917"/>
      <c r="AJ234" s="917"/>
      <c r="AK234" s="917"/>
      <c r="AL234" s="917"/>
      <c r="AM234" s="917"/>
      <c r="AN234" s="917"/>
      <c r="AO234" s="917"/>
    </row>
    <row r="235" spans="1:41" s="913" customFormat="1" ht="15.95" customHeight="1">
      <c r="A235" s="1248" t="str">
        <f t="shared" si="63"/>
        <v>M2-086</v>
      </c>
      <c r="B235" s="915" t="str">
        <f t="shared" si="46"/>
        <v>보도</v>
      </c>
      <c r="C235" s="1251">
        <f t="shared" si="54"/>
        <v>0</v>
      </c>
      <c r="D235" s="1251"/>
      <c r="E235" s="1251">
        <f t="shared" si="47"/>
        <v>1</v>
      </c>
      <c r="F235" s="1251">
        <v>1</v>
      </c>
      <c r="G235" s="1251"/>
      <c r="H235" s="1251"/>
      <c r="I235" s="1251"/>
      <c r="J235" s="1251"/>
      <c r="K235" s="1251"/>
      <c r="L235" s="915"/>
      <c r="M235" s="915"/>
      <c r="N235" s="916">
        <f t="shared" si="64"/>
        <v>2</v>
      </c>
      <c r="O235" s="916">
        <f t="shared" si="65"/>
        <v>0</v>
      </c>
      <c r="P235" s="916" t="str">
        <f>VLOOKUP($A235,'맨홀 평균 높이'!$J$4:$M$572,4,0)</f>
        <v>보  도</v>
      </c>
      <c r="Q235" s="1264" t="s">
        <v>1280</v>
      </c>
      <c r="R235" s="1264" t="s">
        <v>1227</v>
      </c>
      <c r="S235" s="1252">
        <f>VLOOKUP($R235,Sheet1!$A$3:$C$241,2,FALSE)</f>
        <v>0</v>
      </c>
      <c r="T235" s="1252">
        <f>VLOOKUP($R235,Sheet1!$A$3:$C$241,3,FALSE)</f>
        <v>2</v>
      </c>
      <c r="U235" s="1252"/>
      <c r="V235" s="1252">
        <f>VLOOKUP($R235,Sheet1!$A$3:$F$214,4,FALSE)</f>
        <v>0</v>
      </c>
      <c r="W235" s="1252">
        <f>VLOOKUP($R235,Sheet1!$A$3:$F$214,5,FALSE)</f>
        <v>2</v>
      </c>
      <c r="X235" s="1252">
        <f>VLOOKUP($R235,Sheet1!$A$3:$F$214,6,FALSE)</f>
        <v>0</v>
      </c>
      <c r="Y235" s="1252"/>
      <c r="Z235" s="1252"/>
      <c r="AA235" s="917"/>
      <c r="AB235" s="917"/>
      <c r="AC235" s="917"/>
      <c r="AD235" s="917"/>
      <c r="AE235" s="917"/>
      <c r="AF235" s="917"/>
      <c r="AG235" s="917"/>
      <c r="AH235" s="917"/>
      <c r="AI235" s="917"/>
      <c r="AJ235" s="917"/>
      <c r="AK235" s="917"/>
      <c r="AL235" s="917"/>
      <c r="AM235" s="917"/>
      <c r="AN235" s="917"/>
      <c r="AO235" s="917"/>
    </row>
    <row r="236" spans="1:41" s="913" customFormat="1" ht="15.95" customHeight="1">
      <c r="A236" s="1248" t="str">
        <f t="shared" si="63"/>
        <v>M2-087</v>
      </c>
      <c r="B236" s="915" t="str">
        <f t="shared" si="46"/>
        <v>보도</v>
      </c>
      <c r="C236" s="1251">
        <f t="shared" si="54"/>
        <v>0</v>
      </c>
      <c r="D236" s="1251"/>
      <c r="E236" s="1251">
        <f t="shared" si="47"/>
        <v>1</v>
      </c>
      <c r="F236" s="1251">
        <v>1</v>
      </c>
      <c r="G236" s="1251"/>
      <c r="H236" s="1251"/>
      <c r="I236" s="1251"/>
      <c r="J236" s="1251"/>
      <c r="K236" s="1251"/>
      <c r="L236" s="915"/>
      <c r="M236" s="915"/>
      <c r="N236" s="916">
        <f t="shared" si="64"/>
        <v>2</v>
      </c>
      <c r="O236" s="916">
        <f t="shared" si="65"/>
        <v>0</v>
      </c>
      <c r="P236" s="916" t="str">
        <f>VLOOKUP($A236,'맨홀 평균 높이'!$J$4:$M$572,4,0)</f>
        <v>보  도</v>
      </c>
      <c r="Q236" s="1264" t="s">
        <v>1280</v>
      </c>
      <c r="R236" s="1264" t="s">
        <v>1228</v>
      </c>
      <c r="S236" s="1252">
        <f>VLOOKUP($R236,Sheet1!$A$3:$C$241,2,FALSE)</f>
        <v>0</v>
      </c>
      <c r="T236" s="1252">
        <f>VLOOKUP($R236,Sheet1!$A$3:$C$241,3,FALSE)</f>
        <v>2</v>
      </c>
      <c r="U236" s="1252"/>
      <c r="V236" s="1252">
        <f>VLOOKUP($R236,Sheet1!$A$3:$F$214,4,FALSE)</f>
        <v>0</v>
      </c>
      <c r="W236" s="1252">
        <f>VLOOKUP($R236,Sheet1!$A$3:$F$214,5,FALSE)</f>
        <v>2</v>
      </c>
      <c r="X236" s="1252">
        <f>VLOOKUP($R236,Sheet1!$A$3:$F$214,6,FALSE)</f>
        <v>0</v>
      </c>
      <c r="Y236" s="1252"/>
      <c r="Z236" s="1252"/>
      <c r="AA236" s="917"/>
      <c r="AB236" s="917"/>
      <c r="AC236" s="917"/>
      <c r="AD236" s="917"/>
      <c r="AE236" s="917"/>
      <c r="AF236" s="917"/>
      <c r="AG236" s="917"/>
      <c r="AH236" s="917"/>
      <c r="AI236" s="917"/>
      <c r="AJ236" s="917"/>
      <c r="AK236" s="917"/>
      <c r="AL236" s="917"/>
      <c r="AM236" s="917"/>
      <c r="AN236" s="917"/>
      <c r="AO236" s="917"/>
    </row>
    <row r="237" spans="1:41" s="913" customFormat="1" ht="15.95" customHeight="1">
      <c r="A237" s="1248" t="str">
        <f t="shared" si="63"/>
        <v>M2-088</v>
      </c>
      <c r="B237" s="915" t="str">
        <f t="shared" si="46"/>
        <v>보도</v>
      </c>
      <c r="C237" s="1251">
        <f t="shared" si="54"/>
        <v>0</v>
      </c>
      <c r="D237" s="1251"/>
      <c r="E237" s="1251">
        <f t="shared" si="47"/>
        <v>1</v>
      </c>
      <c r="F237" s="1251">
        <v>1</v>
      </c>
      <c r="G237" s="1251"/>
      <c r="H237" s="1251"/>
      <c r="I237" s="1251"/>
      <c r="J237" s="1251"/>
      <c r="K237" s="1251"/>
      <c r="L237" s="915"/>
      <c r="M237" s="915"/>
      <c r="N237" s="916">
        <f t="shared" si="64"/>
        <v>2</v>
      </c>
      <c r="O237" s="916">
        <f t="shared" si="65"/>
        <v>0</v>
      </c>
      <c r="P237" s="916" t="str">
        <f>VLOOKUP($A237,'맨홀 평균 높이'!$J$4:$M$572,4,0)</f>
        <v>보  도</v>
      </c>
      <c r="Q237" s="1264" t="s">
        <v>1280</v>
      </c>
      <c r="R237" s="1264" t="s">
        <v>1229</v>
      </c>
      <c r="S237" s="1252">
        <f>VLOOKUP($R237,Sheet1!$A$3:$C$241,2,FALSE)</f>
        <v>0</v>
      </c>
      <c r="T237" s="1252">
        <f>VLOOKUP($R237,Sheet1!$A$3:$C$241,3,FALSE)</f>
        <v>2</v>
      </c>
      <c r="U237" s="1252"/>
      <c r="V237" s="1252">
        <f>VLOOKUP($R237,Sheet1!$A$3:$F$214,4,FALSE)</f>
        <v>0</v>
      </c>
      <c r="W237" s="1252">
        <f>VLOOKUP($R237,Sheet1!$A$3:$F$214,5,FALSE)</f>
        <v>2</v>
      </c>
      <c r="X237" s="1252">
        <f>VLOOKUP($R237,Sheet1!$A$3:$F$214,6,FALSE)</f>
        <v>0</v>
      </c>
      <c r="Y237" s="1252"/>
      <c r="Z237" s="1252"/>
      <c r="AA237" s="917"/>
      <c r="AB237" s="917"/>
      <c r="AC237" s="917"/>
      <c r="AD237" s="917"/>
      <c r="AE237" s="917"/>
      <c r="AF237" s="917"/>
      <c r="AG237" s="917"/>
      <c r="AH237" s="917"/>
      <c r="AI237" s="917"/>
      <c r="AJ237" s="917"/>
      <c r="AK237" s="917"/>
      <c r="AL237" s="917"/>
      <c r="AM237" s="917"/>
      <c r="AN237" s="917"/>
      <c r="AO237" s="917"/>
    </row>
    <row r="238" spans="1:41" s="913" customFormat="1" ht="15.95" customHeight="1">
      <c r="A238" s="1248" t="str">
        <f t="shared" si="63"/>
        <v>M2-094</v>
      </c>
      <c r="B238" s="915" t="str">
        <f t="shared" si="46"/>
        <v>차도</v>
      </c>
      <c r="C238" s="1251">
        <f t="shared" si="54"/>
        <v>1</v>
      </c>
      <c r="D238" s="1251">
        <v>1</v>
      </c>
      <c r="E238" s="1251">
        <f t="shared" si="47"/>
        <v>0</v>
      </c>
      <c r="F238" s="1251"/>
      <c r="G238" s="1251"/>
      <c r="H238" s="1251"/>
      <c r="I238" s="1251"/>
      <c r="J238" s="1251"/>
      <c r="K238" s="1251"/>
      <c r="L238" s="915"/>
      <c r="M238" s="915"/>
      <c r="N238" s="916">
        <f t="shared" si="64"/>
        <v>2</v>
      </c>
      <c r="O238" s="916">
        <f t="shared" si="65"/>
        <v>0</v>
      </c>
      <c r="P238" s="916" t="str">
        <f>VLOOKUP($A238,'맨홀 평균 높이'!$J$4:$M$572,4,0)</f>
        <v>차  도</v>
      </c>
      <c r="Q238" s="1264" t="s">
        <v>1286</v>
      </c>
      <c r="R238" s="1264" t="s">
        <v>1389</v>
      </c>
      <c r="S238" s="1252">
        <f>VLOOKUP($R238,Sheet1!$A$3:$C$241,2,FALSE)</f>
        <v>0</v>
      </c>
      <c r="T238" s="1252">
        <f>VLOOKUP($R238,Sheet1!$A$3:$C$241,3,FALSE)</f>
        <v>2</v>
      </c>
      <c r="U238" s="1252"/>
      <c r="V238" s="1252">
        <f>VLOOKUP($R238,Sheet1!$A$3:$F$214,4,FALSE)</f>
        <v>2</v>
      </c>
      <c r="W238" s="1252">
        <f>VLOOKUP($R238,Sheet1!$A$3:$F$214,5,FALSE)</f>
        <v>0</v>
      </c>
      <c r="X238" s="1252">
        <f>VLOOKUP($R238,Sheet1!$A$3:$F$214,6,FALSE)</f>
        <v>0</v>
      </c>
      <c r="Y238" s="1252"/>
      <c r="Z238" s="1252"/>
      <c r="AA238" s="917"/>
      <c r="AB238" s="917"/>
      <c r="AC238" s="917"/>
      <c r="AD238" s="917"/>
      <c r="AE238" s="917"/>
      <c r="AF238" s="917"/>
      <c r="AG238" s="917"/>
      <c r="AH238" s="917"/>
      <c r="AI238" s="917"/>
      <c r="AJ238" s="917"/>
      <c r="AK238" s="917"/>
      <c r="AL238" s="917"/>
      <c r="AM238" s="917"/>
      <c r="AN238" s="917"/>
      <c r="AO238" s="917"/>
    </row>
    <row r="239" spans="1:41" s="913" customFormat="1" ht="15.95" customHeight="1">
      <c r="A239" s="1248" t="str">
        <f t="shared" si="63"/>
        <v>M2-096(1)</v>
      </c>
      <c r="B239" s="915" t="str">
        <f t="shared" si="46"/>
        <v>보도</v>
      </c>
      <c r="C239" s="1251">
        <f t="shared" si="54"/>
        <v>1</v>
      </c>
      <c r="D239" s="1251"/>
      <c r="E239" s="1251">
        <f t="shared" si="47"/>
        <v>0</v>
      </c>
      <c r="F239" s="1251">
        <v>1</v>
      </c>
      <c r="G239" s="1251"/>
      <c r="H239" s="1251"/>
      <c r="I239" s="1251"/>
      <c r="J239" s="1251"/>
      <c r="K239" s="1251"/>
      <c r="L239" s="915"/>
      <c r="M239" s="915"/>
      <c r="N239" s="916">
        <f t="shared" si="64"/>
        <v>2</v>
      </c>
      <c r="O239" s="916">
        <f t="shared" si="65"/>
        <v>0</v>
      </c>
      <c r="P239" s="916" t="str">
        <f>VLOOKUP($A239,'맨홀 평균 높이'!$J$4:$M$572,4,0)</f>
        <v>보  도</v>
      </c>
      <c r="Q239" s="1264" t="s">
        <v>1287</v>
      </c>
      <c r="R239" s="1264" t="s">
        <v>1463</v>
      </c>
      <c r="S239" s="1252">
        <f>VLOOKUP($R239,Sheet1!$A$3:$C$241,2,FALSE)</f>
        <v>0</v>
      </c>
      <c r="T239" s="1252">
        <f>VLOOKUP($R239,Sheet1!$A$3:$C$241,3,FALSE)</f>
        <v>2</v>
      </c>
      <c r="U239" s="1252"/>
      <c r="V239" s="1252">
        <f>VLOOKUP($R239,Sheet1!$A$3:$F$214,4,FALSE)</f>
        <v>1</v>
      </c>
      <c r="W239" s="1252">
        <f>VLOOKUP($R239,Sheet1!$A$3:$F$214,5,FALSE)</f>
        <v>1</v>
      </c>
      <c r="X239" s="1252">
        <f>VLOOKUP($R239,Sheet1!$A$3:$F$214,6,FALSE)</f>
        <v>0</v>
      </c>
      <c r="Y239" s="1252"/>
      <c r="Z239" s="1252"/>
      <c r="AA239" s="917"/>
      <c r="AB239" s="917"/>
      <c r="AC239" s="917"/>
      <c r="AD239" s="917"/>
      <c r="AE239" s="917"/>
      <c r="AF239" s="917"/>
      <c r="AG239" s="917"/>
      <c r="AH239" s="917"/>
      <c r="AI239" s="917"/>
      <c r="AJ239" s="917"/>
      <c r="AK239" s="917"/>
      <c r="AL239" s="917"/>
      <c r="AM239" s="917"/>
      <c r="AN239" s="917"/>
      <c r="AO239" s="917"/>
    </row>
    <row r="240" spans="1:41" s="913" customFormat="1" ht="15.95" customHeight="1">
      <c r="A240" s="1248" t="str">
        <f t="shared" si="63"/>
        <v>M2-097(1)</v>
      </c>
      <c r="B240" s="915" t="str">
        <f t="shared" si="46"/>
        <v>차도</v>
      </c>
      <c r="C240" s="1251">
        <f t="shared" si="54"/>
        <v>0</v>
      </c>
      <c r="D240" s="1251"/>
      <c r="E240" s="1251">
        <f t="shared" si="47"/>
        <v>2</v>
      </c>
      <c r="F240" s="1251">
        <v>1</v>
      </c>
      <c r="G240" s="1251"/>
      <c r="H240" s="1251"/>
      <c r="I240" s="1251"/>
      <c r="J240" s="1251"/>
      <c r="K240" s="1251"/>
      <c r="L240" s="915"/>
      <c r="M240" s="915"/>
      <c r="N240" s="916">
        <f t="shared" si="64"/>
        <v>3</v>
      </c>
      <c r="O240" s="916">
        <f t="shared" si="65"/>
        <v>0</v>
      </c>
      <c r="P240" s="916" t="str">
        <f>VLOOKUP($A240,'맨홀 평균 높이'!$J$4:$M$572,4,0)</f>
        <v>차  도</v>
      </c>
      <c r="Q240" s="1264" t="s">
        <v>1287</v>
      </c>
      <c r="R240" s="1264" t="s">
        <v>1464</v>
      </c>
      <c r="S240" s="1252">
        <f>VLOOKUP($R240,Sheet1!$A$3:$C$241,2,FALSE)</f>
        <v>0</v>
      </c>
      <c r="T240" s="1252">
        <f>VLOOKUP($R240,Sheet1!$A$3:$C$241,3,FALSE)</f>
        <v>3</v>
      </c>
      <c r="U240" s="1252"/>
      <c r="V240" s="1252">
        <f>VLOOKUP($R240,Sheet1!$A$3:$F$214,4,FALSE)</f>
        <v>0</v>
      </c>
      <c r="W240" s="1252">
        <f>VLOOKUP($R240,Sheet1!$A$3:$F$214,5,FALSE)</f>
        <v>3</v>
      </c>
      <c r="X240" s="1252">
        <f>VLOOKUP($R240,Sheet1!$A$3:$F$214,6,FALSE)</f>
        <v>0</v>
      </c>
      <c r="Y240" s="1252"/>
      <c r="Z240" s="1252"/>
      <c r="AA240" s="917"/>
      <c r="AB240" s="917"/>
      <c r="AC240" s="917"/>
      <c r="AD240" s="917"/>
      <c r="AE240" s="917"/>
      <c r="AF240" s="917"/>
      <c r="AG240" s="917"/>
      <c r="AH240" s="917"/>
      <c r="AI240" s="917"/>
      <c r="AJ240" s="917"/>
      <c r="AK240" s="917"/>
      <c r="AL240" s="917"/>
      <c r="AM240" s="917"/>
      <c r="AN240" s="917"/>
      <c r="AO240" s="917"/>
    </row>
    <row r="241" spans="1:41" s="913" customFormat="1" ht="15.95" customHeight="1">
      <c r="A241" s="1248" t="str">
        <f t="shared" si="63"/>
        <v>M2-098(1)</v>
      </c>
      <c r="B241" s="915" t="str">
        <f t="shared" si="46"/>
        <v>보도</v>
      </c>
      <c r="C241" s="1251">
        <f t="shared" si="54"/>
        <v>0</v>
      </c>
      <c r="D241" s="1251"/>
      <c r="E241" s="1251">
        <f t="shared" si="47"/>
        <v>1</v>
      </c>
      <c r="F241" s="1251">
        <v>1</v>
      </c>
      <c r="G241" s="1251"/>
      <c r="H241" s="1251"/>
      <c r="I241" s="1251"/>
      <c r="J241" s="1251"/>
      <c r="K241" s="1251"/>
      <c r="L241" s="915"/>
      <c r="M241" s="915"/>
      <c r="N241" s="916">
        <f t="shared" si="64"/>
        <v>2</v>
      </c>
      <c r="O241" s="916">
        <f t="shared" si="65"/>
        <v>0</v>
      </c>
      <c r="P241" s="916" t="str">
        <f>VLOOKUP($A241,'맨홀 평균 높이'!$J$4:$M$572,4,0)</f>
        <v>보  도</v>
      </c>
      <c r="Q241" s="1264" t="s">
        <v>1287</v>
      </c>
      <c r="R241" s="1264" t="s">
        <v>1465</v>
      </c>
      <c r="S241" s="1252">
        <f>VLOOKUP($R241,Sheet1!$A$3:$C$241,2,FALSE)</f>
        <v>0</v>
      </c>
      <c r="T241" s="1252">
        <f>VLOOKUP($R241,Sheet1!$A$3:$C$241,3,FALSE)</f>
        <v>2</v>
      </c>
      <c r="U241" s="1252"/>
      <c r="V241" s="1252">
        <f>VLOOKUP($R241,Sheet1!$A$3:$F$214,4,FALSE)</f>
        <v>0</v>
      </c>
      <c r="W241" s="1252">
        <f>VLOOKUP($R241,Sheet1!$A$3:$F$214,5,FALSE)</f>
        <v>2</v>
      </c>
      <c r="X241" s="1252">
        <f>VLOOKUP($R241,Sheet1!$A$3:$F$214,6,FALSE)</f>
        <v>0</v>
      </c>
      <c r="Y241" s="1252"/>
      <c r="Z241" s="1252"/>
      <c r="AA241" s="917"/>
      <c r="AB241" s="917"/>
      <c r="AC241" s="917"/>
      <c r="AD241" s="917"/>
      <c r="AE241" s="917"/>
      <c r="AF241" s="917"/>
      <c r="AG241" s="917"/>
      <c r="AH241" s="917"/>
      <c r="AI241" s="917"/>
      <c r="AJ241" s="917"/>
      <c r="AK241" s="917"/>
      <c r="AL241" s="917"/>
      <c r="AM241" s="917"/>
      <c r="AN241" s="917"/>
      <c r="AO241" s="917"/>
    </row>
    <row r="242" spans="1:41" s="913" customFormat="1" ht="15.95" customHeight="1">
      <c r="A242" s="1248" t="str">
        <f t="shared" si="63"/>
        <v>M2-099</v>
      </c>
      <c r="B242" s="915" t="str">
        <f t="shared" si="46"/>
        <v>차도</v>
      </c>
      <c r="C242" s="1251">
        <f t="shared" si="54"/>
        <v>1</v>
      </c>
      <c r="D242" s="1251"/>
      <c r="E242" s="1251">
        <f t="shared" si="47"/>
        <v>1</v>
      </c>
      <c r="F242" s="1251">
        <v>1</v>
      </c>
      <c r="G242" s="1251"/>
      <c r="H242" s="1251"/>
      <c r="I242" s="1251"/>
      <c r="J242" s="1251"/>
      <c r="K242" s="1251"/>
      <c r="L242" s="915"/>
      <c r="M242" s="915"/>
      <c r="N242" s="916">
        <f t="shared" si="64"/>
        <v>3</v>
      </c>
      <c r="O242" s="916">
        <f t="shared" si="65"/>
        <v>0</v>
      </c>
      <c r="P242" s="916" t="str">
        <f>VLOOKUP($A242,'맨홀 평균 높이'!$J$4:$M$572,4,0)</f>
        <v>차  도</v>
      </c>
      <c r="Q242" s="1264" t="s">
        <v>1289</v>
      </c>
      <c r="R242" s="1264" t="s">
        <v>1390</v>
      </c>
      <c r="S242" s="1252">
        <f>VLOOKUP($R242,Sheet1!$A$3:$C$241,2,FALSE)</f>
        <v>0</v>
      </c>
      <c r="T242" s="1252">
        <f>VLOOKUP($R242,Sheet1!$A$3:$C$241,3,FALSE)</f>
        <v>3</v>
      </c>
      <c r="U242" s="1252"/>
      <c r="V242" s="1252">
        <f>VLOOKUP($R242,Sheet1!$A$3:$F$214,4,FALSE)</f>
        <v>1</v>
      </c>
      <c r="W242" s="1252">
        <f>VLOOKUP($R242,Sheet1!$A$3:$F$214,5,FALSE)</f>
        <v>2</v>
      </c>
      <c r="X242" s="1252">
        <f>VLOOKUP($R242,Sheet1!$A$3:$F$214,6,FALSE)</f>
        <v>0</v>
      </c>
      <c r="Y242" s="1252"/>
      <c r="Z242" s="1252"/>
      <c r="AA242" s="917"/>
      <c r="AB242" s="917"/>
      <c r="AC242" s="917"/>
      <c r="AD242" s="917"/>
      <c r="AE242" s="917"/>
      <c r="AF242" s="917"/>
      <c r="AG242" s="917"/>
      <c r="AH242" s="917"/>
      <c r="AI242" s="917"/>
      <c r="AJ242" s="917"/>
      <c r="AK242" s="917"/>
      <c r="AL242" s="917"/>
      <c r="AM242" s="917"/>
      <c r="AN242" s="917"/>
      <c r="AO242" s="917"/>
    </row>
    <row r="243" spans="1:41" s="913" customFormat="1" ht="15.95" customHeight="1">
      <c r="A243" s="1248" t="str">
        <f t="shared" si="63"/>
        <v>M2-100</v>
      </c>
      <c r="B243" s="915" t="str">
        <f t="shared" si="46"/>
        <v>보도</v>
      </c>
      <c r="C243" s="1251">
        <f t="shared" si="54"/>
        <v>0</v>
      </c>
      <c r="D243" s="1251"/>
      <c r="E243" s="1251">
        <f t="shared" si="47"/>
        <v>1</v>
      </c>
      <c r="F243" s="1251">
        <v>1</v>
      </c>
      <c r="G243" s="1251"/>
      <c r="H243" s="1251"/>
      <c r="I243" s="1251"/>
      <c r="J243" s="1251"/>
      <c r="K243" s="1251"/>
      <c r="L243" s="915"/>
      <c r="M243" s="915"/>
      <c r="N243" s="916">
        <f t="shared" si="64"/>
        <v>2</v>
      </c>
      <c r="O243" s="916">
        <f t="shared" si="65"/>
        <v>0</v>
      </c>
      <c r="P243" s="916" t="str">
        <f>VLOOKUP($A243,'맨홀 평균 높이'!$J$4:$M$572,4,0)</f>
        <v>보  도</v>
      </c>
      <c r="Q243" s="1264" t="s">
        <v>1289</v>
      </c>
      <c r="R243" s="1264" t="s">
        <v>1408</v>
      </c>
      <c r="S243" s="1252">
        <f>VLOOKUP($R243,Sheet1!$A$3:$C$241,2,FALSE)</f>
        <v>0</v>
      </c>
      <c r="T243" s="1252">
        <f>VLOOKUP($R243,Sheet1!$A$3:$C$241,3,FALSE)</f>
        <v>2</v>
      </c>
      <c r="U243" s="1252"/>
      <c r="V243" s="1252">
        <f>VLOOKUP($R243,Sheet1!$A$3:$F$214,4,FALSE)</f>
        <v>0</v>
      </c>
      <c r="W243" s="1252">
        <f>VLOOKUP($R243,Sheet1!$A$3:$F$214,5,FALSE)</f>
        <v>2</v>
      </c>
      <c r="X243" s="1252">
        <f>VLOOKUP($R243,Sheet1!$A$3:$F$214,6,FALSE)</f>
        <v>0</v>
      </c>
      <c r="Y243" s="1252"/>
      <c r="Z243" s="1252"/>
      <c r="AA243" s="917"/>
      <c r="AB243" s="917"/>
      <c r="AC243" s="917"/>
      <c r="AD243" s="917"/>
      <c r="AE243" s="917"/>
      <c r="AF243" s="917"/>
      <c r="AG243" s="917"/>
      <c r="AH243" s="917"/>
      <c r="AI243" s="917"/>
      <c r="AJ243" s="917"/>
      <c r="AK243" s="917"/>
      <c r="AL243" s="917"/>
      <c r="AM243" s="917"/>
      <c r="AN243" s="917"/>
      <c r="AO243" s="917"/>
    </row>
    <row r="244" spans="1:41" s="913" customFormat="1" ht="15.95" customHeight="1">
      <c r="A244" s="1248" t="str">
        <f t="shared" si="63"/>
        <v>M2-104</v>
      </c>
      <c r="B244" s="915" t="str">
        <f t="shared" si="46"/>
        <v>보도</v>
      </c>
      <c r="C244" s="1251">
        <f t="shared" si="54"/>
        <v>0</v>
      </c>
      <c r="D244" s="1251">
        <v>1</v>
      </c>
      <c r="E244" s="1251">
        <f t="shared" si="47"/>
        <v>0</v>
      </c>
      <c r="F244" s="1251"/>
      <c r="G244" s="1251"/>
      <c r="H244" s="1251"/>
      <c r="I244" s="1251"/>
      <c r="J244" s="1251"/>
      <c r="K244" s="1251"/>
      <c r="L244" s="915"/>
      <c r="M244" s="915"/>
      <c r="N244" s="916">
        <f t="shared" si="64"/>
        <v>1</v>
      </c>
      <c r="O244" s="916">
        <f t="shared" si="65"/>
        <v>0</v>
      </c>
      <c r="P244" s="916" t="str">
        <f>VLOOKUP($A244,'맨홀 평균 높이'!$J$4:$M$572,4,0)</f>
        <v>보  도</v>
      </c>
      <c r="Q244" s="1264" t="s">
        <v>1289</v>
      </c>
      <c r="R244" s="1264" t="s">
        <v>1466</v>
      </c>
      <c r="S244" s="1252">
        <f>VLOOKUP($R244,Sheet1!$A$3:$C$241,2,FALSE)</f>
        <v>0</v>
      </c>
      <c r="T244" s="1252">
        <f>VLOOKUP($R244,Sheet1!$A$3:$C$241,3,FALSE)</f>
        <v>1</v>
      </c>
      <c r="U244" s="1252"/>
      <c r="V244" s="1252">
        <f>VLOOKUP($R244,Sheet1!$A$3:$F$214,4,FALSE)</f>
        <v>1</v>
      </c>
      <c r="W244" s="1252">
        <f>VLOOKUP($R244,Sheet1!$A$3:$F$214,5,FALSE)</f>
        <v>0</v>
      </c>
      <c r="X244" s="1252">
        <f>VLOOKUP($R244,Sheet1!$A$3:$F$214,6,FALSE)</f>
        <v>0</v>
      </c>
      <c r="Y244" s="1252"/>
      <c r="Z244" s="1252"/>
      <c r="AA244" s="917"/>
      <c r="AB244" s="917"/>
      <c r="AC244" s="917"/>
      <c r="AD244" s="917"/>
      <c r="AE244" s="917"/>
      <c r="AF244" s="917"/>
      <c r="AG244" s="917"/>
      <c r="AH244" s="917"/>
      <c r="AI244" s="917"/>
      <c r="AJ244" s="917"/>
      <c r="AK244" s="917"/>
      <c r="AL244" s="917"/>
      <c r="AM244" s="917"/>
      <c r="AN244" s="917"/>
      <c r="AO244" s="917"/>
    </row>
    <row r="245" spans="1:41" s="913" customFormat="1" ht="15.95" customHeight="1">
      <c r="A245" s="1248" t="str">
        <f t="shared" si="63"/>
        <v>M2-105(1)</v>
      </c>
      <c r="B245" s="915" t="str">
        <f t="shared" si="46"/>
        <v>차도</v>
      </c>
      <c r="C245" s="1251">
        <f t="shared" si="54"/>
        <v>2</v>
      </c>
      <c r="D245" s="1251">
        <v>1</v>
      </c>
      <c r="E245" s="1251">
        <f t="shared" si="47"/>
        <v>0</v>
      </c>
      <c r="F245" s="1251"/>
      <c r="G245" s="1251"/>
      <c r="H245" s="1251"/>
      <c r="I245" s="1251"/>
      <c r="J245" s="1251"/>
      <c r="K245" s="1251"/>
      <c r="L245" s="915"/>
      <c r="M245" s="915"/>
      <c r="N245" s="916">
        <f t="shared" si="64"/>
        <v>3</v>
      </c>
      <c r="O245" s="916">
        <f t="shared" si="65"/>
        <v>0</v>
      </c>
      <c r="P245" s="916" t="str">
        <f>VLOOKUP($A245,'맨홀 평균 높이'!$J$4:$M$572,4,0)</f>
        <v>차  도</v>
      </c>
      <c r="Q245" s="1264" t="s">
        <v>1289</v>
      </c>
      <c r="R245" s="1264" t="s">
        <v>1467</v>
      </c>
      <c r="S245" s="1252">
        <f>VLOOKUP($R245,Sheet1!$A$3:$C$241,2,FALSE)</f>
        <v>0</v>
      </c>
      <c r="T245" s="1252">
        <f>VLOOKUP($R245,Sheet1!$A$3:$C$241,3,FALSE)</f>
        <v>3</v>
      </c>
      <c r="U245" s="1252"/>
      <c r="V245" s="1252">
        <f>VLOOKUP($R245,Sheet1!$A$3:$F$214,4,FALSE)</f>
        <v>3</v>
      </c>
      <c r="W245" s="1252">
        <f>VLOOKUP($R245,Sheet1!$A$3:$F$214,5,FALSE)</f>
        <v>0</v>
      </c>
      <c r="X245" s="1252">
        <f>VLOOKUP($R245,Sheet1!$A$3:$F$214,6,FALSE)</f>
        <v>0</v>
      </c>
      <c r="Y245" s="1252"/>
      <c r="Z245" s="1252"/>
      <c r="AA245" s="917"/>
      <c r="AB245" s="917"/>
      <c r="AC245" s="917"/>
      <c r="AD245" s="917"/>
      <c r="AE245" s="917"/>
      <c r="AF245" s="917"/>
      <c r="AG245" s="917"/>
      <c r="AH245" s="917"/>
      <c r="AI245" s="917"/>
      <c r="AJ245" s="917"/>
      <c r="AK245" s="917"/>
      <c r="AL245" s="917"/>
      <c r="AM245" s="917"/>
      <c r="AN245" s="917"/>
      <c r="AO245" s="917"/>
    </row>
    <row r="246" spans="1:41" s="913" customFormat="1" ht="15.95" customHeight="1">
      <c r="A246" s="1248" t="str">
        <f t="shared" si="63"/>
        <v>M2-106</v>
      </c>
      <c r="B246" s="915" t="str">
        <f t="shared" si="46"/>
        <v>차도</v>
      </c>
      <c r="C246" s="1251">
        <f t="shared" si="54"/>
        <v>2</v>
      </c>
      <c r="D246" s="1251">
        <v>1</v>
      </c>
      <c r="E246" s="1251">
        <f t="shared" si="47"/>
        <v>0</v>
      </c>
      <c r="F246" s="1251"/>
      <c r="G246" s="1251"/>
      <c r="H246" s="1251"/>
      <c r="I246" s="1251"/>
      <c r="J246" s="1251"/>
      <c r="K246" s="1251"/>
      <c r="L246" s="915"/>
      <c r="M246" s="915"/>
      <c r="N246" s="916">
        <f t="shared" si="64"/>
        <v>3</v>
      </c>
      <c r="O246" s="916">
        <f t="shared" si="65"/>
        <v>0</v>
      </c>
      <c r="P246" s="916" t="str">
        <f>VLOOKUP($A246,'맨홀 평균 높이'!$J$4:$M$572,4,0)</f>
        <v>차  도</v>
      </c>
      <c r="Q246" s="1264" t="s">
        <v>1292</v>
      </c>
      <c r="R246" s="1264" t="s">
        <v>1391</v>
      </c>
      <c r="S246" s="1252">
        <f>VLOOKUP($R246,Sheet1!$A$3:$C$241,2,FALSE)</f>
        <v>0</v>
      </c>
      <c r="T246" s="1252">
        <f>VLOOKUP($R246,Sheet1!$A$3:$C$241,3,FALSE)</f>
        <v>3</v>
      </c>
      <c r="U246" s="1252"/>
      <c r="V246" s="1252">
        <f>VLOOKUP($R246,Sheet1!$A$3:$F$214,4,FALSE)</f>
        <v>3</v>
      </c>
      <c r="W246" s="1252">
        <f>VLOOKUP($R246,Sheet1!$A$3:$F$214,5,FALSE)</f>
        <v>0</v>
      </c>
      <c r="X246" s="1252">
        <f>VLOOKUP($R246,Sheet1!$A$3:$F$214,6,FALSE)</f>
        <v>0</v>
      </c>
      <c r="Y246" s="1252"/>
      <c r="Z246" s="1252"/>
      <c r="AA246" s="917"/>
      <c r="AB246" s="917"/>
      <c r="AC246" s="917"/>
      <c r="AD246" s="917"/>
      <c r="AE246" s="917"/>
      <c r="AF246" s="917"/>
      <c r="AG246" s="917"/>
      <c r="AH246" s="917"/>
      <c r="AI246" s="917"/>
      <c r="AJ246" s="917"/>
      <c r="AK246" s="917"/>
      <c r="AL246" s="917"/>
      <c r="AM246" s="917"/>
      <c r="AN246" s="917"/>
      <c r="AO246" s="917"/>
    </row>
    <row r="247" spans="1:41" s="913" customFormat="1" ht="15.95" customHeight="1">
      <c r="A247" s="1248" t="str">
        <f t="shared" si="63"/>
        <v>M2-107</v>
      </c>
      <c r="B247" s="915" t="str">
        <f t="shared" si="46"/>
        <v>차도</v>
      </c>
      <c r="C247" s="1251">
        <f t="shared" si="54"/>
        <v>2</v>
      </c>
      <c r="D247" s="1251">
        <v>1</v>
      </c>
      <c r="E247" s="1251">
        <f t="shared" si="47"/>
        <v>0</v>
      </c>
      <c r="F247" s="1251"/>
      <c r="G247" s="1251"/>
      <c r="H247" s="1251"/>
      <c r="I247" s="1251"/>
      <c r="J247" s="1251"/>
      <c r="K247" s="1251"/>
      <c r="L247" s="915"/>
      <c r="M247" s="915"/>
      <c r="N247" s="916">
        <f t="shared" si="64"/>
        <v>3</v>
      </c>
      <c r="O247" s="916">
        <f t="shared" si="65"/>
        <v>0</v>
      </c>
      <c r="P247" s="916" t="str">
        <f>VLOOKUP($A247,'맨홀 평균 높이'!$J$4:$M$572,4,0)</f>
        <v>차  도</v>
      </c>
      <c r="Q247" s="1264" t="s">
        <v>1289</v>
      </c>
      <c r="R247" s="1264" t="s">
        <v>1392</v>
      </c>
      <c r="S247" s="1252">
        <f>VLOOKUP($R247,Sheet1!$A$3:$C$241,2,FALSE)</f>
        <v>0</v>
      </c>
      <c r="T247" s="1252">
        <f>VLOOKUP($R247,Sheet1!$A$3:$C$241,3,FALSE)</f>
        <v>3</v>
      </c>
      <c r="U247" s="1252"/>
      <c r="V247" s="1252">
        <f>VLOOKUP($R247,Sheet1!$A$3:$F$214,4,FALSE)</f>
        <v>3</v>
      </c>
      <c r="W247" s="1252">
        <f>VLOOKUP($R247,Sheet1!$A$3:$F$214,5,FALSE)</f>
        <v>0</v>
      </c>
      <c r="X247" s="1252">
        <f>VLOOKUP($R247,Sheet1!$A$3:$F$214,6,FALSE)</f>
        <v>0</v>
      </c>
      <c r="Y247" s="1252"/>
      <c r="Z247" s="1252"/>
      <c r="AA247" s="917"/>
      <c r="AB247" s="917"/>
      <c r="AC247" s="917"/>
      <c r="AD247" s="917"/>
      <c r="AE247" s="917"/>
      <c r="AF247" s="917"/>
      <c r="AG247" s="917"/>
      <c r="AH247" s="917"/>
      <c r="AI247" s="917"/>
      <c r="AJ247" s="917"/>
      <c r="AK247" s="917"/>
      <c r="AL247" s="917"/>
      <c r="AM247" s="917"/>
      <c r="AN247" s="917"/>
      <c r="AO247" s="917"/>
    </row>
    <row r="248" spans="1:41" s="913" customFormat="1" ht="15.95" customHeight="1">
      <c r="A248" s="1248" t="str">
        <f t="shared" si="63"/>
        <v>M2-111(1)</v>
      </c>
      <c r="B248" s="915" t="str">
        <f t="shared" si="46"/>
        <v>차도</v>
      </c>
      <c r="C248" s="1251">
        <f t="shared" si="54"/>
        <v>0</v>
      </c>
      <c r="D248" s="1251"/>
      <c r="E248" s="1251">
        <f t="shared" si="47"/>
        <v>0</v>
      </c>
      <c r="F248" s="1251">
        <v>1</v>
      </c>
      <c r="G248" s="1251"/>
      <c r="H248" s="1251"/>
      <c r="I248" s="1251"/>
      <c r="J248" s="1251"/>
      <c r="K248" s="1251"/>
      <c r="L248" s="915"/>
      <c r="M248" s="915"/>
      <c r="N248" s="916">
        <f t="shared" si="64"/>
        <v>1</v>
      </c>
      <c r="O248" s="916">
        <f t="shared" si="65"/>
        <v>0</v>
      </c>
      <c r="P248" s="916" t="str">
        <f>VLOOKUP($A248,'맨홀 평균 높이'!$J$4:$M$572,4,0)</f>
        <v>차  도</v>
      </c>
      <c r="Q248" s="1264" t="s">
        <v>1468</v>
      </c>
      <c r="R248" s="1264" t="s">
        <v>1394</v>
      </c>
      <c r="S248" s="1252">
        <f>VLOOKUP($R248,Sheet1!$A$3:$C$241,2,FALSE)</f>
        <v>0</v>
      </c>
      <c r="T248" s="1252">
        <f>VLOOKUP($R248,Sheet1!$A$3:$C$241,3,FALSE)</f>
        <v>1</v>
      </c>
      <c r="U248" s="1252"/>
      <c r="V248" s="1252">
        <f>VLOOKUP($R248,Sheet1!$A$3:$F$214,4,FALSE)</f>
        <v>0</v>
      </c>
      <c r="W248" s="1252">
        <f>VLOOKUP($R248,Sheet1!$A$3:$F$214,5,FALSE)</f>
        <v>1</v>
      </c>
      <c r="X248" s="1252">
        <f>VLOOKUP($R248,Sheet1!$A$3:$F$214,6,FALSE)</f>
        <v>0</v>
      </c>
      <c r="Y248" s="1252"/>
      <c r="Z248" s="1252"/>
      <c r="AA248" s="917"/>
      <c r="AB248" s="917"/>
      <c r="AC248" s="917"/>
      <c r="AD248" s="917"/>
      <c r="AE248" s="917"/>
      <c r="AF248" s="917"/>
      <c r="AG248" s="917"/>
      <c r="AH248" s="917"/>
      <c r="AI248" s="917"/>
      <c r="AJ248" s="917"/>
      <c r="AK248" s="917"/>
      <c r="AL248" s="917"/>
      <c r="AM248" s="917"/>
      <c r="AN248" s="917"/>
      <c r="AO248" s="917"/>
    </row>
    <row r="249" spans="1:41" s="913" customFormat="1" ht="15.95" customHeight="1">
      <c r="A249" s="1282" t="str">
        <f>R249</f>
        <v>M2-113</v>
      </c>
      <c r="B249" s="915" t="str">
        <f>IF($P249="보  도","보도","차도")</f>
        <v>차도</v>
      </c>
      <c r="C249" s="1251">
        <f>V249-D249</f>
        <v>0</v>
      </c>
      <c r="D249" s="1251"/>
      <c r="E249" s="1251">
        <f>W249-F249</f>
        <v>1</v>
      </c>
      <c r="F249" s="1251">
        <v>1</v>
      </c>
      <c r="G249" s="1251">
        <f>X249-H249</f>
        <v>0</v>
      </c>
      <c r="H249" s="1251"/>
      <c r="I249" s="1251">
        <f>Y249-J249</f>
        <v>0</v>
      </c>
      <c r="J249" s="915"/>
      <c r="K249" s="1251">
        <f>Z249-L249</f>
        <v>0</v>
      </c>
      <c r="L249" s="915"/>
      <c r="M249" s="915"/>
      <c r="N249" s="916">
        <f>SUM(C249:L249)</f>
        <v>2</v>
      </c>
      <c r="O249" s="916">
        <f>S249-N249</f>
        <v>0</v>
      </c>
      <c r="P249" s="916" t="str">
        <f>VLOOKUP($A249,'맨홀 평균 높이'!$J$4:$M$572,4,0)</f>
        <v>차  도</v>
      </c>
      <c r="Q249" s="1264" t="s">
        <v>1294</v>
      </c>
      <c r="R249" s="1264" t="s">
        <v>1547</v>
      </c>
      <c r="S249" s="1252">
        <f>VLOOKUP($R249,Sheet1!$A$3:$C$241,2,FALSE)</f>
        <v>2</v>
      </c>
      <c r="T249" s="1252">
        <f>VLOOKUP($R249,Sheet1!$A$3:$C$241,3,FALSE)</f>
        <v>0</v>
      </c>
      <c r="U249" s="1252"/>
      <c r="V249" s="1252">
        <f>VLOOKUP($R249,Sheet1!$A$3:$F$214,4,FALSE)</f>
        <v>0</v>
      </c>
      <c r="W249" s="1252">
        <f>VLOOKUP($R249,Sheet1!$A$3:$F$214,5,FALSE)</f>
        <v>2</v>
      </c>
      <c r="X249" s="1252">
        <f>VLOOKUP($R249,Sheet1!$A$3:$F$214,6,FALSE)</f>
        <v>0</v>
      </c>
      <c r="Y249" s="1252"/>
      <c r="Z249" s="1252"/>
      <c r="AA249" s="917"/>
      <c r="AB249" s="917"/>
      <c r="AC249" s="917"/>
      <c r="AD249" s="917"/>
      <c r="AE249" s="917"/>
      <c r="AF249" s="917"/>
      <c r="AG249" s="917"/>
      <c r="AH249" s="917"/>
      <c r="AI249" s="917"/>
      <c r="AJ249" s="917"/>
      <c r="AK249" s="917"/>
      <c r="AL249" s="917"/>
      <c r="AM249" s="917"/>
      <c r="AN249" s="917"/>
      <c r="AO249" s="917"/>
    </row>
    <row r="250" spans="1:41" s="913" customFormat="1" ht="15.95" customHeight="1">
      <c r="A250" s="1282" t="str">
        <f>R250</f>
        <v>M2-117</v>
      </c>
      <c r="B250" s="915" t="str">
        <f>IF($P250="보  도","보도","차도")</f>
        <v>차도</v>
      </c>
      <c r="C250" s="1251">
        <f>V250-D250</f>
        <v>0</v>
      </c>
      <c r="D250" s="1251"/>
      <c r="E250" s="1251">
        <f>W250-F250</f>
        <v>2</v>
      </c>
      <c r="F250" s="1251">
        <v>1</v>
      </c>
      <c r="G250" s="1251">
        <f>X250-H250</f>
        <v>0</v>
      </c>
      <c r="H250" s="1251"/>
      <c r="I250" s="1251">
        <f>Y250-J250</f>
        <v>0</v>
      </c>
      <c r="J250" s="915"/>
      <c r="K250" s="1251">
        <f>Z250-L250</f>
        <v>0</v>
      </c>
      <c r="L250" s="915"/>
      <c r="M250" s="915"/>
      <c r="N250" s="916">
        <f>SUM(C250:L250)</f>
        <v>3</v>
      </c>
      <c r="O250" s="916">
        <f>S250-N250</f>
        <v>0</v>
      </c>
      <c r="P250" s="916" t="str">
        <f>VLOOKUP($A250,'맨홀 평균 높이'!$J$4:$M$572,4,0)</f>
        <v>차  도</v>
      </c>
      <c r="Q250" s="1264" t="s">
        <v>1294</v>
      </c>
      <c r="R250" s="1264" t="s">
        <v>1548</v>
      </c>
      <c r="S250" s="1252">
        <f>VLOOKUP($R250,Sheet1!$A$3:$C$241,2,FALSE)</f>
        <v>3</v>
      </c>
      <c r="T250" s="1252">
        <f>VLOOKUP($R250,Sheet1!$A$3:$C$241,3,FALSE)</f>
        <v>0</v>
      </c>
      <c r="U250" s="1252"/>
      <c r="V250" s="1252">
        <f>VLOOKUP($R250,Sheet1!$A$3:$F$214,4,FALSE)</f>
        <v>0</v>
      </c>
      <c r="W250" s="1252">
        <f>VLOOKUP($R250,Sheet1!$A$3:$F$214,5,FALSE)</f>
        <v>3</v>
      </c>
      <c r="X250" s="1252">
        <f>VLOOKUP($R250,Sheet1!$A$3:$F$214,6,FALSE)</f>
        <v>0</v>
      </c>
      <c r="Y250" s="1252"/>
      <c r="Z250" s="1252"/>
      <c r="AA250" s="917"/>
      <c r="AB250" s="917"/>
      <c r="AC250" s="917"/>
      <c r="AD250" s="917"/>
      <c r="AE250" s="917"/>
      <c r="AF250" s="917"/>
      <c r="AG250" s="917"/>
      <c r="AH250" s="917"/>
      <c r="AI250" s="917"/>
      <c r="AJ250" s="917"/>
      <c r="AK250" s="917"/>
      <c r="AL250" s="917"/>
      <c r="AM250" s="917"/>
      <c r="AN250" s="917"/>
      <c r="AO250" s="917"/>
    </row>
    <row r="251" spans="1:41" s="913" customFormat="1" ht="15.95" customHeight="1">
      <c r="A251" s="1248" t="str">
        <f t="shared" ref="A251:A260" si="81">R251</f>
        <v>M2-125(1)</v>
      </c>
      <c r="B251" s="915" t="str">
        <f t="shared" si="46"/>
        <v>보도</v>
      </c>
      <c r="C251" s="1251">
        <f t="shared" ref="C251:C260" si="82">V251-D251</f>
        <v>0</v>
      </c>
      <c r="D251" s="1251"/>
      <c r="E251" s="1251">
        <f t="shared" ref="E251:E260" si="83">W251-F251</f>
        <v>1</v>
      </c>
      <c r="F251" s="1251">
        <v>1</v>
      </c>
      <c r="G251" s="1251"/>
      <c r="H251" s="1251"/>
      <c r="I251" s="1251"/>
      <c r="J251" s="1251"/>
      <c r="K251" s="1251"/>
      <c r="L251" s="915"/>
      <c r="M251" s="915"/>
      <c r="N251" s="916">
        <f t="shared" ref="N251:N260" si="84">SUM(C251:L251)</f>
        <v>2</v>
      </c>
      <c r="O251" s="916">
        <f t="shared" ref="O251:O260" si="85">T251-N251</f>
        <v>0</v>
      </c>
      <c r="P251" s="916" t="str">
        <f>VLOOKUP($A251,'맨홀 평균 높이'!$J$4:$M$572,4,0)</f>
        <v>보  도</v>
      </c>
      <c r="Q251" s="1264" t="s">
        <v>1296</v>
      </c>
      <c r="R251" s="1264" t="s">
        <v>1469</v>
      </c>
      <c r="S251" s="1252">
        <f>VLOOKUP($R251,Sheet1!$A$3:$C$241,2,FALSE)</f>
        <v>0</v>
      </c>
      <c r="T251" s="1252">
        <f>VLOOKUP($R251,Sheet1!$A$3:$C$241,3,FALSE)</f>
        <v>2</v>
      </c>
      <c r="U251" s="1252"/>
      <c r="V251" s="1252">
        <f>VLOOKUP($R251,Sheet1!$A$3:$F$214,4,FALSE)</f>
        <v>0</v>
      </c>
      <c r="W251" s="1252">
        <f>VLOOKUP($R251,Sheet1!$A$3:$F$214,5,FALSE)</f>
        <v>2</v>
      </c>
      <c r="X251" s="1252">
        <f>VLOOKUP($R251,Sheet1!$A$3:$F$214,6,FALSE)</f>
        <v>0</v>
      </c>
      <c r="Y251" s="1252"/>
      <c r="Z251" s="1252"/>
      <c r="AA251" s="917"/>
      <c r="AB251" s="917"/>
      <c r="AC251" s="917"/>
      <c r="AD251" s="917"/>
      <c r="AE251" s="917"/>
      <c r="AF251" s="917"/>
      <c r="AG251" s="917"/>
      <c r="AH251" s="917"/>
      <c r="AI251" s="917"/>
      <c r="AJ251" s="917"/>
      <c r="AK251" s="917"/>
      <c r="AL251" s="917"/>
      <c r="AM251" s="917"/>
      <c r="AN251" s="917"/>
      <c r="AO251" s="917"/>
    </row>
    <row r="252" spans="1:41" s="913" customFormat="1" ht="15.95" customHeight="1">
      <c r="A252" s="1248" t="str">
        <f t="shared" si="81"/>
        <v>M2-126</v>
      </c>
      <c r="B252" s="915" t="str">
        <f t="shared" si="46"/>
        <v>보도</v>
      </c>
      <c r="C252" s="1251">
        <f t="shared" si="82"/>
        <v>0</v>
      </c>
      <c r="D252" s="1251"/>
      <c r="E252" s="1251">
        <f t="shared" si="83"/>
        <v>1</v>
      </c>
      <c r="F252" s="1251">
        <v>1</v>
      </c>
      <c r="G252" s="1251"/>
      <c r="H252" s="1251"/>
      <c r="I252" s="1251"/>
      <c r="J252" s="1251"/>
      <c r="K252" s="1251"/>
      <c r="L252" s="915"/>
      <c r="M252" s="915"/>
      <c r="N252" s="916">
        <f t="shared" si="84"/>
        <v>2</v>
      </c>
      <c r="O252" s="916">
        <f t="shared" si="85"/>
        <v>0</v>
      </c>
      <c r="P252" s="916" t="str">
        <f>VLOOKUP($A252,'맨홀 평균 높이'!$J$4:$M$572,4,0)</f>
        <v>보  도</v>
      </c>
      <c r="Q252" s="1264" t="s">
        <v>1296</v>
      </c>
      <c r="R252" s="1264" t="s">
        <v>1395</v>
      </c>
      <c r="S252" s="1252">
        <f>VLOOKUP($R252,Sheet1!$A$3:$C$241,2,FALSE)</f>
        <v>0</v>
      </c>
      <c r="T252" s="1252">
        <f>VLOOKUP($R252,Sheet1!$A$3:$C$241,3,FALSE)</f>
        <v>2</v>
      </c>
      <c r="U252" s="1252"/>
      <c r="V252" s="1252">
        <f>VLOOKUP($R252,Sheet1!$A$3:$F$214,4,FALSE)</f>
        <v>0</v>
      </c>
      <c r="W252" s="1252">
        <f>VLOOKUP($R252,Sheet1!$A$3:$F$214,5,FALSE)</f>
        <v>2</v>
      </c>
      <c r="X252" s="1252">
        <f>VLOOKUP($R252,Sheet1!$A$3:$F$214,6,FALSE)</f>
        <v>0</v>
      </c>
      <c r="Y252" s="1252"/>
      <c r="Z252" s="1252"/>
      <c r="AA252" s="917"/>
      <c r="AB252" s="917"/>
      <c r="AC252" s="917"/>
      <c r="AD252" s="917"/>
      <c r="AE252" s="917"/>
      <c r="AF252" s="917"/>
      <c r="AG252" s="917"/>
      <c r="AH252" s="917"/>
      <c r="AI252" s="917"/>
      <c r="AJ252" s="917"/>
      <c r="AK252" s="917"/>
      <c r="AL252" s="917"/>
      <c r="AM252" s="917"/>
      <c r="AN252" s="917"/>
      <c r="AO252" s="917"/>
    </row>
    <row r="253" spans="1:41" s="913" customFormat="1" ht="15.95" customHeight="1">
      <c r="A253" s="1282" t="str">
        <f>R253</f>
        <v>M2-127</v>
      </c>
      <c r="B253" s="915" t="str">
        <f>IF($P253="보  도","보도","차도")</f>
        <v>보도</v>
      </c>
      <c r="C253" s="1251">
        <f>V253-D253</f>
        <v>0</v>
      </c>
      <c r="D253" s="1251"/>
      <c r="E253" s="1251">
        <f>W253-F253</f>
        <v>2</v>
      </c>
      <c r="F253" s="1251">
        <v>1</v>
      </c>
      <c r="G253" s="1251">
        <f>X253-H253</f>
        <v>0</v>
      </c>
      <c r="H253" s="1251"/>
      <c r="I253" s="1251">
        <f>Y253-J253</f>
        <v>0</v>
      </c>
      <c r="J253" s="915"/>
      <c r="K253" s="1251">
        <f>Z253-L253</f>
        <v>0</v>
      </c>
      <c r="L253" s="915"/>
      <c r="M253" s="915"/>
      <c r="N253" s="916">
        <f>SUM(C253:L253)</f>
        <v>3</v>
      </c>
      <c r="O253" s="916">
        <f>S253-N253</f>
        <v>0</v>
      </c>
      <c r="P253" s="916" t="str">
        <f>VLOOKUP($A253,'맨홀 평균 높이'!$J$4:$M$572,4,0)</f>
        <v>보  도</v>
      </c>
      <c r="Q253" s="1264" t="s">
        <v>1296</v>
      </c>
      <c r="R253" s="1264" t="s">
        <v>1541</v>
      </c>
      <c r="S253" s="1252">
        <f>VLOOKUP($R253,Sheet1!$A$3:$C$241,2,FALSE)</f>
        <v>3</v>
      </c>
      <c r="T253" s="1252">
        <f>VLOOKUP($R253,Sheet1!$A$3:$C$241,3,FALSE)</f>
        <v>0</v>
      </c>
      <c r="U253" s="1252"/>
      <c r="V253" s="1252">
        <f>VLOOKUP($R253,Sheet1!$A$3:$F$214,4,FALSE)</f>
        <v>0</v>
      </c>
      <c r="W253" s="1252">
        <f>VLOOKUP($R253,Sheet1!$A$3:$F$214,5,FALSE)</f>
        <v>3</v>
      </c>
      <c r="X253" s="1252">
        <f>VLOOKUP($R253,Sheet1!$A$3:$F$214,6,FALSE)</f>
        <v>0</v>
      </c>
      <c r="Y253" s="1252"/>
      <c r="Z253" s="1252"/>
      <c r="AA253" s="917"/>
      <c r="AB253" s="917"/>
      <c r="AC253" s="917"/>
      <c r="AD253" s="917"/>
      <c r="AE253" s="917"/>
      <c r="AF253" s="917"/>
      <c r="AG253" s="917"/>
      <c r="AH253" s="917"/>
      <c r="AI253" s="917"/>
      <c r="AJ253" s="917"/>
      <c r="AK253" s="917"/>
      <c r="AL253" s="917"/>
      <c r="AM253" s="917"/>
      <c r="AN253" s="917"/>
      <c r="AO253" s="917"/>
    </row>
    <row r="254" spans="1:41" s="913" customFormat="1" ht="15.95" customHeight="1">
      <c r="A254" s="1282" t="str">
        <f>R254</f>
        <v>M2-132</v>
      </c>
      <c r="B254" s="915" t="str">
        <f>IF($P254="보  도","보도","차도")</f>
        <v>보도</v>
      </c>
      <c r="C254" s="1251">
        <f>V254-D254</f>
        <v>0</v>
      </c>
      <c r="D254" s="1251"/>
      <c r="E254" s="1251">
        <f>W254-F254</f>
        <v>2</v>
      </c>
      <c r="F254" s="1251">
        <v>1</v>
      </c>
      <c r="G254" s="1251">
        <f>X254-H254</f>
        <v>0</v>
      </c>
      <c r="H254" s="1251"/>
      <c r="I254" s="1251">
        <f>Y254-J254</f>
        <v>0</v>
      </c>
      <c r="J254" s="915"/>
      <c r="K254" s="1251">
        <f>Z254-L254</f>
        <v>0</v>
      </c>
      <c r="L254" s="915"/>
      <c r="M254" s="915"/>
      <c r="N254" s="916">
        <f>SUM(C254:L254)</f>
        <v>3</v>
      </c>
      <c r="O254" s="916">
        <f>S254-N254</f>
        <v>0</v>
      </c>
      <c r="P254" s="916" t="str">
        <f>VLOOKUP($A254,'맨홀 평균 높이'!$J$4:$M$572,4,0)</f>
        <v>보  도</v>
      </c>
      <c r="Q254" s="1264" t="s">
        <v>1297</v>
      </c>
      <c r="R254" s="1264" t="s">
        <v>1549</v>
      </c>
      <c r="S254" s="1252">
        <f>VLOOKUP($R254,Sheet1!$A$3:$C$241,2,FALSE)</f>
        <v>3</v>
      </c>
      <c r="T254" s="1252">
        <f>VLOOKUP($R254,Sheet1!$A$3:$C$241,3,FALSE)</f>
        <v>0</v>
      </c>
      <c r="U254" s="1252"/>
      <c r="V254" s="1252">
        <f>VLOOKUP($R254,Sheet1!$A$3:$F$214,4,FALSE)</f>
        <v>0</v>
      </c>
      <c r="W254" s="1252">
        <f>VLOOKUP($R254,Sheet1!$A$3:$F$214,5,FALSE)</f>
        <v>3</v>
      </c>
      <c r="X254" s="1252">
        <f>VLOOKUP($R254,Sheet1!$A$3:$F$214,6,FALSE)</f>
        <v>0</v>
      </c>
      <c r="Y254" s="1252"/>
      <c r="Z254" s="1252"/>
      <c r="AA254" s="917"/>
      <c r="AB254" s="917"/>
      <c r="AC254" s="917"/>
      <c r="AD254" s="917"/>
      <c r="AE254" s="917"/>
      <c r="AF254" s="917"/>
      <c r="AG254" s="917"/>
      <c r="AH254" s="917"/>
      <c r="AI254" s="917"/>
      <c r="AJ254" s="917"/>
      <c r="AK254" s="917"/>
      <c r="AL254" s="917"/>
      <c r="AM254" s="917"/>
      <c r="AN254" s="917"/>
      <c r="AO254" s="917"/>
    </row>
    <row r="255" spans="1:41" s="913" customFormat="1" ht="15.95" customHeight="1">
      <c r="A255" s="1248" t="str">
        <f>R255</f>
        <v>M2-135</v>
      </c>
      <c r="B255" s="915" t="str">
        <f>IF($P255="보  도","보도","차도")</f>
        <v>보도</v>
      </c>
      <c r="C255" s="1251">
        <f>V255-D255</f>
        <v>0</v>
      </c>
      <c r="D255" s="1251"/>
      <c r="E255" s="1251">
        <f>W255-F255</f>
        <v>1</v>
      </c>
      <c r="F255" s="1251">
        <v>1</v>
      </c>
      <c r="G255" s="1251">
        <f>X255-H255</f>
        <v>0</v>
      </c>
      <c r="H255" s="1251"/>
      <c r="I255" s="1251">
        <f>Y255-J255</f>
        <v>0</v>
      </c>
      <c r="J255" s="915"/>
      <c r="K255" s="1251">
        <f>Z255-L255</f>
        <v>0</v>
      </c>
      <c r="L255" s="915"/>
      <c r="M255" s="915"/>
      <c r="N255" s="916">
        <f>SUM(C255:L255)</f>
        <v>2</v>
      </c>
      <c r="O255" s="916">
        <f>S255-N255</f>
        <v>0</v>
      </c>
      <c r="P255" s="916" t="str">
        <f>VLOOKUP($A255,'맨홀 평균 높이'!$J$4:$M$572,4,0)</f>
        <v>보  도</v>
      </c>
      <c r="Q255" s="1264" t="s">
        <v>1298</v>
      </c>
      <c r="R255" s="1281" t="s">
        <v>1508</v>
      </c>
      <c r="S255" s="1252">
        <f>VLOOKUP($R255,Sheet1!$A$3:$C$241,2,FALSE)</f>
        <v>2</v>
      </c>
      <c r="T255" s="1252">
        <f>VLOOKUP($R255,Sheet1!$A$3:$C$241,3,FALSE)</f>
        <v>0</v>
      </c>
      <c r="U255" s="1252"/>
      <c r="V255" s="1252">
        <f>VLOOKUP($R255,Sheet1!$A$3:$F$214,4,FALSE)</f>
        <v>0</v>
      </c>
      <c r="W255" s="1252">
        <f>VLOOKUP($R255,Sheet1!$A$3:$F$214,5,FALSE)</f>
        <v>2</v>
      </c>
      <c r="X255" s="1252">
        <f>VLOOKUP($R255,Sheet1!$A$3:$F$214,6,FALSE)</f>
        <v>0</v>
      </c>
      <c r="Y255" s="1252"/>
      <c r="Z255" s="1252"/>
      <c r="AA255" s="917"/>
      <c r="AB255" s="917"/>
      <c r="AC255" s="917"/>
      <c r="AD255" s="917"/>
      <c r="AE255" s="917"/>
      <c r="AF255" s="917"/>
      <c r="AG255" s="917"/>
      <c r="AH255" s="917"/>
      <c r="AI255" s="917"/>
      <c r="AJ255" s="917"/>
      <c r="AK255" s="917"/>
      <c r="AL255" s="917"/>
      <c r="AM255" s="917"/>
      <c r="AN255" s="917"/>
      <c r="AO255" s="917"/>
    </row>
    <row r="256" spans="1:41" s="913" customFormat="1" ht="15.95" customHeight="1">
      <c r="A256" s="1248" t="str">
        <f t="shared" si="81"/>
        <v>M2-137</v>
      </c>
      <c r="B256" s="915" t="str">
        <f t="shared" si="46"/>
        <v>보도</v>
      </c>
      <c r="C256" s="1251">
        <f t="shared" si="82"/>
        <v>0</v>
      </c>
      <c r="D256" s="1251"/>
      <c r="E256" s="1251">
        <f t="shared" si="83"/>
        <v>1</v>
      </c>
      <c r="F256" s="1251">
        <v>1</v>
      </c>
      <c r="G256" s="1251"/>
      <c r="H256" s="1251"/>
      <c r="I256" s="1251"/>
      <c r="J256" s="1251"/>
      <c r="K256" s="1251"/>
      <c r="L256" s="915"/>
      <c r="M256" s="915"/>
      <c r="N256" s="916">
        <f t="shared" si="84"/>
        <v>2</v>
      </c>
      <c r="O256" s="916">
        <f t="shared" si="85"/>
        <v>0</v>
      </c>
      <c r="P256" s="916" t="str">
        <f>VLOOKUP($A256,'맨홀 평균 높이'!$J$4:$M$572,4,0)</f>
        <v>보  도</v>
      </c>
      <c r="Q256" s="1264" t="s">
        <v>1299</v>
      </c>
      <c r="R256" s="1264" t="s">
        <v>1396</v>
      </c>
      <c r="S256" s="1252">
        <f>VLOOKUP($R256,Sheet1!$A$3:$C$241,2,FALSE)</f>
        <v>0</v>
      </c>
      <c r="T256" s="1252">
        <f>VLOOKUP($R256,Sheet1!$A$3:$C$241,3,FALSE)</f>
        <v>2</v>
      </c>
      <c r="U256" s="1252"/>
      <c r="V256" s="1252">
        <f>VLOOKUP($R256,Sheet1!$A$3:$F$214,4,FALSE)</f>
        <v>0</v>
      </c>
      <c r="W256" s="1252">
        <f>VLOOKUP($R256,Sheet1!$A$3:$F$214,5,FALSE)</f>
        <v>2</v>
      </c>
      <c r="X256" s="1252">
        <f>VLOOKUP($R256,Sheet1!$A$3:$F$214,6,FALSE)</f>
        <v>0</v>
      </c>
      <c r="Y256" s="1252"/>
      <c r="Z256" s="1252"/>
      <c r="AA256" s="917"/>
      <c r="AB256" s="917"/>
      <c r="AC256" s="917"/>
      <c r="AD256" s="917"/>
      <c r="AE256" s="917"/>
      <c r="AF256" s="917"/>
      <c r="AG256" s="917"/>
      <c r="AH256" s="917"/>
      <c r="AI256" s="917"/>
      <c r="AJ256" s="917"/>
      <c r="AK256" s="917"/>
      <c r="AL256" s="917"/>
      <c r="AM256" s="917"/>
      <c r="AN256" s="917"/>
      <c r="AO256" s="917"/>
    </row>
    <row r="257" spans="1:41" s="913" customFormat="1" ht="15.95" customHeight="1">
      <c r="A257" s="1248" t="str">
        <f t="shared" si="81"/>
        <v>M2-139</v>
      </c>
      <c r="B257" s="915" t="str">
        <f t="shared" si="46"/>
        <v>차도</v>
      </c>
      <c r="C257" s="1251">
        <f t="shared" si="82"/>
        <v>0</v>
      </c>
      <c r="D257" s="1251"/>
      <c r="E257" s="1251">
        <f t="shared" si="83"/>
        <v>1</v>
      </c>
      <c r="F257" s="1251">
        <v>1</v>
      </c>
      <c r="G257" s="1251"/>
      <c r="H257" s="1251"/>
      <c r="I257" s="1251"/>
      <c r="J257" s="1251"/>
      <c r="K257" s="1251"/>
      <c r="L257" s="915"/>
      <c r="M257" s="915"/>
      <c r="N257" s="916">
        <f t="shared" si="84"/>
        <v>2</v>
      </c>
      <c r="O257" s="916">
        <f t="shared" si="85"/>
        <v>0</v>
      </c>
      <c r="P257" s="916" t="str">
        <f>VLOOKUP($A257,'맨홀 평균 높이'!$J$4:$M$572,4,0)</f>
        <v>차  도</v>
      </c>
      <c r="Q257" s="1264" t="s">
        <v>1299</v>
      </c>
      <c r="R257" s="1264" t="s">
        <v>1397</v>
      </c>
      <c r="S257" s="1252">
        <f>VLOOKUP($R257,Sheet1!$A$3:$C$241,2,FALSE)</f>
        <v>0</v>
      </c>
      <c r="T257" s="1252">
        <f>VLOOKUP($R257,Sheet1!$A$3:$C$241,3,FALSE)</f>
        <v>2</v>
      </c>
      <c r="U257" s="1252"/>
      <c r="V257" s="1252">
        <f>VLOOKUP($R257,Sheet1!$A$3:$F$214,4,FALSE)</f>
        <v>0</v>
      </c>
      <c r="W257" s="1252">
        <f>VLOOKUP($R257,Sheet1!$A$3:$F$214,5,FALSE)</f>
        <v>2</v>
      </c>
      <c r="X257" s="1252">
        <f>VLOOKUP($R257,Sheet1!$A$3:$F$214,6,FALSE)</f>
        <v>0</v>
      </c>
      <c r="Y257" s="1252"/>
      <c r="Z257" s="1252"/>
      <c r="AA257" s="917"/>
      <c r="AB257" s="917"/>
      <c r="AC257" s="917"/>
      <c r="AD257" s="917"/>
      <c r="AE257" s="917"/>
      <c r="AF257" s="917"/>
      <c r="AG257" s="917"/>
      <c r="AH257" s="917"/>
      <c r="AI257" s="917"/>
      <c r="AJ257" s="917"/>
      <c r="AK257" s="917"/>
      <c r="AL257" s="917"/>
      <c r="AM257" s="917"/>
      <c r="AN257" s="917"/>
      <c r="AO257" s="917"/>
    </row>
    <row r="258" spans="1:41" s="913" customFormat="1" ht="15.95" customHeight="1">
      <c r="A258" s="1248" t="str">
        <f>R258</f>
        <v>M2-142</v>
      </c>
      <c r="B258" s="915" t="str">
        <f>IF($P258="보  도","보도","차도")</f>
        <v>차도</v>
      </c>
      <c r="C258" s="1251">
        <f>V258-D258</f>
        <v>0</v>
      </c>
      <c r="D258" s="1251"/>
      <c r="E258" s="1251">
        <f>W258-F258</f>
        <v>1</v>
      </c>
      <c r="F258" s="1251">
        <v>1</v>
      </c>
      <c r="G258" s="1251">
        <f>X258-H258</f>
        <v>0</v>
      </c>
      <c r="H258" s="1251"/>
      <c r="I258" s="1251">
        <f>Y258-J258</f>
        <v>0</v>
      </c>
      <c r="J258" s="915"/>
      <c r="K258" s="1251">
        <f>Z258-L258</f>
        <v>0</v>
      </c>
      <c r="L258" s="915"/>
      <c r="M258" s="915"/>
      <c r="N258" s="916">
        <f>SUM(C258:L258)</f>
        <v>2</v>
      </c>
      <c r="O258" s="916">
        <f>S258-N258</f>
        <v>0</v>
      </c>
      <c r="P258" s="916" t="str">
        <f>VLOOKUP($A258,'맨홀 평균 높이'!$J$4:$M$572,4,0)</f>
        <v>차  도</v>
      </c>
      <c r="Q258" s="1264" t="s">
        <v>1302</v>
      </c>
      <c r="R258" s="1281" t="s">
        <v>1510</v>
      </c>
      <c r="S258" s="1252">
        <f>VLOOKUP($R258,Sheet1!$A$3:$C$241,2,FALSE)</f>
        <v>2</v>
      </c>
      <c r="T258" s="1252">
        <f>VLOOKUP($R258,Sheet1!$A$3:$C$241,3,FALSE)</f>
        <v>0</v>
      </c>
      <c r="U258" s="1252"/>
      <c r="V258" s="1252">
        <f>VLOOKUP($R258,Sheet1!$A$3:$F$214,4,FALSE)</f>
        <v>0</v>
      </c>
      <c r="W258" s="1252">
        <f>VLOOKUP($R258,Sheet1!$A$3:$F$214,5,FALSE)</f>
        <v>2</v>
      </c>
      <c r="X258" s="1252">
        <f>VLOOKUP($R258,Sheet1!$A$3:$F$214,6,FALSE)</f>
        <v>0</v>
      </c>
      <c r="Y258" s="1252"/>
      <c r="Z258" s="1252"/>
      <c r="AA258" s="917"/>
      <c r="AB258" s="917"/>
      <c r="AC258" s="917"/>
      <c r="AD258" s="917"/>
      <c r="AE258" s="917"/>
      <c r="AF258" s="917"/>
      <c r="AG258" s="917"/>
      <c r="AH258" s="917"/>
      <c r="AI258" s="917"/>
      <c r="AJ258" s="917"/>
      <c r="AK258" s="917"/>
      <c r="AL258" s="917"/>
      <c r="AM258" s="917"/>
      <c r="AN258" s="917"/>
      <c r="AO258" s="917"/>
    </row>
    <row r="259" spans="1:41" s="913" customFormat="1" ht="15.95" customHeight="1">
      <c r="A259" s="1248" t="str">
        <f>R259</f>
        <v>M2-144</v>
      </c>
      <c r="B259" s="915" t="str">
        <f>IF($P259="보  도","보도","차도")</f>
        <v>차도</v>
      </c>
      <c r="C259" s="1251">
        <f>V259-D259</f>
        <v>0</v>
      </c>
      <c r="D259" s="1251"/>
      <c r="E259" s="1251">
        <f>W259-F259</f>
        <v>1</v>
      </c>
      <c r="F259" s="1251">
        <v>1</v>
      </c>
      <c r="G259" s="1251">
        <f>X259-H259</f>
        <v>0</v>
      </c>
      <c r="H259" s="1251"/>
      <c r="I259" s="1251">
        <f>Y259-J259</f>
        <v>0</v>
      </c>
      <c r="J259" s="915"/>
      <c r="K259" s="1251">
        <f>Z259-L259</f>
        <v>0</v>
      </c>
      <c r="L259" s="915"/>
      <c r="M259" s="915"/>
      <c r="N259" s="916">
        <f>SUM(C259:L259)</f>
        <v>2</v>
      </c>
      <c r="O259" s="916">
        <f>S259-N259</f>
        <v>0</v>
      </c>
      <c r="P259" s="916" t="str">
        <f>VLOOKUP($A259,'맨홀 평균 높이'!$J$4:$M$572,4,0)</f>
        <v>차  도</v>
      </c>
      <c r="Q259" s="1264" t="s">
        <v>1304</v>
      </c>
      <c r="R259" s="1264" t="s">
        <v>1520</v>
      </c>
      <c r="S259" s="1252">
        <f>VLOOKUP($R259,Sheet1!$A$3:$C$241,2,FALSE)</f>
        <v>2</v>
      </c>
      <c r="T259" s="1252">
        <f>VLOOKUP($R259,Sheet1!$A$3:$C$241,3,FALSE)</f>
        <v>0</v>
      </c>
      <c r="U259" s="1252"/>
      <c r="V259" s="1252">
        <f>VLOOKUP($R259,Sheet1!$A$3:$F$214,4,FALSE)</f>
        <v>0</v>
      </c>
      <c r="W259" s="1252">
        <f>VLOOKUP($R259,Sheet1!$A$3:$F$214,5,FALSE)</f>
        <v>2</v>
      </c>
      <c r="X259" s="1252">
        <f>VLOOKUP($R259,Sheet1!$A$3:$F$214,6,FALSE)</f>
        <v>0</v>
      </c>
      <c r="Y259" s="1252"/>
      <c r="Z259" s="1252"/>
      <c r="AA259" s="917"/>
      <c r="AB259" s="917"/>
      <c r="AC259" s="917"/>
      <c r="AD259" s="917"/>
      <c r="AE259" s="917"/>
      <c r="AF259" s="917"/>
      <c r="AG259" s="917"/>
      <c r="AH259" s="917"/>
      <c r="AI259" s="917"/>
      <c r="AJ259" s="917"/>
      <c r="AK259" s="917"/>
      <c r="AL259" s="917"/>
      <c r="AM259" s="917"/>
      <c r="AN259" s="917"/>
      <c r="AO259" s="917"/>
    </row>
    <row r="260" spans="1:41" s="913" customFormat="1" ht="15.95" customHeight="1">
      <c r="A260" s="1248" t="str">
        <f t="shared" si="81"/>
        <v>M2-147</v>
      </c>
      <c r="B260" s="915" t="str">
        <f t="shared" si="46"/>
        <v>차도</v>
      </c>
      <c r="C260" s="1251">
        <f t="shared" si="82"/>
        <v>0</v>
      </c>
      <c r="D260" s="1251"/>
      <c r="E260" s="1251">
        <f t="shared" si="83"/>
        <v>1</v>
      </c>
      <c r="F260" s="1251">
        <v>1</v>
      </c>
      <c r="G260" s="1251"/>
      <c r="H260" s="1251"/>
      <c r="I260" s="1251"/>
      <c r="J260" s="1251"/>
      <c r="K260" s="1251"/>
      <c r="L260" s="915"/>
      <c r="M260" s="915"/>
      <c r="N260" s="916">
        <f t="shared" si="84"/>
        <v>2</v>
      </c>
      <c r="O260" s="916">
        <f t="shared" si="85"/>
        <v>0</v>
      </c>
      <c r="P260" s="916" t="str">
        <f>VLOOKUP($A260,'맨홀 평균 높이'!$J$4:$M$572,4,0)</f>
        <v>차  도</v>
      </c>
      <c r="Q260" s="1264" t="s">
        <v>1304</v>
      </c>
      <c r="R260" s="1264" t="s">
        <v>1398</v>
      </c>
      <c r="S260" s="1252">
        <f>VLOOKUP($R260,Sheet1!$A$3:$C$241,2,FALSE)</f>
        <v>0</v>
      </c>
      <c r="T260" s="1252">
        <f>VLOOKUP($R260,Sheet1!$A$3:$C$241,3,FALSE)</f>
        <v>2</v>
      </c>
      <c r="U260" s="1252"/>
      <c r="V260" s="1252">
        <f>VLOOKUP($R260,Sheet1!$A$3:$F$214,4,FALSE)</f>
        <v>0</v>
      </c>
      <c r="W260" s="1252">
        <f>VLOOKUP($R260,Sheet1!$A$3:$F$214,5,FALSE)</f>
        <v>2</v>
      </c>
      <c r="X260" s="1252">
        <f>VLOOKUP($R260,Sheet1!$A$3:$F$214,6,FALSE)</f>
        <v>0</v>
      </c>
      <c r="Y260" s="1252"/>
      <c r="Z260" s="1252"/>
      <c r="AA260" s="917"/>
      <c r="AB260" s="917"/>
      <c r="AC260" s="917"/>
      <c r="AD260" s="917"/>
      <c r="AE260" s="917"/>
      <c r="AF260" s="917"/>
      <c r="AG260" s="917"/>
      <c r="AH260" s="917"/>
      <c r="AI260" s="917"/>
      <c r="AJ260" s="917"/>
      <c r="AK260" s="917"/>
      <c r="AL260" s="917"/>
      <c r="AM260" s="917"/>
      <c r="AN260" s="917"/>
      <c r="AO260" s="917"/>
    </row>
    <row r="261" spans="1:41" s="913" customFormat="1" ht="15.95" customHeight="1">
      <c r="A261" s="1248" t="str">
        <f>R261</f>
        <v>M2-149</v>
      </c>
      <c r="B261" s="915" t="str">
        <f>IF($P261="보  도","보도","차도")</f>
        <v>차도</v>
      </c>
      <c r="C261" s="1251">
        <f>V261-D261</f>
        <v>0</v>
      </c>
      <c r="D261" s="1251"/>
      <c r="E261" s="1251">
        <f>W261-F261</f>
        <v>1</v>
      </c>
      <c r="F261" s="1251">
        <v>1</v>
      </c>
      <c r="G261" s="1251">
        <f>X261-H261</f>
        <v>0</v>
      </c>
      <c r="H261" s="1251"/>
      <c r="I261" s="1251">
        <f>Y261-J261</f>
        <v>0</v>
      </c>
      <c r="J261" s="915"/>
      <c r="K261" s="1251">
        <f>Z261-L261</f>
        <v>0</v>
      </c>
      <c r="L261" s="915"/>
      <c r="M261" s="915"/>
      <c r="N261" s="916">
        <f>SUM(C261:L261)</f>
        <v>2</v>
      </c>
      <c r="O261" s="916">
        <f>S261-N261</f>
        <v>0</v>
      </c>
      <c r="P261" s="916" t="str">
        <f>VLOOKUP($A261,'맨홀 평균 높이'!$J$4:$M$572,4,0)</f>
        <v>차  도</v>
      </c>
      <c r="Q261" s="1264" t="s">
        <v>1295</v>
      </c>
      <c r="R261" s="1264" t="s">
        <v>1526</v>
      </c>
      <c r="S261" s="1252">
        <f>VLOOKUP($R261,Sheet1!$A$3:$C$241,2,FALSE)</f>
        <v>2</v>
      </c>
      <c r="T261" s="1252">
        <f>VLOOKUP($R261,Sheet1!$A$3:$C$241,3,FALSE)</f>
        <v>0</v>
      </c>
      <c r="U261" s="1252"/>
      <c r="V261" s="1252">
        <f>VLOOKUP($R261,Sheet1!$A$3:$F$214,4,FALSE)</f>
        <v>0</v>
      </c>
      <c r="W261" s="1252">
        <f>VLOOKUP($R261,Sheet1!$A$3:$F$214,5,FALSE)</f>
        <v>2</v>
      </c>
      <c r="X261" s="1252">
        <f>VLOOKUP($R261,Sheet1!$A$3:$F$214,6,FALSE)</f>
        <v>0</v>
      </c>
      <c r="Y261" s="1252"/>
      <c r="Z261" s="1252"/>
      <c r="AA261" s="917"/>
      <c r="AB261" s="917"/>
      <c r="AC261" s="917"/>
      <c r="AD261" s="917"/>
      <c r="AE261" s="917"/>
      <c r="AF261" s="917"/>
      <c r="AG261" s="917"/>
      <c r="AH261" s="917"/>
      <c r="AI261" s="917"/>
      <c r="AJ261" s="917"/>
      <c r="AK261" s="917"/>
      <c r="AL261" s="917"/>
      <c r="AM261" s="917"/>
      <c r="AN261" s="917"/>
      <c r="AO261" s="917"/>
    </row>
    <row r="262" spans="1:41" s="913" customFormat="1" ht="15.95" customHeight="1">
      <c r="A262" s="1248" t="str">
        <f>R262</f>
        <v>M2-150</v>
      </c>
      <c r="B262" s="915" t="str">
        <f>IF($P262="보  도","보도","차도")</f>
        <v>보도</v>
      </c>
      <c r="C262" s="1251">
        <f>V262-D262</f>
        <v>0</v>
      </c>
      <c r="D262" s="1251"/>
      <c r="E262" s="1251">
        <f>W262-F262</f>
        <v>2</v>
      </c>
      <c r="F262" s="1251">
        <v>1</v>
      </c>
      <c r="G262" s="1251">
        <f>X262-H262</f>
        <v>0</v>
      </c>
      <c r="H262" s="1251"/>
      <c r="I262" s="1251">
        <f>Y262-J262</f>
        <v>0</v>
      </c>
      <c r="J262" s="915"/>
      <c r="K262" s="1251">
        <f>Z262-L262</f>
        <v>0</v>
      </c>
      <c r="L262" s="915"/>
      <c r="M262" s="915"/>
      <c r="N262" s="916">
        <f>SUM(C262:L262)</f>
        <v>3</v>
      </c>
      <c r="O262" s="916">
        <f>S262-N262</f>
        <v>0</v>
      </c>
      <c r="P262" s="916" t="str">
        <f>VLOOKUP($A262,'맨홀 평균 높이'!$J$4:$M$572,4,0)</f>
        <v>보  도</v>
      </c>
      <c r="Q262" s="1264" t="s">
        <v>1296</v>
      </c>
      <c r="R262" s="1264" t="s">
        <v>1522</v>
      </c>
      <c r="S262" s="1252">
        <f>VLOOKUP($R262,Sheet1!$A$3:$C$241,2,FALSE)</f>
        <v>3</v>
      </c>
      <c r="T262" s="1252">
        <f>VLOOKUP($R262,Sheet1!$A$3:$C$241,3,FALSE)</f>
        <v>0</v>
      </c>
      <c r="U262" s="1252"/>
      <c r="V262" s="1252">
        <f>VLOOKUP($R262,Sheet1!$A$3:$F$214,4,FALSE)</f>
        <v>0</v>
      </c>
      <c r="W262" s="1252">
        <f>VLOOKUP($R262,Sheet1!$A$3:$F$214,5,FALSE)</f>
        <v>3</v>
      </c>
      <c r="X262" s="1252">
        <f>VLOOKUP($R262,Sheet1!$A$3:$F$214,6,FALSE)</f>
        <v>0</v>
      </c>
      <c r="Y262" s="1252"/>
      <c r="Z262" s="1252"/>
      <c r="AA262" s="917"/>
      <c r="AB262" s="917"/>
      <c r="AC262" s="917"/>
      <c r="AD262" s="917"/>
      <c r="AE262" s="917"/>
      <c r="AF262" s="917"/>
      <c r="AG262" s="917"/>
      <c r="AH262" s="917"/>
      <c r="AI262" s="917"/>
      <c r="AJ262" s="917"/>
      <c r="AK262" s="917"/>
      <c r="AL262" s="917"/>
      <c r="AM262" s="917"/>
      <c r="AN262" s="917"/>
      <c r="AO262" s="917"/>
    </row>
    <row r="263" spans="1:41" s="913" customFormat="1" ht="15.95" customHeight="1">
      <c r="A263" s="1248" t="str">
        <f>R263</f>
        <v>M2-152</v>
      </c>
      <c r="B263" s="915" t="str">
        <f>IF($P263="보  도","보도","차도")</f>
        <v>보도</v>
      </c>
      <c r="C263" s="1251">
        <f>V263-D263</f>
        <v>0</v>
      </c>
      <c r="D263" s="1251"/>
      <c r="E263" s="1251">
        <f>W263-F263</f>
        <v>1</v>
      </c>
      <c r="F263" s="1251">
        <v>1</v>
      </c>
      <c r="G263" s="1251">
        <f>X263-H263</f>
        <v>0</v>
      </c>
      <c r="H263" s="1251"/>
      <c r="I263" s="1251">
        <f>Y263-J263</f>
        <v>0</v>
      </c>
      <c r="J263" s="915"/>
      <c r="K263" s="1251">
        <f>Z263-L263</f>
        <v>0</v>
      </c>
      <c r="L263" s="915"/>
      <c r="M263" s="915"/>
      <c r="N263" s="916">
        <f>SUM(C263:L263)</f>
        <v>2</v>
      </c>
      <c r="O263" s="916">
        <f>S263-N263</f>
        <v>0</v>
      </c>
      <c r="P263" s="916" t="str">
        <f>VLOOKUP($A263,'맨홀 평균 높이'!$J$4:$M$572,4,0)</f>
        <v>보  도</v>
      </c>
      <c r="Q263" s="1264" t="s">
        <v>1295</v>
      </c>
      <c r="R263" s="1264" t="s">
        <v>1524</v>
      </c>
      <c r="S263" s="1252">
        <f>VLOOKUP($R263,Sheet1!$A$3:$C$241,2,FALSE)</f>
        <v>2</v>
      </c>
      <c r="T263" s="1252">
        <f>VLOOKUP($R263,Sheet1!$A$3:$C$241,3,FALSE)</f>
        <v>0</v>
      </c>
      <c r="U263" s="1252"/>
      <c r="V263" s="1252">
        <f>VLOOKUP($R263,Sheet1!$A$3:$F$214,4,FALSE)</f>
        <v>0</v>
      </c>
      <c r="W263" s="1252">
        <f>VLOOKUP($R263,Sheet1!$A$3:$F$214,5,FALSE)</f>
        <v>2</v>
      </c>
      <c r="X263" s="1252">
        <f>VLOOKUP($R263,Sheet1!$A$3:$F$214,6,FALSE)</f>
        <v>0</v>
      </c>
      <c r="Y263" s="1252"/>
      <c r="Z263" s="1252"/>
      <c r="AA263" s="917"/>
      <c r="AB263" s="917"/>
      <c r="AC263" s="917"/>
      <c r="AD263" s="917"/>
      <c r="AE263" s="917"/>
      <c r="AF263" s="917"/>
      <c r="AG263" s="917"/>
      <c r="AH263" s="917"/>
      <c r="AI263" s="917"/>
      <c r="AJ263" s="917"/>
      <c r="AK263" s="917"/>
      <c r="AL263" s="917"/>
      <c r="AM263" s="917"/>
      <c r="AN263" s="917"/>
      <c r="AO263" s="917"/>
    </row>
    <row r="264" spans="1:41" s="913" customFormat="1" ht="15.95" hidden="1" customHeight="1">
      <c r="A264" s="1248"/>
      <c r="B264" s="915"/>
      <c r="C264" s="1251"/>
      <c r="D264" s="1251"/>
      <c r="E264" s="1251"/>
      <c r="F264" s="1251"/>
      <c r="G264" s="1251"/>
      <c r="H264" s="1251"/>
      <c r="I264" s="1251"/>
      <c r="J264" s="1251"/>
      <c r="K264" s="1251"/>
      <c r="L264" s="915"/>
      <c r="M264" s="915"/>
      <c r="N264" s="916"/>
      <c r="O264" s="916"/>
      <c r="P264" s="916"/>
      <c r="Q264" s="1247"/>
      <c r="R264" s="1252"/>
      <c r="S264" s="1252"/>
      <c r="T264" s="1252"/>
      <c r="U264" s="1252"/>
      <c r="V264" s="1252"/>
      <c r="W264" s="1252"/>
      <c r="X264" s="1252"/>
      <c r="Y264" s="1252"/>
      <c r="Z264" s="1252"/>
      <c r="AA264" s="917"/>
      <c r="AB264" s="917"/>
      <c r="AC264" s="917"/>
      <c r="AD264" s="917"/>
      <c r="AE264" s="917"/>
      <c r="AF264" s="917"/>
      <c r="AG264" s="917"/>
      <c r="AH264" s="917"/>
      <c r="AI264" s="917"/>
      <c r="AJ264" s="917"/>
      <c r="AK264" s="917"/>
      <c r="AL264" s="917"/>
      <c r="AM264" s="917"/>
      <c r="AN264" s="917"/>
      <c r="AO264" s="917"/>
    </row>
    <row r="265" spans="1:41" s="913" customFormat="1" ht="15.95" hidden="1" customHeight="1">
      <c r="A265" s="1248"/>
      <c r="B265" s="915"/>
      <c r="C265" s="1251"/>
      <c r="D265" s="1251"/>
      <c r="E265" s="1251"/>
      <c r="F265" s="1251"/>
      <c r="G265" s="1251"/>
      <c r="H265" s="1251"/>
      <c r="I265" s="1251"/>
      <c r="J265" s="1251"/>
      <c r="K265" s="1251"/>
      <c r="L265" s="915"/>
      <c r="M265" s="915"/>
      <c r="N265" s="916"/>
      <c r="O265" s="916"/>
      <c r="P265" s="916"/>
      <c r="Q265" s="1247"/>
      <c r="R265" s="1252"/>
      <c r="S265" s="1252"/>
      <c r="T265" s="1252"/>
      <c r="U265" s="1252"/>
      <c r="V265" s="1252"/>
      <c r="W265" s="1252"/>
      <c r="X265" s="1252"/>
      <c r="Y265" s="1252"/>
      <c r="Z265" s="1252"/>
      <c r="AA265" s="917"/>
      <c r="AB265" s="917"/>
      <c r="AC265" s="917"/>
      <c r="AD265" s="917"/>
      <c r="AE265" s="917"/>
      <c r="AF265" s="917"/>
      <c r="AG265" s="917"/>
      <c r="AH265" s="917"/>
      <c r="AI265" s="917"/>
      <c r="AJ265" s="917"/>
      <c r="AK265" s="917"/>
      <c r="AL265" s="917"/>
      <c r="AM265" s="917"/>
      <c r="AN265" s="917"/>
      <c r="AO265" s="917"/>
    </row>
    <row r="266" spans="1:41" s="913" customFormat="1" ht="15.95" hidden="1" customHeight="1">
      <c r="A266" s="1248"/>
      <c r="B266" s="915"/>
      <c r="C266" s="1251"/>
      <c r="D266" s="1251"/>
      <c r="E266" s="1251"/>
      <c r="F266" s="1251"/>
      <c r="G266" s="1251"/>
      <c r="H266" s="1251"/>
      <c r="I266" s="1251"/>
      <c r="J266" s="1251"/>
      <c r="K266" s="1251"/>
      <c r="L266" s="915"/>
      <c r="M266" s="915"/>
      <c r="N266" s="916"/>
      <c r="O266" s="916"/>
      <c r="P266" s="916"/>
      <c r="Q266" s="1247"/>
      <c r="R266" s="1252"/>
      <c r="S266" s="1252"/>
      <c r="T266" s="1252"/>
      <c r="U266" s="1252"/>
      <c r="V266" s="1252"/>
      <c r="W266" s="1252"/>
      <c r="X266" s="1252"/>
      <c r="Y266" s="1252"/>
      <c r="Z266" s="1252"/>
      <c r="AA266" s="917"/>
      <c r="AB266" s="917"/>
      <c r="AC266" s="917"/>
      <c r="AD266" s="917"/>
      <c r="AE266" s="917"/>
      <c r="AF266" s="917"/>
      <c r="AG266" s="917"/>
      <c r="AH266" s="917"/>
      <c r="AI266" s="917"/>
      <c r="AJ266" s="917"/>
      <c r="AK266" s="917"/>
      <c r="AL266" s="917"/>
      <c r="AM266" s="917"/>
      <c r="AN266" s="917"/>
      <c r="AO266" s="917"/>
    </row>
    <row r="267" spans="1:41" s="913" customFormat="1" ht="15.95" hidden="1" customHeight="1">
      <c r="A267" s="1248"/>
      <c r="B267" s="915"/>
      <c r="C267" s="1251"/>
      <c r="D267" s="1251"/>
      <c r="E267" s="1251"/>
      <c r="F267" s="1251"/>
      <c r="G267" s="1251"/>
      <c r="H267" s="1251"/>
      <c r="I267" s="1251"/>
      <c r="J267" s="1251"/>
      <c r="K267" s="1251"/>
      <c r="L267" s="915"/>
      <c r="M267" s="915"/>
      <c r="N267" s="916"/>
      <c r="O267" s="916"/>
      <c r="P267" s="916"/>
      <c r="Q267" s="1247"/>
      <c r="R267" s="1252"/>
      <c r="S267" s="1252"/>
      <c r="T267" s="1252"/>
      <c r="U267" s="1252"/>
      <c r="V267" s="1252"/>
      <c r="W267" s="1252"/>
      <c r="X267" s="1252"/>
      <c r="Y267" s="1252"/>
      <c r="Z267" s="1252"/>
      <c r="AA267" s="917"/>
      <c r="AB267" s="917"/>
      <c r="AC267" s="917"/>
      <c r="AD267" s="917"/>
      <c r="AE267" s="917"/>
      <c r="AF267" s="917"/>
      <c r="AG267" s="917"/>
      <c r="AH267" s="917"/>
      <c r="AI267" s="917"/>
      <c r="AJ267" s="917"/>
      <c r="AK267" s="917"/>
      <c r="AL267" s="917"/>
      <c r="AM267" s="917"/>
      <c r="AN267" s="917"/>
      <c r="AO267" s="917"/>
    </row>
    <row r="268" spans="1:41" s="913" customFormat="1" ht="15.95" hidden="1" customHeight="1">
      <c r="A268" s="1248"/>
      <c r="B268" s="915"/>
      <c r="C268" s="1251"/>
      <c r="D268" s="1251"/>
      <c r="E268" s="1251"/>
      <c r="F268" s="1251"/>
      <c r="G268" s="1251"/>
      <c r="H268" s="1251"/>
      <c r="I268" s="1251"/>
      <c r="J268" s="1251"/>
      <c r="K268" s="1251"/>
      <c r="L268" s="915"/>
      <c r="M268" s="915"/>
      <c r="N268" s="916"/>
      <c r="O268" s="916"/>
      <c r="P268" s="916"/>
      <c r="Q268" s="1247"/>
      <c r="R268" s="1252"/>
      <c r="S268" s="1252"/>
      <c r="T268" s="1252"/>
      <c r="U268" s="1252"/>
      <c r="V268" s="1252"/>
      <c r="W268" s="1252"/>
      <c r="X268" s="1252"/>
      <c r="Y268" s="1252"/>
      <c r="Z268" s="1252"/>
      <c r="AA268" s="917"/>
      <c r="AB268" s="917"/>
      <c r="AC268" s="917"/>
      <c r="AD268" s="917"/>
      <c r="AE268" s="917"/>
      <c r="AF268" s="917"/>
      <c r="AG268" s="917"/>
      <c r="AH268" s="917"/>
      <c r="AI268" s="917"/>
      <c r="AJ268" s="917"/>
      <c r="AK268" s="917"/>
      <c r="AL268" s="917"/>
      <c r="AM268" s="917"/>
      <c r="AN268" s="917"/>
      <c r="AO268" s="917"/>
    </row>
    <row r="269" spans="1:41" s="913" customFormat="1" ht="15.95" hidden="1" customHeight="1">
      <c r="A269" s="1248"/>
      <c r="B269" s="915"/>
      <c r="C269" s="1251"/>
      <c r="D269" s="1251"/>
      <c r="E269" s="1251"/>
      <c r="F269" s="1251"/>
      <c r="G269" s="1251"/>
      <c r="H269" s="1251"/>
      <c r="I269" s="1251"/>
      <c r="J269" s="1251"/>
      <c r="K269" s="1251"/>
      <c r="L269" s="915"/>
      <c r="M269" s="915"/>
      <c r="N269" s="916"/>
      <c r="O269" s="916"/>
      <c r="P269" s="916"/>
      <c r="Q269" s="1247"/>
      <c r="R269" s="1252"/>
      <c r="S269" s="1252"/>
      <c r="T269" s="1252"/>
      <c r="U269" s="1252"/>
      <c r="V269" s="1252"/>
      <c r="W269" s="1252"/>
      <c r="X269" s="1252"/>
      <c r="Y269" s="1252"/>
      <c r="Z269" s="1252"/>
      <c r="AA269" s="917"/>
      <c r="AB269" s="917"/>
      <c r="AC269" s="917"/>
      <c r="AD269" s="917"/>
      <c r="AE269" s="917"/>
      <c r="AF269" s="917"/>
      <c r="AG269" s="917"/>
      <c r="AH269" s="917"/>
      <c r="AI269" s="917"/>
      <c r="AJ269" s="917"/>
      <c r="AK269" s="917"/>
      <c r="AL269" s="917"/>
      <c r="AM269" s="917"/>
      <c r="AN269" s="917"/>
      <c r="AO269" s="917"/>
    </row>
    <row r="270" spans="1:41" s="913" customFormat="1" ht="15.95" hidden="1" customHeight="1">
      <c r="A270" s="1248"/>
      <c r="B270" s="915"/>
      <c r="C270" s="1251"/>
      <c r="D270" s="1251"/>
      <c r="E270" s="1251"/>
      <c r="F270" s="1251"/>
      <c r="G270" s="1251"/>
      <c r="H270" s="1251"/>
      <c r="I270" s="1251"/>
      <c r="J270" s="1251"/>
      <c r="K270" s="1251"/>
      <c r="L270" s="915"/>
      <c r="M270" s="915"/>
      <c r="N270" s="916"/>
      <c r="O270" s="916"/>
      <c r="P270" s="916"/>
      <c r="Q270" s="1247"/>
      <c r="R270" s="1252"/>
      <c r="S270" s="1252"/>
      <c r="T270" s="1252"/>
      <c r="U270" s="1252"/>
      <c r="V270" s="1252"/>
      <c r="W270" s="1252"/>
      <c r="X270" s="1252"/>
      <c r="Y270" s="1252"/>
      <c r="Z270" s="1252"/>
      <c r="AA270" s="917"/>
      <c r="AB270" s="917"/>
      <c r="AC270" s="917"/>
      <c r="AD270" s="917"/>
      <c r="AE270" s="917"/>
      <c r="AF270" s="917"/>
      <c r="AG270" s="917"/>
      <c r="AH270" s="917"/>
      <c r="AI270" s="917"/>
      <c r="AJ270" s="917"/>
      <c r="AK270" s="917"/>
      <c r="AL270" s="917"/>
      <c r="AM270" s="917"/>
      <c r="AN270" s="917"/>
      <c r="AO270" s="917"/>
    </row>
    <row r="271" spans="1:41" s="913" customFormat="1" ht="15.95" hidden="1" customHeight="1">
      <c r="A271" s="1248"/>
      <c r="B271" s="915"/>
      <c r="C271" s="1251"/>
      <c r="D271" s="1251"/>
      <c r="E271" s="1251"/>
      <c r="F271" s="1251"/>
      <c r="G271" s="1251"/>
      <c r="H271" s="1251"/>
      <c r="I271" s="1251"/>
      <c r="J271" s="1251"/>
      <c r="K271" s="1251"/>
      <c r="L271" s="915"/>
      <c r="M271" s="915"/>
      <c r="N271" s="916"/>
      <c r="O271" s="916"/>
      <c r="P271" s="916"/>
      <c r="Q271" s="1247"/>
      <c r="R271" s="1252"/>
      <c r="S271" s="1252"/>
      <c r="T271" s="1252"/>
      <c r="U271" s="1252"/>
      <c r="V271" s="1252"/>
      <c r="W271" s="1252"/>
      <c r="X271" s="1252"/>
      <c r="Y271" s="1252"/>
      <c r="Z271" s="1252"/>
      <c r="AA271" s="917"/>
      <c r="AB271" s="917"/>
      <c r="AC271" s="917"/>
      <c r="AD271" s="917"/>
      <c r="AE271" s="917"/>
      <c r="AF271" s="917"/>
      <c r="AG271" s="917"/>
      <c r="AH271" s="917"/>
      <c r="AI271" s="917"/>
      <c r="AJ271" s="917"/>
      <c r="AK271" s="917"/>
      <c r="AL271" s="917"/>
      <c r="AM271" s="917"/>
      <c r="AN271" s="917"/>
      <c r="AO271" s="917"/>
    </row>
    <row r="272" spans="1:41" s="913" customFormat="1" ht="15.95" hidden="1" customHeight="1">
      <c r="A272" s="1248"/>
      <c r="B272" s="915"/>
      <c r="C272" s="1251"/>
      <c r="D272" s="1251"/>
      <c r="E272" s="1251"/>
      <c r="F272" s="1251"/>
      <c r="G272" s="1251"/>
      <c r="H272" s="1251"/>
      <c r="I272" s="1251"/>
      <c r="J272" s="1251"/>
      <c r="K272" s="1251"/>
      <c r="L272" s="915"/>
      <c r="M272" s="915"/>
      <c r="N272" s="916"/>
      <c r="O272" s="916"/>
      <c r="P272" s="916"/>
      <c r="Q272" s="1247"/>
      <c r="R272" s="1252"/>
      <c r="S272" s="1252"/>
      <c r="T272" s="1252"/>
      <c r="U272" s="1252"/>
      <c r="V272" s="1252"/>
      <c r="W272" s="1252"/>
      <c r="X272" s="1252"/>
      <c r="Y272" s="1252"/>
      <c r="Z272" s="1252"/>
      <c r="AA272" s="917"/>
      <c r="AB272" s="917"/>
      <c r="AC272" s="917"/>
      <c r="AD272" s="917"/>
      <c r="AE272" s="917"/>
      <c r="AF272" s="917"/>
      <c r="AG272" s="917"/>
      <c r="AH272" s="917"/>
      <c r="AI272" s="917"/>
      <c r="AJ272" s="917"/>
      <c r="AK272" s="917"/>
      <c r="AL272" s="917"/>
      <c r="AM272" s="917"/>
      <c r="AN272" s="917"/>
      <c r="AO272" s="917"/>
    </row>
    <row r="273" spans="1:41" s="913" customFormat="1" ht="15.95" hidden="1" customHeight="1">
      <c r="A273" s="1248"/>
      <c r="B273" s="915"/>
      <c r="C273" s="1251"/>
      <c r="D273" s="1251"/>
      <c r="E273" s="1251"/>
      <c r="F273" s="1251"/>
      <c r="G273" s="1251"/>
      <c r="H273" s="1251"/>
      <c r="I273" s="1251"/>
      <c r="J273" s="1251"/>
      <c r="K273" s="1251"/>
      <c r="L273" s="915"/>
      <c r="M273" s="915"/>
      <c r="N273" s="916"/>
      <c r="O273" s="916"/>
      <c r="P273" s="916"/>
      <c r="Q273" s="1247"/>
      <c r="R273" s="1252"/>
      <c r="S273" s="1252"/>
      <c r="T273" s="1252"/>
      <c r="U273" s="1252"/>
      <c r="V273" s="1252"/>
      <c r="W273" s="1252"/>
      <c r="X273" s="1252"/>
      <c r="Y273" s="1252"/>
      <c r="Z273" s="1252"/>
      <c r="AA273" s="917"/>
      <c r="AB273" s="917"/>
      <c r="AC273" s="917"/>
      <c r="AD273" s="917"/>
      <c r="AE273" s="917"/>
      <c r="AF273" s="917"/>
      <c r="AG273" s="917"/>
      <c r="AH273" s="917"/>
      <c r="AI273" s="917"/>
      <c r="AJ273" s="917"/>
      <c r="AK273" s="917"/>
      <c r="AL273" s="917"/>
      <c r="AM273" s="917"/>
      <c r="AN273" s="917"/>
      <c r="AO273" s="917"/>
    </row>
    <row r="274" spans="1:41" s="913" customFormat="1" ht="15.95" hidden="1" customHeight="1">
      <c r="A274" s="1248"/>
      <c r="B274" s="915"/>
      <c r="C274" s="1251"/>
      <c r="D274" s="1251"/>
      <c r="E274" s="1251"/>
      <c r="F274" s="1251"/>
      <c r="G274" s="1251"/>
      <c r="H274" s="1251"/>
      <c r="I274" s="1251"/>
      <c r="J274" s="1251"/>
      <c r="K274" s="1251"/>
      <c r="L274" s="915"/>
      <c r="M274" s="915"/>
      <c r="N274" s="916"/>
      <c r="O274" s="916"/>
      <c r="P274" s="916"/>
      <c r="Q274" s="1247"/>
      <c r="R274" s="1252"/>
      <c r="S274" s="1252"/>
      <c r="T274" s="1252"/>
      <c r="U274" s="1252"/>
      <c r="V274" s="1252"/>
      <c r="W274" s="1252"/>
      <c r="X274" s="1252"/>
      <c r="Y274" s="1252"/>
      <c r="Z274" s="1252"/>
      <c r="AA274" s="917"/>
      <c r="AB274" s="917"/>
      <c r="AC274" s="917"/>
      <c r="AD274" s="917"/>
      <c r="AE274" s="917"/>
      <c r="AF274" s="917"/>
      <c r="AG274" s="917"/>
      <c r="AH274" s="917"/>
      <c r="AI274" s="917"/>
      <c r="AJ274" s="917"/>
      <c r="AK274" s="917"/>
      <c r="AL274" s="917"/>
      <c r="AM274" s="917"/>
      <c r="AN274" s="917"/>
      <c r="AO274" s="917"/>
    </row>
    <row r="275" spans="1:41" s="913" customFormat="1" ht="15.95" hidden="1" customHeight="1">
      <c r="A275" s="1248"/>
      <c r="B275" s="915"/>
      <c r="C275" s="1251"/>
      <c r="D275" s="1251"/>
      <c r="E275" s="1251"/>
      <c r="F275" s="1251"/>
      <c r="G275" s="1251"/>
      <c r="H275" s="1251"/>
      <c r="I275" s="1251"/>
      <c r="J275" s="1251"/>
      <c r="K275" s="1251"/>
      <c r="L275" s="915"/>
      <c r="M275" s="915"/>
      <c r="N275" s="916"/>
      <c r="O275" s="916"/>
      <c r="P275" s="916"/>
      <c r="Q275" s="1247"/>
      <c r="R275" s="1252"/>
      <c r="S275" s="1252"/>
      <c r="T275" s="1252"/>
      <c r="U275" s="1252"/>
      <c r="V275" s="1252"/>
      <c r="W275" s="1252"/>
      <c r="X275" s="1252"/>
      <c r="Y275" s="1252"/>
      <c r="Z275" s="1252"/>
      <c r="AA275" s="917"/>
      <c r="AB275" s="917"/>
      <c r="AC275" s="917"/>
      <c r="AD275" s="917"/>
      <c r="AE275" s="917"/>
      <c r="AF275" s="917"/>
      <c r="AG275" s="917"/>
      <c r="AH275" s="917"/>
      <c r="AI275" s="917"/>
      <c r="AJ275" s="917"/>
      <c r="AK275" s="917"/>
      <c r="AL275" s="917"/>
      <c r="AM275" s="917"/>
      <c r="AN275" s="917"/>
      <c r="AO275" s="917"/>
    </row>
    <row r="276" spans="1:41" s="913" customFormat="1" ht="15.95" hidden="1" customHeight="1">
      <c r="A276" s="1248"/>
      <c r="B276" s="915"/>
      <c r="C276" s="1251"/>
      <c r="D276" s="1251"/>
      <c r="E276" s="1251"/>
      <c r="F276" s="1251"/>
      <c r="G276" s="1251"/>
      <c r="H276" s="1251"/>
      <c r="I276" s="1251"/>
      <c r="J276" s="1251"/>
      <c r="K276" s="1251"/>
      <c r="L276" s="915"/>
      <c r="M276" s="915"/>
      <c r="N276" s="916"/>
      <c r="O276" s="916"/>
      <c r="P276" s="916"/>
      <c r="Q276" s="1247"/>
      <c r="R276" s="1252"/>
      <c r="S276" s="1252"/>
      <c r="T276" s="1252"/>
      <c r="U276" s="1252"/>
      <c r="V276" s="1252"/>
      <c r="W276" s="1252"/>
      <c r="X276" s="1252"/>
      <c r="Y276" s="1252"/>
      <c r="Z276" s="1252"/>
      <c r="AA276" s="917"/>
      <c r="AB276" s="917"/>
      <c r="AC276" s="917"/>
      <c r="AD276" s="917"/>
      <c r="AE276" s="917"/>
      <c r="AF276" s="917"/>
      <c r="AG276" s="917"/>
      <c r="AH276" s="917"/>
      <c r="AI276" s="917"/>
      <c r="AJ276" s="917"/>
      <c r="AK276" s="917"/>
      <c r="AL276" s="917"/>
      <c r="AM276" s="917"/>
      <c r="AN276" s="917"/>
      <c r="AO276" s="917"/>
    </row>
    <row r="277" spans="1:41" s="913" customFormat="1" ht="15.95" hidden="1" customHeight="1">
      <c r="A277" s="1248"/>
      <c r="B277" s="915"/>
      <c r="C277" s="1251"/>
      <c r="D277" s="1251"/>
      <c r="E277" s="1251"/>
      <c r="F277" s="1251"/>
      <c r="G277" s="1251"/>
      <c r="H277" s="1251"/>
      <c r="I277" s="1251"/>
      <c r="J277" s="1251"/>
      <c r="K277" s="1251"/>
      <c r="L277" s="915"/>
      <c r="M277" s="915"/>
      <c r="N277" s="916"/>
      <c r="O277" s="916"/>
      <c r="P277" s="916"/>
      <c r="Q277" s="1247"/>
      <c r="R277" s="1252"/>
      <c r="S277" s="1252"/>
      <c r="T277" s="1252"/>
      <c r="U277" s="1252"/>
      <c r="V277" s="1252"/>
      <c r="W277" s="1252"/>
      <c r="X277" s="1252"/>
      <c r="Y277" s="1252"/>
      <c r="Z277" s="1252"/>
      <c r="AA277" s="917"/>
      <c r="AB277" s="917"/>
      <c r="AC277" s="917"/>
      <c r="AD277" s="917"/>
      <c r="AE277" s="917"/>
      <c r="AF277" s="917"/>
      <c r="AG277" s="917"/>
      <c r="AH277" s="917"/>
      <c r="AI277" s="917"/>
      <c r="AJ277" s="917"/>
      <c r="AK277" s="917"/>
      <c r="AL277" s="917"/>
      <c r="AM277" s="917"/>
      <c r="AN277" s="917"/>
      <c r="AO277" s="917"/>
    </row>
    <row r="278" spans="1:41" s="913" customFormat="1" ht="15.95" hidden="1" customHeight="1">
      <c r="A278" s="1248"/>
      <c r="B278" s="915"/>
      <c r="C278" s="1251"/>
      <c r="D278" s="1251"/>
      <c r="E278" s="1251"/>
      <c r="F278" s="1251"/>
      <c r="G278" s="1251"/>
      <c r="H278" s="1251"/>
      <c r="I278" s="1251"/>
      <c r="J278" s="1251"/>
      <c r="K278" s="1251"/>
      <c r="L278" s="915"/>
      <c r="M278" s="915"/>
      <c r="N278" s="916"/>
      <c r="O278" s="916"/>
      <c r="P278" s="916"/>
      <c r="Q278" s="1247"/>
      <c r="R278" s="1252"/>
      <c r="S278" s="1252"/>
      <c r="T278" s="1252"/>
      <c r="U278" s="1252"/>
      <c r="V278" s="1252"/>
      <c r="W278" s="1252"/>
      <c r="X278" s="1252"/>
      <c r="Y278" s="1252"/>
      <c r="Z278" s="1252"/>
      <c r="AA278" s="917"/>
      <c r="AB278" s="917"/>
      <c r="AC278" s="917"/>
      <c r="AD278" s="917"/>
      <c r="AE278" s="917"/>
      <c r="AF278" s="917"/>
      <c r="AG278" s="917"/>
      <c r="AH278" s="917"/>
      <c r="AI278" s="917"/>
      <c r="AJ278" s="917"/>
      <c r="AK278" s="917"/>
      <c r="AL278" s="917"/>
      <c r="AM278" s="917"/>
      <c r="AN278" s="917"/>
      <c r="AO278" s="917"/>
    </row>
    <row r="279" spans="1:41" s="913" customFormat="1" ht="15.95" hidden="1" customHeight="1">
      <c r="A279" s="1248"/>
      <c r="B279" s="915"/>
      <c r="C279" s="1251"/>
      <c r="D279" s="1251"/>
      <c r="E279" s="1251"/>
      <c r="F279" s="1251"/>
      <c r="G279" s="1251"/>
      <c r="H279" s="1251"/>
      <c r="I279" s="1251"/>
      <c r="J279" s="1251"/>
      <c r="K279" s="1251"/>
      <c r="L279" s="915"/>
      <c r="M279" s="915"/>
      <c r="N279" s="916"/>
      <c r="O279" s="916"/>
      <c r="P279" s="916"/>
      <c r="Q279" s="1247"/>
      <c r="R279" s="1252"/>
      <c r="S279" s="1252"/>
      <c r="T279" s="1252"/>
      <c r="U279" s="1252"/>
      <c r="V279" s="1252"/>
      <c r="W279" s="1252"/>
      <c r="X279" s="1252"/>
      <c r="Y279" s="1252"/>
      <c r="Z279" s="1252"/>
      <c r="AA279" s="917"/>
      <c r="AB279" s="917"/>
      <c r="AC279" s="917"/>
      <c r="AD279" s="917"/>
      <c r="AE279" s="917"/>
      <c r="AF279" s="917"/>
      <c r="AG279" s="917"/>
      <c r="AH279" s="917"/>
      <c r="AI279" s="917"/>
      <c r="AJ279" s="917"/>
      <c r="AK279" s="917"/>
      <c r="AL279" s="917"/>
      <c r="AM279" s="917"/>
      <c r="AN279" s="917"/>
      <c r="AO279" s="917"/>
    </row>
    <row r="280" spans="1:41" s="913" customFormat="1" ht="15.95" hidden="1" customHeight="1">
      <c r="A280" s="1248"/>
      <c r="B280" s="915"/>
      <c r="C280" s="1251"/>
      <c r="D280" s="1251"/>
      <c r="E280" s="1251"/>
      <c r="F280" s="1251"/>
      <c r="G280" s="1251"/>
      <c r="H280" s="1251"/>
      <c r="I280" s="1251"/>
      <c r="J280" s="1251"/>
      <c r="K280" s="1251"/>
      <c r="L280" s="915"/>
      <c r="M280" s="915"/>
      <c r="N280" s="916"/>
      <c r="O280" s="916"/>
      <c r="P280" s="916"/>
      <c r="Q280" s="1247"/>
      <c r="R280" s="1252"/>
      <c r="S280" s="1252"/>
      <c r="T280" s="1252"/>
      <c r="U280" s="1252"/>
      <c r="V280" s="1252"/>
      <c r="W280" s="1252"/>
      <c r="X280" s="1252"/>
      <c r="Y280" s="1252"/>
      <c r="Z280" s="1252"/>
      <c r="AA280" s="917"/>
      <c r="AB280" s="917"/>
      <c r="AC280" s="917"/>
      <c r="AD280" s="917"/>
      <c r="AE280" s="917"/>
      <c r="AF280" s="917"/>
      <c r="AG280" s="917"/>
      <c r="AH280" s="917"/>
      <c r="AI280" s="917"/>
      <c r="AJ280" s="917"/>
      <c r="AK280" s="917"/>
      <c r="AL280" s="917"/>
      <c r="AM280" s="917"/>
      <c r="AN280" s="917"/>
      <c r="AO280" s="917"/>
    </row>
    <row r="281" spans="1:41" s="913" customFormat="1" ht="15.95" hidden="1" customHeight="1">
      <c r="A281" s="1248"/>
      <c r="B281" s="915"/>
      <c r="C281" s="1251"/>
      <c r="D281" s="1251"/>
      <c r="E281" s="1251"/>
      <c r="F281" s="1251"/>
      <c r="G281" s="1251"/>
      <c r="H281" s="1251"/>
      <c r="I281" s="1251"/>
      <c r="J281" s="1251"/>
      <c r="K281" s="1251"/>
      <c r="L281" s="915"/>
      <c r="M281" s="915"/>
      <c r="N281" s="916"/>
      <c r="O281" s="916"/>
      <c r="P281" s="916"/>
      <c r="Q281" s="1247"/>
      <c r="R281" s="1252"/>
      <c r="S281" s="1252"/>
      <c r="T281" s="1252"/>
      <c r="U281" s="1252"/>
      <c r="V281" s="1252"/>
      <c r="W281" s="1252"/>
      <c r="X281" s="1252"/>
      <c r="Y281" s="1252"/>
      <c r="Z281" s="1252"/>
      <c r="AA281" s="917"/>
      <c r="AB281" s="917"/>
      <c r="AC281" s="917"/>
      <c r="AD281" s="917"/>
      <c r="AE281" s="917"/>
      <c r="AF281" s="917"/>
      <c r="AG281" s="917"/>
      <c r="AH281" s="917"/>
      <c r="AI281" s="917"/>
      <c r="AJ281" s="917"/>
      <c r="AK281" s="917"/>
      <c r="AL281" s="917"/>
      <c r="AM281" s="917"/>
      <c r="AN281" s="917"/>
      <c r="AO281" s="917"/>
    </row>
    <row r="282" spans="1:41" s="913" customFormat="1" ht="15.95" hidden="1" customHeight="1">
      <c r="A282" s="1248"/>
      <c r="B282" s="915"/>
      <c r="C282" s="1251"/>
      <c r="D282" s="1251"/>
      <c r="E282" s="1251"/>
      <c r="F282" s="1251"/>
      <c r="G282" s="1251"/>
      <c r="H282" s="1251"/>
      <c r="I282" s="1251"/>
      <c r="J282" s="1251"/>
      <c r="K282" s="1251"/>
      <c r="L282" s="915"/>
      <c r="M282" s="915"/>
      <c r="N282" s="916"/>
      <c r="O282" s="916"/>
      <c r="P282" s="916"/>
      <c r="Q282" s="1247"/>
      <c r="R282" s="1252"/>
      <c r="S282" s="1252"/>
      <c r="T282" s="1252"/>
      <c r="U282" s="1252"/>
      <c r="V282" s="1252"/>
      <c r="W282" s="1252"/>
      <c r="X282" s="1252"/>
      <c r="Y282" s="1252"/>
      <c r="Z282" s="1252"/>
      <c r="AA282" s="917"/>
      <c r="AB282" s="917"/>
      <c r="AC282" s="917"/>
      <c r="AD282" s="917"/>
      <c r="AE282" s="917"/>
      <c r="AF282" s="917"/>
      <c r="AG282" s="917"/>
      <c r="AH282" s="917"/>
      <c r="AI282" s="917"/>
      <c r="AJ282" s="917"/>
      <c r="AK282" s="917"/>
      <c r="AL282" s="917"/>
      <c r="AM282" s="917"/>
      <c r="AN282" s="917"/>
      <c r="AO282" s="917"/>
    </row>
    <row r="283" spans="1:41" s="913" customFormat="1" ht="15.95" hidden="1" customHeight="1">
      <c r="A283" s="1248"/>
      <c r="B283" s="915"/>
      <c r="C283" s="1251"/>
      <c r="D283" s="1251"/>
      <c r="E283" s="1251"/>
      <c r="F283" s="1251"/>
      <c r="G283" s="1251"/>
      <c r="H283" s="1251"/>
      <c r="I283" s="1251"/>
      <c r="J283" s="1251"/>
      <c r="K283" s="1251"/>
      <c r="L283" s="915"/>
      <c r="M283" s="915"/>
      <c r="N283" s="916"/>
      <c r="O283" s="916"/>
      <c r="P283" s="916"/>
      <c r="Q283" s="1247"/>
      <c r="R283" s="1252"/>
      <c r="S283" s="1252"/>
      <c r="T283" s="1252"/>
      <c r="U283" s="1252"/>
      <c r="V283" s="1252"/>
      <c r="W283" s="1252"/>
      <c r="X283" s="1252"/>
      <c r="Y283" s="1252"/>
      <c r="Z283" s="1252"/>
      <c r="AA283" s="917"/>
      <c r="AB283" s="917"/>
      <c r="AC283" s="917"/>
      <c r="AD283" s="917"/>
      <c r="AE283" s="917"/>
      <c r="AF283" s="917"/>
      <c r="AG283" s="917"/>
      <c r="AH283" s="917"/>
      <c r="AI283" s="917"/>
      <c r="AJ283" s="917"/>
      <c r="AK283" s="917"/>
      <c r="AL283" s="917"/>
      <c r="AM283" s="917"/>
      <c r="AN283" s="917"/>
      <c r="AO283" s="917"/>
    </row>
    <row r="284" spans="1:41" s="913" customFormat="1" ht="15.95" hidden="1" customHeight="1">
      <c r="A284" s="1248"/>
      <c r="B284" s="915"/>
      <c r="C284" s="1251"/>
      <c r="D284" s="1251"/>
      <c r="E284" s="1251"/>
      <c r="F284" s="1251"/>
      <c r="G284" s="1251"/>
      <c r="H284" s="1251"/>
      <c r="I284" s="1251"/>
      <c r="J284" s="1251"/>
      <c r="K284" s="1251"/>
      <c r="L284" s="915"/>
      <c r="M284" s="915"/>
      <c r="N284" s="916"/>
      <c r="O284" s="916"/>
      <c r="P284" s="916"/>
      <c r="Q284" s="1247"/>
      <c r="R284" s="1252"/>
      <c r="S284" s="1252"/>
      <c r="T284" s="1252"/>
      <c r="U284" s="1252"/>
      <c r="V284" s="1252"/>
      <c r="W284" s="1252"/>
      <c r="X284" s="1252"/>
      <c r="Y284" s="1252"/>
      <c r="Z284" s="1252"/>
      <c r="AA284" s="917"/>
      <c r="AB284" s="917"/>
      <c r="AC284" s="917"/>
      <c r="AD284" s="917"/>
      <c r="AE284" s="917"/>
      <c r="AF284" s="917"/>
      <c r="AG284" s="917"/>
      <c r="AH284" s="917"/>
      <c r="AI284" s="917"/>
      <c r="AJ284" s="917"/>
      <c r="AK284" s="917"/>
      <c r="AL284" s="917"/>
      <c r="AM284" s="917"/>
      <c r="AN284" s="917"/>
      <c r="AO284" s="917"/>
    </row>
    <row r="285" spans="1:41" s="913" customFormat="1" ht="15.95" hidden="1" customHeight="1">
      <c r="A285" s="1248"/>
      <c r="B285" s="915"/>
      <c r="C285" s="1251"/>
      <c r="D285" s="1251"/>
      <c r="E285" s="1251"/>
      <c r="F285" s="1251"/>
      <c r="G285" s="1251"/>
      <c r="H285" s="1251"/>
      <c r="I285" s="1251"/>
      <c r="J285" s="1251"/>
      <c r="K285" s="1251"/>
      <c r="L285" s="915"/>
      <c r="M285" s="915"/>
      <c r="N285" s="916"/>
      <c r="O285" s="916"/>
      <c r="P285" s="916"/>
      <c r="Q285" s="1247"/>
      <c r="R285" s="1252"/>
      <c r="S285" s="1252"/>
      <c r="T285" s="1252"/>
      <c r="U285" s="1252"/>
      <c r="V285" s="1252"/>
      <c r="W285" s="1252"/>
      <c r="X285" s="1252"/>
      <c r="Y285" s="1252"/>
      <c r="Z285" s="1252"/>
      <c r="AA285" s="917"/>
      <c r="AB285" s="917"/>
      <c r="AC285" s="917"/>
      <c r="AD285" s="917"/>
      <c r="AE285" s="917"/>
      <c r="AF285" s="917"/>
      <c r="AG285" s="917"/>
      <c r="AH285" s="917"/>
      <c r="AI285" s="917"/>
      <c r="AJ285" s="917"/>
      <c r="AK285" s="917"/>
      <c r="AL285" s="917"/>
      <c r="AM285" s="917"/>
      <c r="AN285" s="917"/>
      <c r="AO285" s="917"/>
    </row>
    <row r="286" spans="1:41" s="913" customFormat="1" ht="15.95" hidden="1" customHeight="1">
      <c r="A286" s="1248"/>
      <c r="B286" s="915"/>
      <c r="C286" s="1251"/>
      <c r="D286" s="1251"/>
      <c r="E286" s="1251"/>
      <c r="F286" s="1251"/>
      <c r="G286" s="1251"/>
      <c r="H286" s="1251"/>
      <c r="I286" s="1251"/>
      <c r="J286" s="1251"/>
      <c r="K286" s="1251"/>
      <c r="L286" s="915"/>
      <c r="M286" s="915"/>
      <c r="N286" s="916"/>
      <c r="O286" s="916"/>
      <c r="P286" s="916"/>
      <c r="Q286" s="1247"/>
      <c r="R286" s="1252"/>
      <c r="S286" s="1252"/>
      <c r="T286" s="1252"/>
      <c r="U286" s="1252"/>
      <c r="V286" s="1252"/>
      <c r="W286" s="1252"/>
      <c r="X286" s="1252"/>
      <c r="Y286" s="1252"/>
      <c r="Z286" s="1252"/>
      <c r="AA286" s="917"/>
      <c r="AB286" s="917"/>
      <c r="AC286" s="917"/>
      <c r="AD286" s="917"/>
      <c r="AE286" s="917"/>
      <c r="AF286" s="917"/>
      <c r="AG286" s="917"/>
      <c r="AH286" s="917"/>
      <c r="AI286" s="917"/>
      <c r="AJ286" s="917"/>
      <c r="AK286" s="917"/>
      <c r="AL286" s="917"/>
      <c r="AM286" s="917"/>
      <c r="AN286" s="917"/>
      <c r="AO286" s="917"/>
    </row>
    <row r="287" spans="1:41" s="913" customFormat="1" ht="15.95" hidden="1" customHeight="1">
      <c r="A287" s="1248"/>
      <c r="B287" s="915"/>
      <c r="C287" s="1251"/>
      <c r="D287" s="1251"/>
      <c r="E287" s="1251"/>
      <c r="F287" s="1251"/>
      <c r="G287" s="1251"/>
      <c r="H287" s="1251"/>
      <c r="I287" s="1251"/>
      <c r="J287" s="1251"/>
      <c r="K287" s="1251"/>
      <c r="L287" s="915"/>
      <c r="M287" s="915"/>
      <c r="N287" s="916"/>
      <c r="O287" s="916"/>
      <c r="P287" s="916"/>
      <c r="Q287" s="1247"/>
      <c r="R287" s="1252"/>
      <c r="S287" s="1252"/>
      <c r="T287" s="1252"/>
      <c r="U287" s="1252"/>
      <c r="V287" s="1252"/>
      <c r="W287" s="1252"/>
      <c r="X287" s="1252"/>
      <c r="Y287" s="1252"/>
      <c r="Z287" s="1252"/>
      <c r="AA287" s="917"/>
      <c r="AB287" s="917"/>
      <c r="AC287" s="917"/>
      <c r="AD287" s="917"/>
      <c r="AE287" s="917"/>
      <c r="AF287" s="917"/>
      <c r="AG287" s="917"/>
      <c r="AH287" s="917"/>
      <c r="AI287" s="917"/>
      <c r="AJ287" s="917"/>
      <c r="AK287" s="917"/>
      <c r="AL287" s="917"/>
      <c r="AM287" s="917"/>
      <c r="AN287" s="917"/>
      <c r="AO287" s="917"/>
    </row>
    <row r="288" spans="1:41" s="913" customFormat="1" ht="15.95" hidden="1" customHeight="1">
      <c r="A288" s="1248"/>
      <c r="B288" s="915"/>
      <c r="C288" s="1251"/>
      <c r="D288" s="1251"/>
      <c r="E288" s="1251"/>
      <c r="F288" s="1251"/>
      <c r="G288" s="1251"/>
      <c r="H288" s="1251"/>
      <c r="I288" s="1251"/>
      <c r="J288" s="1251"/>
      <c r="K288" s="1251"/>
      <c r="L288" s="915"/>
      <c r="M288" s="915"/>
      <c r="N288" s="916"/>
      <c r="O288" s="916"/>
      <c r="P288" s="916"/>
      <c r="Q288" s="1247"/>
      <c r="R288" s="1252"/>
      <c r="S288" s="1252"/>
      <c r="T288" s="1252"/>
      <c r="U288" s="1252"/>
      <c r="V288" s="1252"/>
      <c r="W288" s="1252"/>
      <c r="X288" s="1252"/>
      <c r="Y288" s="1252"/>
      <c r="Z288" s="1252"/>
      <c r="AA288" s="917"/>
      <c r="AB288" s="917"/>
      <c r="AC288" s="917"/>
      <c r="AD288" s="917"/>
      <c r="AE288" s="917"/>
      <c r="AF288" s="917"/>
      <c r="AG288" s="917"/>
      <c r="AH288" s="917"/>
      <c r="AI288" s="917"/>
      <c r="AJ288" s="917"/>
      <c r="AK288" s="917"/>
      <c r="AL288" s="917"/>
      <c r="AM288" s="917"/>
      <c r="AN288" s="917"/>
      <c r="AO288" s="917"/>
    </row>
    <row r="289" spans="1:41" s="913" customFormat="1" ht="15.95" hidden="1" customHeight="1">
      <c r="A289" s="1248"/>
      <c r="B289" s="915"/>
      <c r="C289" s="1251"/>
      <c r="D289" s="1251"/>
      <c r="E289" s="1251"/>
      <c r="F289" s="1251"/>
      <c r="G289" s="1251"/>
      <c r="H289" s="1251"/>
      <c r="I289" s="1251"/>
      <c r="J289" s="1251"/>
      <c r="K289" s="1251"/>
      <c r="L289" s="915"/>
      <c r="M289" s="915"/>
      <c r="N289" s="916"/>
      <c r="O289" s="916"/>
      <c r="P289" s="916"/>
      <c r="Q289" s="1247"/>
      <c r="R289" s="1252"/>
      <c r="S289" s="1252"/>
      <c r="T289" s="1252"/>
      <c r="U289" s="1252"/>
      <c r="V289" s="1252"/>
      <c r="W289" s="1252"/>
      <c r="X289" s="1252"/>
      <c r="Y289" s="1252"/>
      <c r="Z289" s="1252"/>
      <c r="AA289" s="917"/>
      <c r="AB289" s="917"/>
      <c r="AC289" s="917"/>
      <c r="AD289" s="917"/>
      <c r="AE289" s="917"/>
      <c r="AF289" s="917"/>
      <c r="AG289" s="917"/>
      <c r="AH289" s="917"/>
      <c r="AI289" s="917"/>
      <c r="AJ289" s="917"/>
      <c r="AK289" s="917"/>
      <c r="AL289" s="917"/>
      <c r="AM289" s="917"/>
      <c r="AN289" s="917"/>
      <c r="AO289" s="917"/>
    </row>
    <row r="290" spans="1:41" s="913" customFormat="1" ht="15.95" hidden="1" customHeight="1">
      <c r="A290" s="1248"/>
      <c r="B290" s="915"/>
      <c r="C290" s="1251"/>
      <c r="D290" s="1251"/>
      <c r="E290" s="1251"/>
      <c r="F290" s="1251"/>
      <c r="G290" s="1251"/>
      <c r="H290" s="1251"/>
      <c r="I290" s="1251"/>
      <c r="J290" s="1251"/>
      <c r="K290" s="1251"/>
      <c r="L290" s="915"/>
      <c r="M290" s="915"/>
      <c r="N290" s="916"/>
      <c r="O290" s="916"/>
      <c r="P290" s="916"/>
      <c r="Q290" s="1247"/>
      <c r="R290" s="1252"/>
      <c r="S290" s="1252"/>
      <c r="T290" s="1252"/>
      <c r="U290" s="1252"/>
      <c r="V290" s="1252"/>
      <c r="W290" s="1252"/>
      <c r="X290" s="1252"/>
      <c r="Y290" s="1252"/>
      <c r="Z290" s="1252"/>
      <c r="AA290" s="917"/>
      <c r="AB290" s="917"/>
      <c r="AC290" s="917"/>
      <c r="AD290" s="917"/>
      <c r="AE290" s="917"/>
      <c r="AF290" s="917"/>
      <c r="AG290" s="917"/>
      <c r="AH290" s="917"/>
      <c r="AI290" s="917"/>
      <c r="AJ290" s="917"/>
      <c r="AK290" s="917"/>
      <c r="AL290" s="917"/>
      <c r="AM290" s="917"/>
      <c r="AN290" s="917"/>
      <c r="AO290" s="917"/>
    </row>
    <row r="291" spans="1:41" s="913" customFormat="1" ht="15.95" hidden="1" customHeight="1">
      <c r="A291" s="1248"/>
      <c r="B291" s="915"/>
      <c r="C291" s="1251"/>
      <c r="D291" s="1251"/>
      <c r="E291" s="1251"/>
      <c r="F291" s="1251"/>
      <c r="G291" s="1251"/>
      <c r="H291" s="1251"/>
      <c r="I291" s="1251"/>
      <c r="J291" s="1251"/>
      <c r="K291" s="1251"/>
      <c r="L291" s="915"/>
      <c r="M291" s="915"/>
      <c r="N291" s="916"/>
      <c r="O291" s="916"/>
      <c r="P291" s="916"/>
      <c r="Q291" s="1247"/>
      <c r="R291" s="1252"/>
      <c r="S291" s="1252"/>
      <c r="T291" s="1252"/>
      <c r="U291" s="1252"/>
      <c r="V291" s="1252"/>
      <c r="W291" s="1252"/>
      <c r="X291" s="1252"/>
      <c r="Y291" s="1252"/>
      <c r="Z291" s="1252"/>
      <c r="AA291" s="917"/>
      <c r="AB291" s="917"/>
      <c r="AC291" s="917"/>
      <c r="AD291" s="917"/>
      <c r="AE291" s="917"/>
      <c r="AF291" s="917"/>
      <c r="AG291" s="917"/>
      <c r="AH291" s="917"/>
      <c r="AI291" s="917"/>
      <c r="AJ291" s="917"/>
      <c r="AK291" s="917"/>
      <c r="AL291" s="917"/>
      <c r="AM291" s="917"/>
      <c r="AN291" s="917"/>
      <c r="AO291" s="917"/>
    </row>
    <row r="292" spans="1:41" s="913" customFormat="1" ht="15.95" hidden="1" customHeight="1">
      <c r="A292" s="1248"/>
      <c r="B292" s="915"/>
      <c r="C292" s="1251"/>
      <c r="D292" s="1251"/>
      <c r="E292" s="1251"/>
      <c r="F292" s="1251"/>
      <c r="G292" s="1251"/>
      <c r="H292" s="1251"/>
      <c r="I292" s="1251"/>
      <c r="J292" s="1251"/>
      <c r="K292" s="1251"/>
      <c r="L292" s="915"/>
      <c r="M292" s="915"/>
      <c r="N292" s="916"/>
      <c r="O292" s="916"/>
      <c r="P292" s="916"/>
      <c r="Q292" s="1247"/>
      <c r="R292" s="1252"/>
      <c r="S292" s="1252"/>
      <c r="T292" s="1252"/>
      <c r="U292" s="1252"/>
      <c r="V292" s="1252"/>
      <c r="W292" s="1252"/>
      <c r="X292" s="1252"/>
      <c r="Y292" s="1252"/>
      <c r="Z292" s="1252"/>
      <c r="AA292" s="917"/>
      <c r="AB292" s="917"/>
      <c r="AC292" s="917"/>
      <c r="AD292" s="917"/>
      <c r="AE292" s="917"/>
      <c r="AF292" s="917"/>
      <c r="AG292" s="917"/>
      <c r="AH292" s="917"/>
      <c r="AI292" s="917"/>
      <c r="AJ292" s="917"/>
      <c r="AK292" s="917"/>
      <c r="AL292" s="917"/>
      <c r="AM292" s="917"/>
      <c r="AN292" s="917"/>
      <c r="AO292" s="917"/>
    </row>
    <row r="293" spans="1:41" s="913" customFormat="1" ht="15.95" hidden="1" customHeight="1">
      <c r="A293" s="1248"/>
      <c r="B293" s="915"/>
      <c r="C293" s="1251"/>
      <c r="D293" s="1251"/>
      <c r="E293" s="1251"/>
      <c r="F293" s="1251"/>
      <c r="G293" s="1251"/>
      <c r="H293" s="1251"/>
      <c r="I293" s="1251"/>
      <c r="J293" s="1251"/>
      <c r="K293" s="1251"/>
      <c r="L293" s="915"/>
      <c r="M293" s="915"/>
      <c r="N293" s="916"/>
      <c r="O293" s="916"/>
      <c r="P293" s="916"/>
      <c r="Q293" s="1247"/>
      <c r="R293" s="1252"/>
      <c r="S293" s="1252"/>
      <c r="T293" s="1252"/>
      <c r="U293" s="1252"/>
      <c r="V293" s="1252"/>
      <c r="W293" s="1252"/>
      <c r="X293" s="1252"/>
      <c r="Y293" s="1252"/>
      <c r="Z293" s="1252"/>
      <c r="AA293" s="917"/>
      <c r="AB293" s="917"/>
      <c r="AC293" s="917"/>
      <c r="AD293" s="917"/>
      <c r="AE293" s="917"/>
      <c r="AF293" s="917"/>
      <c r="AG293" s="917"/>
      <c r="AH293" s="917"/>
      <c r="AI293" s="917"/>
      <c r="AJ293" s="917"/>
      <c r="AK293" s="917"/>
      <c r="AL293" s="917"/>
      <c r="AM293" s="917"/>
      <c r="AN293" s="917"/>
      <c r="AO293" s="917"/>
    </row>
    <row r="294" spans="1:41" s="913" customFormat="1" ht="15.95" hidden="1" customHeight="1">
      <c r="A294" s="1248"/>
      <c r="B294" s="915"/>
      <c r="C294" s="1251"/>
      <c r="D294" s="1251"/>
      <c r="E294" s="1251"/>
      <c r="F294" s="1251"/>
      <c r="G294" s="1251"/>
      <c r="H294" s="1251"/>
      <c r="I294" s="1251"/>
      <c r="J294" s="1251"/>
      <c r="K294" s="1251"/>
      <c r="L294" s="915"/>
      <c r="M294" s="915"/>
      <c r="N294" s="916"/>
      <c r="O294" s="916"/>
      <c r="P294" s="916"/>
      <c r="Q294" s="1247"/>
      <c r="R294" s="1252"/>
      <c r="S294" s="1252"/>
      <c r="T294" s="1252"/>
      <c r="U294" s="1252"/>
      <c r="V294" s="1252"/>
      <c r="W294" s="1252"/>
      <c r="X294" s="1252"/>
      <c r="Y294" s="1252"/>
      <c r="Z294" s="1252"/>
      <c r="AA294" s="917"/>
      <c r="AB294" s="917"/>
      <c r="AC294" s="917"/>
      <c r="AD294" s="917"/>
      <c r="AE294" s="917"/>
      <c r="AF294" s="917"/>
      <c r="AG294" s="917"/>
      <c r="AH294" s="917"/>
      <c r="AI294" s="917"/>
      <c r="AJ294" s="917"/>
      <c r="AK294" s="917"/>
      <c r="AL294" s="917"/>
      <c r="AM294" s="917"/>
      <c r="AN294" s="917"/>
      <c r="AO294" s="917"/>
    </row>
    <row r="295" spans="1:41" s="913" customFormat="1" ht="15.95" hidden="1" customHeight="1">
      <c r="A295" s="1248"/>
      <c r="B295" s="915"/>
      <c r="C295" s="1251"/>
      <c r="D295" s="1251"/>
      <c r="E295" s="1251"/>
      <c r="F295" s="1251"/>
      <c r="G295" s="1251"/>
      <c r="H295" s="1251"/>
      <c r="I295" s="1251"/>
      <c r="J295" s="1251"/>
      <c r="K295" s="1251"/>
      <c r="L295" s="915"/>
      <c r="M295" s="915"/>
      <c r="N295" s="916"/>
      <c r="O295" s="916"/>
      <c r="P295" s="916"/>
      <c r="Q295" s="1247"/>
      <c r="R295" s="1252"/>
      <c r="S295" s="1252"/>
      <c r="T295" s="1252"/>
      <c r="U295" s="1252"/>
      <c r="V295" s="1252"/>
      <c r="W295" s="1252"/>
      <c r="X295" s="1252"/>
      <c r="Y295" s="1252"/>
      <c r="Z295" s="1252"/>
      <c r="AA295" s="917"/>
      <c r="AB295" s="917"/>
      <c r="AC295" s="917"/>
      <c r="AD295" s="917"/>
      <c r="AE295" s="917"/>
      <c r="AF295" s="917"/>
      <c r="AG295" s="917"/>
      <c r="AH295" s="917"/>
      <c r="AI295" s="917"/>
      <c r="AJ295" s="917"/>
      <c r="AK295" s="917"/>
      <c r="AL295" s="917"/>
      <c r="AM295" s="917"/>
      <c r="AN295" s="917"/>
      <c r="AO295" s="917"/>
    </row>
    <row r="296" spans="1:41" s="913" customFormat="1" ht="15.95" hidden="1" customHeight="1">
      <c r="A296" s="1248"/>
      <c r="B296" s="915"/>
      <c r="C296" s="1251"/>
      <c r="D296" s="1251"/>
      <c r="E296" s="1251"/>
      <c r="F296" s="1251"/>
      <c r="G296" s="1251"/>
      <c r="H296" s="1251"/>
      <c r="I296" s="1251"/>
      <c r="J296" s="1251"/>
      <c r="K296" s="1251"/>
      <c r="L296" s="915"/>
      <c r="M296" s="915"/>
      <c r="N296" s="916"/>
      <c r="O296" s="916"/>
      <c r="P296" s="916"/>
      <c r="Q296" s="1247"/>
      <c r="R296" s="1252"/>
      <c r="S296" s="1252"/>
      <c r="T296" s="1252"/>
      <c r="U296" s="1252"/>
      <c r="V296" s="1252"/>
      <c r="W296" s="1252"/>
      <c r="X296" s="1252"/>
      <c r="Y296" s="1252"/>
      <c r="Z296" s="1252"/>
      <c r="AA296" s="917"/>
      <c r="AB296" s="917"/>
      <c r="AC296" s="917"/>
      <c r="AD296" s="917"/>
      <c r="AE296" s="917"/>
      <c r="AF296" s="917"/>
      <c r="AG296" s="917"/>
      <c r="AH296" s="917"/>
      <c r="AI296" s="917"/>
      <c r="AJ296" s="917"/>
      <c r="AK296" s="917"/>
      <c r="AL296" s="917"/>
      <c r="AM296" s="917"/>
      <c r="AN296" s="917"/>
      <c r="AO296" s="917"/>
    </row>
    <row r="297" spans="1:41" s="913" customFormat="1" ht="15.95" hidden="1" customHeight="1">
      <c r="A297" s="1248"/>
      <c r="B297" s="915"/>
      <c r="C297" s="1251"/>
      <c r="D297" s="1251"/>
      <c r="E297" s="1251"/>
      <c r="F297" s="1251"/>
      <c r="G297" s="1251"/>
      <c r="H297" s="1251"/>
      <c r="I297" s="1251"/>
      <c r="J297" s="1251"/>
      <c r="K297" s="1251"/>
      <c r="L297" s="915"/>
      <c r="M297" s="915"/>
      <c r="N297" s="916"/>
      <c r="O297" s="916"/>
      <c r="P297" s="916"/>
      <c r="Q297" s="1247"/>
      <c r="R297" s="1252"/>
      <c r="S297" s="1252"/>
      <c r="T297" s="1252"/>
      <c r="U297" s="1252"/>
      <c r="V297" s="1252"/>
      <c r="W297" s="1252"/>
      <c r="X297" s="1252"/>
      <c r="Y297" s="1252"/>
      <c r="Z297" s="1252"/>
      <c r="AA297" s="917"/>
      <c r="AB297" s="917"/>
      <c r="AC297" s="917"/>
      <c r="AD297" s="917"/>
      <c r="AE297" s="917"/>
      <c r="AF297" s="917"/>
      <c r="AG297" s="917"/>
      <c r="AH297" s="917"/>
      <c r="AI297" s="917"/>
      <c r="AJ297" s="917"/>
      <c r="AK297" s="917"/>
      <c r="AL297" s="917"/>
      <c r="AM297" s="917"/>
      <c r="AN297" s="917"/>
      <c r="AO297" s="917"/>
    </row>
    <row r="298" spans="1:41" s="913" customFormat="1" ht="15.95" hidden="1" customHeight="1">
      <c r="A298" s="1248"/>
      <c r="B298" s="915"/>
      <c r="C298" s="1251"/>
      <c r="D298" s="1251"/>
      <c r="E298" s="1251"/>
      <c r="F298" s="1251"/>
      <c r="G298" s="1251"/>
      <c r="H298" s="1251"/>
      <c r="I298" s="1251"/>
      <c r="J298" s="1251"/>
      <c r="K298" s="1251"/>
      <c r="L298" s="915"/>
      <c r="M298" s="915"/>
      <c r="N298" s="916"/>
      <c r="O298" s="916"/>
      <c r="P298" s="916"/>
      <c r="Q298" s="1247"/>
      <c r="R298" s="1252"/>
      <c r="S298" s="1252"/>
      <c r="T298" s="1252"/>
      <c r="U298" s="1252"/>
      <c r="V298" s="1252"/>
      <c r="W298" s="1252"/>
      <c r="X298" s="1252"/>
      <c r="Y298" s="1252"/>
      <c r="Z298" s="1252"/>
      <c r="AA298" s="917"/>
      <c r="AB298" s="917"/>
      <c r="AC298" s="917"/>
      <c r="AD298" s="917"/>
      <c r="AE298" s="917"/>
      <c r="AF298" s="917"/>
      <c r="AG298" s="917"/>
      <c r="AH298" s="917"/>
      <c r="AI298" s="917"/>
      <c r="AJ298" s="917"/>
      <c r="AK298" s="917"/>
      <c r="AL298" s="917"/>
      <c r="AM298" s="917"/>
      <c r="AN298" s="917"/>
      <c r="AO298" s="917"/>
    </row>
    <row r="299" spans="1:41" s="913" customFormat="1" ht="15.95" hidden="1" customHeight="1">
      <c r="A299" s="1248"/>
      <c r="B299" s="915"/>
      <c r="C299" s="1251"/>
      <c r="D299" s="1251"/>
      <c r="E299" s="1251"/>
      <c r="F299" s="1251"/>
      <c r="G299" s="1251"/>
      <c r="H299" s="1251"/>
      <c r="I299" s="1251"/>
      <c r="J299" s="1251"/>
      <c r="K299" s="1251"/>
      <c r="L299" s="915"/>
      <c r="M299" s="915"/>
      <c r="N299" s="916"/>
      <c r="O299" s="916"/>
      <c r="P299" s="916"/>
      <c r="Q299" s="1247"/>
      <c r="R299" s="1252"/>
      <c r="S299" s="1252"/>
      <c r="T299" s="1252"/>
      <c r="U299" s="1252"/>
      <c r="V299" s="1252"/>
      <c r="W299" s="1252"/>
      <c r="X299" s="1252"/>
      <c r="Y299" s="1252"/>
      <c r="Z299" s="1252"/>
      <c r="AA299" s="917"/>
      <c r="AB299" s="917"/>
      <c r="AC299" s="917"/>
      <c r="AD299" s="917"/>
      <c r="AE299" s="917"/>
      <c r="AF299" s="917"/>
      <c r="AG299" s="917"/>
      <c r="AH299" s="917"/>
      <c r="AI299" s="917"/>
      <c r="AJ299" s="917"/>
      <c r="AK299" s="917"/>
      <c r="AL299" s="917"/>
      <c r="AM299" s="917"/>
      <c r="AN299" s="917"/>
      <c r="AO299" s="917"/>
    </row>
    <row r="300" spans="1:41" s="913" customFormat="1" ht="15.95" hidden="1" customHeight="1">
      <c r="A300" s="1248"/>
      <c r="B300" s="915"/>
      <c r="C300" s="1251"/>
      <c r="D300" s="1251"/>
      <c r="E300" s="1251"/>
      <c r="F300" s="1251"/>
      <c r="G300" s="1251"/>
      <c r="H300" s="1251"/>
      <c r="I300" s="1251"/>
      <c r="J300" s="1251"/>
      <c r="K300" s="1251"/>
      <c r="L300" s="915"/>
      <c r="M300" s="915"/>
      <c r="N300" s="916"/>
      <c r="O300" s="916"/>
      <c r="P300" s="916"/>
      <c r="Q300" s="1247"/>
      <c r="R300" s="1252"/>
      <c r="S300" s="1252"/>
      <c r="T300" s="1252"/>
      <c r="U300" s="1252"/>
      <c r="V300" s="1252"/>
      <c r="W300" s="1252"/>
      <c r="X300" s="1252"/>
      <c r="Y300" s="1252"/>
      <c r="Z300" s="1252"/>
      <c r="AA300" s="917"/>
      <c r="AB300" s="917"/>
      <c r="AC300" s="917"/>
      <c r="AD300" s="917"/>
      <c r="AE300" s="917"/>
      <c r="AF300" s="917"/>
      <c r="AG300" s="917"/>
      <c r="AH300" s="917"/>
      <c r="AI300" s="917"/>
      <c r="AJ300" s="917"/>
      <c r="AK300" s="917"/>
      <c r="AL300" s="917"/>
      <c r="AM300" s="917"/>
      <c r="AN300" s="917"/>
      <c r="AO300" s="917"/>
    </row>
    <row r="301" spans="1:41" s="913" customFormat="1" ht="15.95" hidden="1" customHeight="1">
      <c r="A301" s="1266"/>
      <c r="B301" s="1267"/>
      <c r="C301" s="1268"/>
      <c r="D301" s="1268"/>
      <c r="E301" s="1268"/>
      <c r="F301" s="1268"/>
      <c r="G301" s="1268"/>
      <c r="H301" s="1268"/>
      <c r="I301" s="1268"/>
      <c r="J301" s="1268"/>
      <c r="K301" s="1268"/>
      <c r="L301" s="1267"/>
      <c r="M301" s="1267"/>
      <c r="N301" s="916"/>
      <c r="O301" s="916"/>
      <c r="P301" s="916"/>
      <c r="Q301" s="1247"/>
      <c r="R301" s="917"/>
      <c r="S301" s="917"/>
      <c r="T301" s="917"/>
      <c r="U301" s="917"/>
      <c r="V301" s="917"/>
      <c r="W301" s="917"/>
      <c r="X301" s="917"/>
      <c r="Y301" s="917"/>
      <c r="Z301" s="917"/>
      <c r="AA301" s="917"/>
      <c r="AB301" s="917"/>
      <c r="AC301" s="917"/>
      <c r="AD301" s="917"/>
      <c r="AE301" s="917"/>
    </row>
    <row r="302" spans="1:41" s="913" customFormat="1" ht="15.95" customHeight="1">
      <c r="A302" s="1948" t="s">
        <v>884</v>
      </c>
      <c r="B302" s="1272" t="s">
        <v>803</v>
      </c>
      <c r="C302" s="1273">
        <f t="shared" ref="C302:L302" si="86">SUMIF($B$180:$B$301,"차도",C$180:C$301)</f>
        <v>34</v>
      </c>
      <c r="D302" s="1273">
        <f t="shared" si="86"/>
        <v>24</v>
      </c>
      <c r="E302" s="1273">
        <f t="shared" si="86"/>
        <v>27</v>
      </c>
      <c r="F302" s="1273">
        <f t="shared" si="86"/>
        <v>22</v>
      </c>
      <c r="G302" s="1273">
        <f t="shared" si="86"/>
        <v>0</v>
      </c>
      <c r="H302" s="1273">
        <f t="shared" si="86"/>
        <v>0</v>
      </c>
      <c r="I302" s="1273">
        <f t="shared" si="86"/>
        <v>0</v>
      </c>
      <c r="J302" s="1273">
        <f t="shared" si="86"/>
        <v>0</v>
      </c>
      <c r="K302" s="1273">
        <f t="shared" si="86"/>
        <v>0</v>
      </c>
      <c r="L302" s="1273">
        <f t="shared" si="86"/>
        <v>0</v>
      </c>
      <c r="M302" s="1274"/>
      <c r="N302" s="916">
        <f>SUM(C302:M302)</f>
        <v>107</v>
      </c>
      <c r="O302" s="916"/>
      <c r="P302" s="916"/>
      <c r="Q302" s="918">
        <f>SUM(C302:L303)</f>
        <v>187</v>
      </c>
      <c r="R302" s="1262"/>
      <c r="S302" s="1262">
        <f t="shared" ref="S302:Z302" si="87">SUM(S180:S301)</f>
        <v>48</v>
      </c>
      <c r="T302" s="1262">
        <f t="shared" si="87"/>
        <v>140</v>
      </c>
      <c r="U302" s="1262">
        <f t="shared" si="87"/>
        <v>0</v>
      </c>
      <c r="V302" s="1262">
        <f t="shared" si="87"/>
        <v>79</v>
      </c>
      <c r="W302" s="1262">
        <f t="shared" si="87"/>
        <v>107</v>
      </c>
      <c r="X302" s="1262">
        <f t="shared" si="87"/>
        <v>1</v>
      </c>
      <c r="Y302" s="1262">
        <f t="shared" si="87"/>
        <v>0</v>
      </c>
      <c r="Z302" s="1262">
        <f t="shared" si="87"/>
        <v>0</v>
      </c>
      <c r="AA302" s="1262"/>
      <c r="AB302" s="1262"/>
      <c r="AC302" s="1262"/>
      <c r="AD302" s="1262"/>
      <c r="AE302" s="1262"/>
    </row>
    <row r="303" spans="1:41" ht="15.95" customHeight="1">
      <c r="A303" s="1949"/>
      <c r="B303" s="1275" t="s">
        <v>806</v>
      </c>
      <c r="C303" s="1276">
        <f>SUMIF($B$180:$B$301,"보도",C$180:C$301)</f>
        <v>11</v>
      </c>
      <c r="D303" s="1276">
        <f t="shared" ref="D303:L303" si="88">SUMIF($B$180:$B$301,"보도",D$180:D$301)</f>
        <v>10</v>
      </c>
      <c r="E303" s="1276">
        <f t="shared" si="88"/>
        <v>31</v>
      </c>
      <c r="F303" s="1276">
        <f t="shared" si="88"/>
        <v>27</v>
      </c>
      <c r="G303" s="1276">
        <f t="shared" si="88"/>
        <v>0</v>
      </c>
      <c r="H303" s="1276">
        <f t="shared" si="88"/>
        <v>1</v>
      </c>
      <c r="I303" s="1276">
        <f t="shared" si="88"/>
        <v>0</v>
      </c>
      <c r="J303" s="1276">
        <f t="shared" si="88"/>
        <v>0</v>
      </c>
      <c r="K303" s="1276">
        <f t="shared" si="88"/>
        <v>0</v>
      </c>
      <c r="L303" s="1276">
        <f t="shared" si="88"/>
        <v>0</v>
      </c>
      <c r="M303" s="1277"/>
      <c r="N303" s="916">
        <f>SUM(C303:M303)</f>
        <v>80</v>
      </c>
      <c r="O303" s="916"/>
      <c r="P303" s="916"/>
      <c r="Q303" s="913"/>
      <c r="R303" s="1263">
        <f>SUM(S303:U303)</f>
        <v>376</v>
      </c>
      <c r="S303" s="1263">
        <f>S178+S302</f>
        <v>236</v>
      </c>
      <c r="T303" s="1263">
        <f>T178+T302</f>
        <v>140</v>
      </c>
      <c r="U303" s="1263">
        <f>U178+U302</f>
        <v>0</v>
      </c>
      <c r="V303" s="1263"/>
      <c r="W303" s="1263"/>
      <c r="X303" s="1263"/>
      <c r="Y303" s="1263"/>
      <c r="Z303" s="1263"/>
      <c r="AA303" s="1263"/>
      <c r="AB303" s="1263"/>
      <c r="AC303" s="1263"/>
      <c r="AD303" s="1263"/>
      <c r="AE303" s="1263"/>
    </row>
    <row r="304" spans="1:41" ht="15" customHeight="1">
      <c r="A304" s="970" t="s">
        <v>45</v>
      </c>
      <c r="B304" s="1278"/>
      <c r="C304" s="1279">
        <f t="shared" ref="C304:L304" si="89">C178+C179+C302+C303</f>
        <v>51</v>
      </c>
      <c r="D304" s="1279">
        <f t="shared" si="89"/>
        <v>52</v>
      </c>
      <c r="E304" s="1279">
        <f t="shared" si="89"/>
        <v>130</v>
      </c>
      <c r="F304" s="1279">
        <f t="shared" si="89"/>
        <v>139</v>
      </c>
      <c r="G304" s="1279">
        <f t="shared" si="89"/>
        <v>1</v>
      </c>
      <c r="H304" s="1279">
        <f t="shared" si="89"/>
        <v>2</v>
      </c>
      <c r="I304" s="1279">
        <f t="shared" si="89"/>
        <v>0</v>
      </c>
      <c r="J304" s="1279">
        <f t="shared" si="89"/>
        <v>0</v>
      </c>
      <c r="K304" s="1279">
        <f t="shared" si="89"/>
        <v>0</v>
      </c>
      <c r="L304" s="1279">
        <f t="shared" si="89"/>
        <v>0</v>
      </c>
      <c r="M304" s="1280"/>
      <c r="Q304" s="918">
        <f>Q178+Q302</f>
        <v>375</v>
      </c>
      <c r="R304" s="1263">
        <f>SUM(C304:L304)</f>
        <v>375</v>
      </c>
      <c r="S304" s="1263">
        <f>R303-R304</f>
        <v>1</v>
      </c>
      <c r="T304" s="1263"/>
      <c r="U304" s="1263"/>
      <c r="V304" s="1263"/>
      <c r="W304" s="1263">
        <f>W178+W302</f>
        <v>269</v>
      </c>
      <c r="X304" s="1263">
        <f>X178+X302</f>
        <v>3</v>
      </c>
      <c r="Y304" s="1263">
        <f>Y178+Y302</f>
        <v>0</v>
      </c>
      <c r="Z304" s="1263">
        <f>Z178+Z302</f>
        <v>0</v>
      </c>
      <c r="AA304" s="1263"/>
      <c r="AB304" s="1263"/>
      <c r="AC304" s="1263"/>
      <c r="AD304" s="1263"/>
      <c r="AE304" s="1263"/>
    </row>
    <row r="305" spans="18:31" ht="15" customHeight="1">
      <c r="R305" s="1263"/>
      <c r="S305" s="1263"/>
      <c r="T305" s="1263"/>
      <c r="U305" s="1263"/>
      <c r="V305" s="1263"/>
      <c r="W305" s="1263"/>
      <c r="X305" s="1263"/>
      <c r="Y305" s="1263"/>
      <c r="Z305" s="1263"/>
      <c r="AA305" s="1263"/>
      <c r="AB305" s="1263"/>
      <c r="AC305" s="1263"/>
      <c r="AD305" s="1263"/>
      <c r="AE305" s="1263"/>
    </row>
  </sheetData>
  <autoFilter ref="A3:AF304" xr:uid="{00000000-0009-0000-0000-000025000000}"/>
  <mergeCells count="17">
    <mergeCell ref="A178:A179"/>
    <mergeCell ref="A302:A303"/>
    <mergeCell ref="Q2:Q3"/>
    <mergeCell ref="V2:Z2"/>
    <mergeCell ref="M1:M3"/>
    <mergeCell ref="R2:R3"/>
    <mergeCell ref="S2:T2"/>
    <mergeCell ref="U2:U3"/>
    <mergeCell ref="AA2:AO2"/>
    <mergeCell ref="G2:H2"/>
    <mergeCell ref="I2:J2"/>
    <mergeCell ref="A1:A3"/>
    <mergeCell ref="E2:F2"/>
    <mergeCell ref="K2:L2"/>
    <mergeCell ref="C2:D2"/>
    <mergeCell ref="C1:L1"/>
    <mergeCell ref="B1:B3"/>
  </mergeCells>
  <phoneticPr fontId="13" type="noConversion"/>
  <printOptions horizontalCentered="1" gridLines="1"/>
  <pageMargins left="0.78740157480314965" right="0.78740157480314965" top="0.98425196850393704" bottom="0.78740157480314965" header="0.59055118110236227" footer="0.51181102362204722"/>
  <pageSetup paperSize="9" scale="74" orientation="portrait" r:id="rId1"/>
  <headerFooter>
    <oddHeader xml:space="preserve">&amp;C&amp;"돋움,굵게"&amp;14오수맨홀 유입,유출수량산출(&amp;P/&amp;N) </oddHead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8" filterMode="1">
    <tabColor rgb="FFFFC000"/>
  </sheetPr>
  <dimension ref="A1:Q278"/>
  <sheetViews>
    <sheetView view="pageBreakPreview" zoomScaleNormal="70" zoomScaleSheetLayoutView="100" workbookViewId="0">
      <selection activeCell="L74" sqref="L74"/>
    </sheetView>
  </sheetViews>
  <sheetFormatPr defaultRowHeight="15" customHeight="1"/>
  <cols>
    <col min="1" max="1" width="17.33203125" style="1241" bestFit="1" customWidth="1"/>
    <col min="2" max="2" width="8.77734375" style="1241" customWidth="1"/>
    <col min="3" max="6" width="8.77734375" style="855" customWidth="1"/>
    <col min="7" max="7" width="9.77734375" style="1241" customWidth="1"/>
    <col min="8" max="8" width="8.88671875" style="798"/>
    <col min="9" max="9" width="24" style="1241" bestFit="1" customWidth="1"/>
    <col min="10" max="13" width="8.88671875" style="1241"/>
    <col min="14" max="16384" width="8.88671875" style="798"/>
  </cols>
  <sheetData>
    <row r="1" spans="1:17" s="797" customFormat="1" ht="15" customHeight="1">
      <c r="A1" s="1950" t="s">
        <v>802</v>
      </c>
      <c r="B1" s="1302" t="s">
        <v>213</v>
      </c>
      <c r="C1" s="1216" t="s">
        <v>214</v>
      </c>
      <c r="D1" s="1216"/>
      <c r="E1" s="1216"/>
      <c r="F1" s="1216"/>
      <c r="G1" s="1290" t="s">
        <v>34</v>
      </c>
      <c r="I1" s="1217" t="s">
        <v>935</v>
      </c>
      <c r="J1" s="1217"/>
      <c r="K1" s="1217"/>
      <c r="L1" s="1217"/>
      <c r="M1" s="1217"/>
    </row>
    <row r="2" spans="1:17" s="797" customFormat="1" ht="15" hidden="1" customHeight="1">
      <c r="A2" s="1951"/>
      <c r="B2" s="1302"/>
      <c r="C2" s="1290" t="s">
        <v>216</v>
      </c>
      <c r="D2" s="1290"/>
      <c r="E2" s="1290" t="s">
        <v>336</v>
      </c>
      <c r="F2" s="1290"/>
      <c r="G2" s="1290"/>
      <c r="I2" s="1943" t="s">
        <v>31</v>
      </c>
      <c r="J2" s="1943" t="s">
        <v>32</v>
      </c>
      <c r="K2" s="1943" t="s">
        <v>656</v>
      </c>
      <c r="L2" s="1943"/>
      <c r="M2" s="1943" t="s">
        <v>657</v>
      </c>
    </row>
    <row r="3" spans="1:17" s="797" customFormat="1" ht="15" hidden="1" customHeight="1">
      <c r="A3" s="1951"/>
      <c r="B3" s="1954"/>
      <c r="C3" s="1219" t="s">
        <v>650</v>
      </c>
      <c r="D3" s="1219" t="s">
        <v>649</v>
      </c>
      <c r="E3" s="1219" t="s">
        <v>650</v>
      </c>
      <c r="F3" s="1219" t="s">
        <v>649</v>
      </c>
      <c r="G3" s="1219"/>
      <c r="I3" s="1943"/>
      <c r="J3" s="1943"/>
      <c r="K3" s="1217" t="s">
        <v>658</v>
      </c>
      <c r="L3" s="1217" t="s">
        <v>659</v>
      </c>
      <c r="M3" s="1943"/>
    </row>
    <row r="4" spans="1:17" s="797" customFormat="1" ht="15" hidden="1" customHeight="1">
      <c r="A4" s="1220" t="str">
        <f>I4</f>
        <v>소(국)2-어천4</v>
      </c>
      <c r="B4" s="1221" t="str">
        <f>J4</f>
        <v>M1-001</v>
      </c>
      <c r="C4" s="1261">
        <f t="shared" ref="C4:C37" si="0">IF($M4="보  도",$K4,0)</f>
        <v>0</v>
      </c>
      <c r="D4" s="1261">
        <f>IF($M4="차  도",$K4,0)</f>
        <v>1.71</v>
      </c>
      <c r="E4" s="1261"/>
      <c r="F4" s="1261"/>
      <c r="G4" s="1211" t="str">
        <f>IF(M4="보  도","보 도","차 도")</f>
        <v>차 도</v>
      </c>
      <c r="I4" s="1259" t="s">
        <v>1230</v>
      </c>
      <c r="J4" s="1259" t="s">
        <v>1231</v>
      </c>
      <c r="K4" s="1259">
        <v>1.71</v>
      </c>
      <c r="L4" s="1259"/>
      <c r="M4" s="1259" t="s">
        <v>1308</v>
      </c>
      <c r="P4" s="1223"/>
      <c r="Q4" s="1223"/>
    </row>
    <row r="5" spans="1:17" s="797" customFormat="1" ht="15" customHeight="1">
      <c r="A5" s="1220" t="str">
        <f t="shared" ref="A5:A37" si="1">I5</f>
        <v>소(국)2-어천4</v>
      </c>
      <c r="B5" s="1221" t="str">
        <f t="shared" ref="B5:B37" si="2">J5</f>
        <v>M1-002</v>
      </c>
      <c r="C5" s="1261">
        <f t="shared" si="0"/>
        <v>2.1</v>
      </c>
      <c r="D5" s="1261">
        <f t="shared" ref="D5:D38" si="3">IF($M5="차  도",$K5,0)</f>
        <v>0</v>
      </c>
      <c r="E5" s="1261"/>
      <c r="F5" s="1261"/>
      <c r="G5" s="1211" t="str">
        <f t="shared" ref="G5:G37" si="4">IF(M5="보  도","보 도","차 도")</f>
        <v>보 도</v>
      </c>
      <c r="I5" s="1259" t="s">
        <v>1230</v>
      </c>
      <c r="J5" s="1259" t="s">
        <v>1232</v>
      </c>
      <c r="K5" s="1259">
        <v>2.1</v>
      </c>
      <c r="L5" s="1259"/>
      <c r="M5" s="1259" t="s">
        <v>942</v>
      </c>
      <c r="P5" s="1223"/>
      <c r="Q5" s="1223"/>
    </row>
    <row r="6" spans="1:17" s="797" customFormat="1" ht="15" customHeight="1">
      <c r="A6" s="1220" t="str">
        <f t="shared" si="1"/>
        <v>A004~A008(2)</v>
      </c>
      <c r="B6" s="1221" t="str">
        <f t="shared" si="2"/>
        <v>M1-005</v>
      </c>
      <c r="C6" s="1261">
        <f t="shared" si="0"/>
        <v>1.34</v>
      </c>
      <c r="D6" s="1261">
        <f t="shared" si="3"/>
        <v>0</v>
      </c>
      <c r="E6" s="1261"/>
      <c r="F6" s="1261"/>
      <c r="G6" s="1211" t="str">
        <f t="shared" si="4"/>
        <v>보 도</v>
      </c>
      <c r="I6" s="1259" t="s">
        <v>1334</v>
      </c>
      <c r="J6" s="1259" t="s">
        <v>1335</v>
      </c>
      <c r="K6" s="1259">
        <v>1.34</v>
      </c>
      <c r="L6" s="1259"/>
      <c r="M6" s="1259" t="s">
        <v>942</v>
      </c>
      <c r="P6" s="1223"/>
      <c r="Q6" s="1223"/>
    </row>
    <row r="7" spans="1:17" s="797" customFormat="1" ht="15" customHeight="1">
      <c r="A7" s="1220" t="str">
        <f t="shared" si="1"/>
        <v>A004~A008(2)</v>
      </c>
      <c r="B7" s="1221" t="str">
        <f t="shared" si="2"/>
        <v>M1-006</v>
      </c>
      <c r="C7" s="1261">
        <f t="shared" si="0"/>
        <v>5.95</v>
      </c>
      <c r="D7" s="1261">
        <f t="shared" si="3"/>
        <v>0</v>
      </c>
      <c r="E7" s="1261"/>
      <c r="F7" s="1261"/>
      <c r="G7" s="1211" t="str">
        <f t="shared" si="4"/>
        <v>보 도</v>
      </c>
      <c r="I7" s="1259" t="s">
        <v>1334</v>
      </c>
      <c r="J7" s="1259" t="s">
        <v>1497</v>
      </c>
      <c r="K7" s="1259">
        <v>5.95</v>
      </c>
      <c r="L7" s="1259"/>
      <c r="M7" s="1259" t="s">
        <v>942</v>
      </c>
      <c r="P7" s="1223"/>
      <c r="Q7" s="1223"/>
    </row>
    <row r="8" spans="1:17" s="797" customFormat="1" ht="15" customHeight="1">
      <c r="A8" s="1220" t="str">
        <f t="shared" si="1"/>
        <v>중(집)2-어천1</v>
      </c>
      <c r="B8" s="1221" t="str">
        <f t="shared" si="2"/>
        <v>M1-010</v>
      </c>
      <c r="C8" s="1261">
        <f t="shared" si="0"/>
        <v>6.79</v>
      </c>
      <c r="D8" s="1261">
        <f t="shared" si="3"/>
        <v>0</v>
      </c>
      <c r="E8" s="1261"/>
      <c r="F8" s="1261"/>
      <c r="G8" s="1211" t="str">
        <f t="shared" si="4"/>
        <v>보 도</v>
      </c>
      <c r="I8" s="1259" t="s">
        <v>1234</v>
      </c>
      <c r="J8" s="1259" t="s">
        <v>1235</v>
      </c>
      <c r="K8" s="1259">
        <v>6.79</v>
      </c>
      <c r="L8" s="1259"/>
      <c r="M8" s="1259" t="s">
        <v>942</v>
      </c>
      <c r="P8" s="1223"/>
      <c r="Q8" s="1223"/>
    </row>
    <row r="9" spans="1:17" s="797" customFormat="1" ht="15" customHeight="1">
      <c r="A9" s="1220" t="str">
        <f t="shared" si="1"/>
        <v>중(집)2-어천1</v>
      </c>
      <c r="B9" s="1221" t="str">
        <f t="shared" si="2"/>
        <v>M1-011</v>
      </c>
      <c r="C9" s="1261">
        <f t="shared" si="0"/>
        <v>6.4</v>
      </c>
      <c r="D9" s="1261">
        <f t="shared" si="3"/>
        <v>0</v>
      </c>
      <c r="E9" s="1261"/>
      <c r="F9" s="1261"/>
      <c r="G9" s="1211" t="str">
        <f t="shared" si="4"/>
        <v>보 도</v>
      </c>
      <c r="I9" s="1259" t="s">
        <v>1234</v>
      </c>
      <c r="J9" s="1259" t="s">
        <v>1236</v>
      </c>
      <c r="K9" s="1259">
        <v>6.4</v>
      </c>
      <c r="L9" s="1259"/>
      <c r="M9" s="1259" t="s">
        <v>942</v>
      </c>
      <c r="P9" s="1223"/>
      <c r="Q9" s="1223"/>
    </row>
    <row r="10" spans="1:17" s="797" customFormat="1" ht="15" customHeight="1">
      <c r="A10" s="1220" t="str">
        <f t="shared" si="1"/>
        <v>중(집)2-어천1</v>
      </c>
      <c r="B10" s="1221" t="str">
        <f t="shared" si="2"/>
        <v>M1-012</v>
      </c>
      <c r="C10" s="1261">
        <f t="shared" si="0"/>
        <v>6.44</v>
      </c>
      <c r="D10" s="1261">
        <f t="shared" si="3"/>
        <v>0</v>
      </c>
      <c r="E10" s="1261"/>
      <c r="F10" s="1261"/>
      <c r="G10" s="1211" t="str">
        <f t="shared" si="4"/>
        <v>보 도</v>
      </c>
      <c r="I10" s="1259" t="s">
        <v>1234</v>
      </c>
      <c r="J10" s="1259" t="s">
        <v>1237</v>
      </c>
      <c r="K10" s="1259">
        <v>6.44</v>
      </c>
      <c r="L10" s="1259"/>
      <c r="M10" s="1259" t="s">
        <v>942</v>
      </c>
      <c r="P10" s="1223"/>
      <c r="Q10" s="1223"/>
    </row>
    <row r="11" spans="1:17" s="797" customFormat="1" ht="15" customHeight="1">
      <c r="A11" s="1220" t="str">
        <f t="shared" si="1"/>
        <v>중(집)2-어천1</v>
      </c>
      <c r="B11" s="1221" t="str">
        <f t="shared" si="2"/>
        <v>M1-013</v>
      </c>
      <c r="C11" s="1261">
        <f t="shared" si="0"/>
        <v>6.64</v>
      </c>
      <c r="D11" s="1261">
        <f t="shared" si="3"/>
        <v>0</v>
      </c>
      <c r="E11" s="1261"/>
      <c r="F11" s="1261"/>
      <c r="G11" s="1211" t="str">
        <f t="shared" si="4"/>
        <v>보 도</v>
      </c>
      <c r="I11" s="1259" t="s">
        <v>1234</v>
      </c>
      <c r="J11" s="1259" t="s">
        <v>1238</v>
      </c>
      <c r="K11" s="1259">
        <v>6.64</v>
      </c>
      <c r="L11" s="1259"/>
      <c r="M11" s="1259" t="s">
        <v>942</v>
      </c>
      <c r="P11" s="1223"/>
      <c r="Q11" s="1223"/>
    </row>
    <row r="12" spans="1:17" s="797" customFormat="1" ht="15" customHeight="1">
      <c r="A12" s="1220" t="str">
        <f t="shared" si="1"/>
        <v>중(집)2-어천1</v>
      </c>
      <c r="B12" s="1221" t="str">
        <f t="shared" si="2"/>
        <v>M1-014</v>
      </c>
      <c r="C12" s="1261">
        <f t="shared" si="0"/>
        <v>6.63</v>
      </c>
      <c r="D12" s="1261">
        <f t="shared" si="3"/>
        <v>0</v>
      </c>
      <c r="E12" s="1261"/>
      <c r="F12" s="1261"/>
      <c r="G12" s="1211" t="str">
        <f t="shared" si="4"/>
        <v>보 도</v>
      </c>
      <c r="I12" s="1259" t="s">
        <v>1234</v>
      </c>
      <c r="J12" s="1259" t="s">
        <v>1239</v>
      </c>
      <c r="K12" s="1259">
        <v>6.63</v>
      </c>
      <c r="L12" s="1259"/>
      <c r="M12" s="1259" t="s">
        <v>942</v>
      </c>
      <c r="P12" s="1223"/>
      <c r="Q12" s="1223"/>
    </row>
    <row r="13" spans="1:17" s="797" customFormat="1" ht="15" customHeight="1">
      <c r="A13" s="1220" t="str">
        <f>I13</f>
        <v>중(집)2-어천1</v>
      </c>
      <c r="B13" s="1221" t="str">
        <f>J13</f>
        <v>M1-015</v>
      </c>
      <c r="C13" s="1261">
        <f t="shared" si="0"/>
        <v>6.44</v>
      </c>
      <c r="D13" s="1261">
        <f t="shared" si="3"/>
        <v>0</v>
      </c>
      <c r="E13" s="1261"/>
      <c r="F13" s="1261"/>
      <c r="G13" s="1211" t="str">
        <f>IF(M13="보  도","보 도","차 도")</f>
        <v>보 도</v>
      </c>
      <c r="I13" s="1259" t="s">
        <v>1234</v>
      </c>
      <c r="J13" s="1259" t="s">
        <v>1240</v>
      </c>
      <c r="K13" s="1259">
        <v>6.44</v>
      </c>
      <c r="L13" s="1259"/>
      <c r="M13" s="1259" t="s">
        <v>942</v>
      </c>
      <c r="P13" s="1223"/>
      <c r="Q13" s="1223"/>
    </row>
    <row r="14" spans="1:17" s="797" customFormat="1" ht="15" customHeight="1">
      <c r="A14" s="1220" t="str">
        <f t="shared" si="1"/>
        <v>중(집)2-어천1</v>
      </c>
      <c r="B14" s="1221" t="str">
        <f t="shared" si="2"/>
        <v>M1-017</v>
      </c>
      <c r="C14" s="1261">
        <f t="shared" si="0"/>
        <v>6.58</v>
      </c>
      <c r="D14" s="1261">
        <f t="shared" si="3"/>
        <v>0</v>
      </c>
      <c r="E14" s="1261"/>
      <c r="F14" s="1261"/>
      <c r="G14" s="1211" t="str">
        <f t="shared" si="4"/>
        <v>보 도</v>
      </c>
      <c r="I14" s="1259" t="s">
        <v>1234</v>
      </c>
      <c r="J14" s="1259" t="s">
        <v>1241</v>
      </c>
      <c r="K14" s="1259">
        <v>6.58</v>
      </c>
      <c r="L14" s="1259"/>
      <c r="M14" s="1259" t="s">
        <v>942</v>
      </c>
      <c r="P14" s="1223"/>
      <c r="Q14" s="1223"/>
    </row>
    <row r="15" spans="1:17" s="797" customFormat="1" ht="15" customHeight="1">
      <c r="A15" s="1220" t="str">
        <f t="shared" si="1"/>
        <v>중(집)2-어천1</v>
      </c>
      <c r="B15" s="1221" t="str">
        <f t="shared" si="2"/>
        <v>M1-018</v>
      </c>
      <c r="C15" s="1261">
        <f t="shared" si="0"/>
        <v>6.64</v>
      </c>
      <c r="D15" s="1261">
        <f t="shared" si="3"/>
        <v>0</v>
      </c>
      <c r="E15" s="1261"/>
      <c r="F15" s="1261"/>
      <c r="G15" s="1211" t="str">
        <f t="shared" si="4"/>
        <v>보 도</v>
      </c>
      <c r="I15" s="1259" t="s">
        <v>1234</v>
      </c>
      <c r="J15" s="1259" t="s">
        <v>1242</v>
      </c>
      <c r="K15" s="1259">
        <v>6.64</v>
      </c>
      <c r="L15" s="1259"/>
      <c r="M15" s="1259" t="s">
        <v>942</v>
      </c>
      <c r="P15" s="1223"/>
      <c r="Q15" s="1223"/>
    </row>
    <row r="16" spans="1:17" s="797" customFormat="1" ht="15" customHeight="1">
      <c r="A16" s="1220" t="str">
        <f t="shared" si="1"/>
        <v>중(집)2-어천1</v>
      </c>
      <c r="B16" s="1221" t="str">
        <f t="shared" si="2"/>
        <v>M1-019</v>
      </c>
      <c r="C16" s="1261">
        <f t="shared" si="0"/>
        <v>6.85</v>
      </c>
      <c r="D16" s="1261">
        <f t="shared" si="3"/>
        <v>0</v>
      </c>
      <c r="E16" s="1261"/>
      <c r="F16" s="1261"/>
      <c r="G16" s="1211" t="str">
        <f t="shared" si="4"/>
        <v>보 도</v>
      </c>
      <c r="I16" s="1259" t="s">
        <v>1234</v>
      </c>
      <c r="J16" s="1259" t="s">
        <v>1243</v>
      </c>
      <c r="K16" s="1259">
        <v>6.85</v>
      </c>
      <c r="L16" s="1259"/>
      <c r="M16" s="1259" t="s">
        <v>942</v>
      </c>
      <c r="P16" s="1223"/>
      <c r="Q16" s="1223"/>
    </row>
    <row r="17" spans="1:17" s="797" customFormat="1" ht="15" customHeight="1">
      <c r="A17" s="1220" t="str">
        <f t="shared" si="1"/>
        <v>중(집)2-어천1</v>
      </c>
      <c r="B17" s="1221" t="str">
        <f t="shared" si="2"/>
        <v>M1-020</v>
      </c>
      <c r="C17" s="1261">
        <f t="shared" si="0"/>
        <v>6.79</v>
      </c>
      <c r="D17" s="1261">
        <f t="shared" si="3"/>
        <v>0</v>
      </c>
      <c r="E17" s="1261"/>
      <c r="F17" s="1261"/>
      <c r="G17" s="1211" t="str">
        <f t="shared" si="4"/>
        <v>보 도</v>
      </c>
      <c r="I17" s="1259" t="s">
        <v>1234</v>
      </c>
      <c r="J17" s="1259" t="s">
        <v>1244</v>
      </c>
      <c r="K17" s="1259">
        <v>6.79</v>
      </c>
      <c r="L17" s="1259"/>
      <c r="M17" s="1259" t="s">
        <v>942</v>
      </c>
      <c r="P17" s="1223"/>
      <c r="Q17" s="1223"/>
    </row>
    <row r="18" spans="1:17" s="797" customFormat="1" ht="15" customHeight="1">
      <c r="A18" s="1220" t="str">
        <f t="shared" si="1"/>
        <v>중(집)2-어천1</v>
      </c>
      <c r="B18" s="1221" t="str">
        <f t="shared" si="2"/>
        <v>M1-021</v>
      </c>
      <c r="C18" s="1261">
        <f t="shared" si="0"/>
        <v>6.72</v>
      </c>
      <c r="D18" s="1261">
        <f t="shared" si="3"/>
        <v>0</v>
      </c>
      <c r="E18" s="1261"/>
      <c r="F18" s="1261"/>
      <c r="G18" s="1211" t="str">
        <f t="shared" si="4"/>
        <v>보 도</v>
      </c>
      <c r="I18" s="1259" t="s">
        <v>1234</v>
      </c>
      <c r="J18" s="1259" t="s">
        <v>1245</v>
      </c>
      <c r="K18" s="1259">
        <v>6.72</v>
      </c>
      <c r="L18" s="1259"/>
      <c r="M18" s="1259" t="s">
        <v>942</v>
      </c>
      <c r="P18" s="1223"/>
      <c r="Q18" s="1223"/>
    </row>
    <row r="19" spans="1:17" s="797" customFormat="1" ht="15" customHeight="1">
      <c r="A19" s="1220" t="str">
        <f t="shared" si="1"/>
        <v>중(집)2-어천1</v>
      </c>
      <c r="B19" s="1221" t="str">
        <f t="shared" si="2"/>
        <v>M1-022</v>
      </c>
      <c r="C19" s="1261">
        <f t="shared" si="0"/>
        <v>6.53</v>
      </c>
      <c r="D19" s="1261">
        <f t="shared" si="3"/>
        <v>0</v>
      </c>
      <c r="E19" s="1261"/>
      <c r="F19" s="1261"/>
      <c r="G19" s="1211" t="str">
        <f t="shared" si="4"/>
        <v>보 도</v>
      </c>
      <c r="I19" s="1259" t="s">
        <v>1234</v>
      </c>
      <c r="J19" s="1259" t="s">
        <v>1246</v>
      </c>
      <c r="K19" s="1259">
        <v>6.53</v>
      </c>
      <c r="L19" s="1259"/>
      <c r="M19" s="1259" t="s">
        <v>942</v>
      </c>
      <c r="P19" s="1223"/>
      <c r="Q19" s="1223"/>
    </row>
    <row r="20" spans="1:17" s="797" customFormat="1" ht="15" customHeight="1">
      <c r="A20" s="1220" t="str">
        <f t="shared" si="1"/>
        <v>중(집)2-어천1</v>
      </c>
      <c r="B20" s="1221" t="str">
        <f t="shared" si="2"/>
        <v>M1-024</v>
      </c>
      <c r="C20" s="1261">
        <f t="shared" si="0"/>
        <v>6.64</v>
      </c>
      <c r="D20" s="1261">
        <f t="shared" si="3"/>
        <v>0</v>
      </c>
      <c r="E20" s="1261"/>
      <c r="F20" s="1261"/>
      <c r="G20" s="1211" t="str">
        <f t="shared" si="4"/>
        <v>보 도</v>
      </c>
      <c r="I20" s="1259" t="s">
        <v>1234</v>
      </c>
      <c r="J20" s="1259" t="s">
        <v>1247</v>
      </c>
      <c r="K20" s="1259">
        <v>6.64</v>
      </c>
      <c r="L20" s="1259"/>
      <c r="M20" s="1259" t="s">
        <v>942</v>
      </c>
      <c r="P20" s="1223"/>
      <c r="Q20" s="1223"/>
    </row>
    <row r="21" spans="1:17" s="797" customFormat="1" ht="15" customHeight="1">
      <c r="A21" s="1220" t="str">
        <f t="shared" si="1"/>
        <v>중(집)2-어천1</v>
      </c>
      <c r="B21" s="1221" t="str">
        <f t="shared" si="2"/>
        <v>M1-027</v>
      </c>
      <c r="C21" s="1261">
        <f t="shared" si="0"/>
        <v>7.44</v>
      </c>
      <c r="D21" s="1261">
        <f t="shared" si="3"/>
        <v>0</v>
      </c>
      <c r="E21" s="1261"/>
      <c r="F21" s="1261"/>
      <c r="G21" s="1211" t="str">
        <f t="shared" si="4"/>
        <v>보 도</v>
      </c>
      <c r="I21" s="1259" t="s">
        <v>1234</v>
      </c>
      <c r="J21" s="1259" t="s">
        <v>1248</v>
      </c>
      <c r="K21" s="1259">
        <v>7.44</v>
      </c>
      <c r="L21" s="1259"/>
      <c r="M21" s="1259" t="s">
        <v>942</v>
      </c>
      <c r="P21" s="1223"/>
      <c r="Q21" s="1223"/>
    </row>
    <row r="22" spans="1:17" s="797" customFormat="1" ht="15" customHeight="1">
      <c r="A22" s="1220" t="str">
        <f t="shared" si="1"/>
        <v>중(집)2-어천1</v>
      </c>
      <c r="B22" s="1221" t="str">
        <f t="shared" si="2"/>
        <v>M1-028</v>
      </c>
      <c r="C22" s="1261">
        <f t="shared" si="0"/>
        <v>6.63</v>
      </c>
      <c r="D22" s="1261">
        <f t="shared" si="3"/>
        <v>0</v>
      </c>
      <c r="E22" s="1261"/>
      <c r="F22" s="1261"/>
      <c r="G22" s="1211" t="str">
        <f t="shared" si="4"/>
        <v>보 도</v>
      </c>
      <c r="I22" s="1259" t="s">
        <v>1234</v>
      </c>
      <c r="J22" s="1259" t="s">
        <v>1249</v>
      </c>
      <c r="K22" s="1259">
        <v>6.63</v>
      </c>
      <c r="L22" s="1259"/>
      <c r="M22" s="1259" t="s">
        <v>942</v>
      </c>
      <c r="P22" s="1223"/>
      <c r="Q22" s="1223"/>
    </row>
    <row r="23" spans="1:17" s="797" customFormat="1" ht="15" customHeight="1">
      <c r="A23" s="1220" t="str">
        <f t="shared" si="1"/>
        <v>중(집)2-어천1</v>
      </c>
      <c r="B23" s="1221" t="str">
        <f t="shared" si="2"/>
        <v>M1-029</v>
      </c>
      <c r="C23" s="1261">
        <f t="shared" si="0"/>
        <v>5.84</v>
      </c>
      <c r="D23" s="1261">
        <f t="shared" si="3"/>
        <v>0</v>
      </c>
      <c r="E23" s="1261"/>
      <c r="F23" s="1261"/>
      <c r="G23" s="1211" t="str">
        <f t="shared" si="4"/>
        <v>보 도</v>
      </c>
      <c r="I23" s="1259" t="s">
        <v>1234</v>
      </c>
      <c r="J23" s="1259" t="s">
        <v>1250</v>
      </c>
      <c r="K23" s="1259">
        <v>5.84</v>
      </c>
      <c r="L23" s="1259"/>
      <c r="M23" s="1259" t="s">
        <v>942</v>
      </c>
      <c r="P23" s="1223"/>
      <c r="Q23" s="1223"/>
    </row>
    <row r="24" spans="1:17" s="797" customFormat="1" ht="15" customHeight="1">
      <c r="A24" s="1220" t="str">
        <f t="shared" si="1"/>
        <v>중(집)2-어천1</v>
      </c>
      <c r="B24" s="1221" t="str">
        <f t="shared" si="2"/>
        <v>M1-032</v>
      </c>
      <c r="C24" s="1261">
        <f t="shared" si="0"/>
        <v>5.13</v>
      </c>
      <c r="D24" s="1261">
        <f t="shared" si="3"/>
        <v>0</v>
      </c>
      <c r="E24" s="1261"/>
      <c r="F24" s="1261"/>
      <c r="G24" s="1211" t="str">
        <f t="shared" si="4"/>
        <v>보 도</v>
      </c>
      <c r="I24" s="1259" t="s">
        <v>1234</v>
      </c>
      <c r="J24" s="1259" t="s">
        <v>1251</v>
      </c>
      <c r="K24" s="1259">
        <v>5.13</v>
      </c>
      <c r="L24" s="1259"/>
      <c r="M24" s="1259" t="s">
        <v>942</v>
      </c>
      <c r="P24" s="1223"/>
      <c r="Q24" s="1223"/>
    </row>
    <row r="25" spans="1:17" s="797" customFormat="1" ht="15" customHeight="1">
      <c r="A25" s="1220" t="str">
        <f t="shared" si="1"/>
        <v>중(집)2-어천1</v>
      </c>
      <c r="B25" s="1221" t="str">
        <f t="shared" si="2"/>
        <v>M1-033</v>
      </c>
      <c r="C25" s="1261">
        <f t="shared" si="0"/>
        <v>4.7699999999999996</v>
      </c>
      <c r="D25" s="1261">
        <f t="shared" si="3"/>
        <v>0</v>
      </c>
      <c r="E25" s="1261"/>
      <c r="F25" s="1261"/>
      <c r="G25" s="1211" t="str">
        <f t="shared" si="4"/>
        <v>보 도</v>
      </c>
      <c r="I25" s="1259" t="s">
        <v>1234</v>
      </c>
      <c r="J25" s="1259" t="s">
        <v>1252</v>
      </c>
      <c r="K25" s="1259">
        <v>4.7699999999999996</v>
      </c>
      <c r="L25" s="1259"/>
      <c r="M25" s="1259" t="s">
        <v>942</v>
      </c>
      <c r="P25" s="1223"/>
      <c r="Q25" s="1223"/>
    </row>
    <row r="26" spans="1:17" s="797" customFormat="1" ht="15" customHeight="1">
      <c r="A26" s="1220" t="str">
        <f t="shared" si="1"/>
        <v>중(집)2-어천1</v>
      </c>
      <c r="B26" s="1221" t="str">
        <f t="shared" si="2"/>
        <v>M1-035</v>
      </c>
      <c r="C26" s="1261">
        <f t="shared" si="0"/>
        <v>4.17</v>
      </c>
      <c r="D26" s="1261">
        <f t="shared" si="3"/>
        <v>0</v>
      </c>
      <c r="E26" s="1261"/>
      <c r="F26" s="1261"/>
      <c r="G26" s="1211" t="str">
        <f t="shared" si="4"/>
        <v>보 도</v>
      </c>
      <c r="I26" s="1259" t="s">
        <v>1234</v>
      </c>
      <c r="J26" s="1259" t="s">
        <v>1253</v>
      </c>
      <c r="K26" s="1259">
        <v>4.17</v>
      </c>
      <c r="L26" s="1259"/>
      <c r="M26" s="1259" t="s">
        <v>942</v>
      </c>
      <c r="P26" s="1223"/>
      <c r="Q26" s="1223"/>
    </row>
    <row r="27" spans="1:17" s="797" customFormat="1" ht="15" customHeight="1">
      <c r="A27" s="1220" t="str">
        <f t="shared" si="1"/>
        <v>중(집)2-어천1</v>
      </c>
      <c r="B27" s="1221" t="str">
        <f t="shared" si="2"/>
        <v>M1-036</v>
      </c>
      <c r="C27" s="1261">
        <f t="shared" si="0"/>
        <v>4.51</v>
      </c>
      <c r="D27" s="1261">
        <f t="shared" si="3"/>
        <v>0</v>
      </c>
      <c r="E27" s="1261"/>
      <c r="F27" s="1261"/>
      <c r="G27" s="1211" t="str">
        <f t="shared" si="4"/>
        <v>보 도</v>
      </c>
      <c r="I27" s="1259" t="s">
        <v>1234</v>
      </c>
      <c r="J27" s="1259" t="s">
        <v>1254</v>
      </c>
      <c r="K27" s="1259">
        <v>4.51</v>
      </c>
      <c r="L27" s="1259"/>
      <c r="M27" s="1259" t="s">
        <v>942</v>
      </c>
      <c r="P27" s="1223"/>
      <c r="Q27" s="1223"/>
    </row>
    <row r="28" spans="1:17" s="797" customFormat="1" ht="15" customHeight="1">
      <c r="A28" s="1220" t="str">
        <f t="shared" si="1"/>
        <v>중(집)2-어천1</v>
      </c>
      <c r="B28" s="1221" t="str">
        <f t="shared" si="2"/>
        <v>M1-037</v>
      </c>
      <c r="C28" s="1261">
        <f t="shared" si="0"/>
        <v>4.92</v>
      </c>
      <c r="D28" s="1261">
        <f t="shared" si="3"/>
        <v>0</v>
      </c>
      <c r="E28" s="1261"/>
      <c r="F28" s="1261"/>
      <c r="G28" s="1211" t="str">
        <f t="shared" si="4"/>
        <v>보 도</v>
      </c>
      <c r="I28" s="1259" t="s">
        <v>1234</v>
      </c>
      <c r="J28" s="1259" t="s">
        <v>1255</v>
      </c>
      <c r="K28" s="1259">
        <v>4.92</v>
      </c>
      <c r="L28" s="1259"/>
      <c r="M28" s="1259" t="s">
        <v>942</v>
      </c>
      <c r="P28" s="1223"/>
      <c r="Q28" s="1223"/>
    </row>
    <row r="29" spans="1:17" s="797" customFormat="1" ht="15" customHeight="1">
      <c r="A29" s="1220" t="str">
        <f t="shared" si="1"/>
        <v>가도_A038~A042</v>
      </c>
      <c r="B29" s="1221" t="str">
        <f t="shared" si="2"/>
        <v>M1-039</v>
      </c>
      <c r="C29" s="1261">
        <f t="shared" si="0"/>
        <v>3.53</v>
      </c>
      <c r="D29" s="1261">
        <f t="shared" si="3"/>
        <v>0</v>
      </c>
      <c r="E29" s="1261"/>
      <c r="F29" s="1261"/>
      <c r="G29" s="1211" t="str">
        <f t="shared" si="4"/>
        <v>보 도</v>
      </c>
      <c r="I29" s="1259" t="s">
        <v>1257</v>
      </c>
      <c r="J29" s="1259" t="s">
        <v>1258</v>
      </c>
      <c r="K29" s="1259">
        <v>3.53</v>
      </c>
      <c r="L29" s="1259"/>
      <c r="M29" s="1259" t="s">
        <v>942</v>
      </c>
      <c r="P29" s="1223"/>
      <c r="Q29" s="1223"/>
    </row>
    <row r="30" spans="1:17" s="797" customFormat="1" ht="15" customHeight="1">
      <c r="A30" s="1220" t="str">
        <f t="shared" si="1"/>
        <v>가도_A038~A042</v>
      </c>
      <c r="B30" s="1221" t="str">
        <f t="shared" si="2"/>
        <v>M1-040</v>
      </c>
      <c r="C30" s="1261">
        <f t="shared" si="0"/>
        <v>3.23</v>
      </c>
      <c r="D30" s="1261">
        <f t="shared" si="3"/>
        <v>0</v>
      </c>
      <c r="E30" s="1261"/>
      <c r="F30" s="1261"/>
      <c r="G30" s="1211" t="str">
        <f t="shared" si="4"/>
        <v>보 도</v>
      </c>
      <c r="I30" s="1259" t="s">
        <v>1257</v>
      </c>
      <c r="J30" s="1259" t="s">
        <v>1259</v>
      </c>
      <c r="K30" s="1259">
        <v>3.23</v>
      </c>
      <c r="L30" s="1259"/>
      <c r="M30" s="1259" t="s">
        <v>942</v>
      </c>
      <c r="P30" s="1223"/>
      <c r="Q30" s="1223"/>
    </row>
    <row r="31" spans="1:17" s="797" customFormat="1" ht="15" customHeight="1">
      <c r="A31" s="1220" t="str">
        <f t="shared" si="1"/>
        <v>가도_A038~A042</v>
      </c>
      <c r="B31" s="1221" t="str">
        <f t="shared" si="2"/>
        <v>M1-041(1)</v>
      </c>
      <c r="C31" s="1261">
        <f t="shared" si="0"/>
        <v>2.9</v>
      </c>
      <c r="D31" s="1261">
        <f t="shared" si="3"/>
        <v>0</v>
      </c>
      <c r="E31" s="1261"/>
      <c r="F31" s="1261"/>
      <c r="G31" s="1211" t="str">
        <f t="shared" si="4"/>
        <v>보 도</v>
      </c>
      <c r="I31" s="1259" t="s">
        <v>1257</v>
      </c>
      <c r="J31" s="1259" t="s">
        <v>1410</v>
      </c>
      <c r="K31" s="1259">
        <v>2.9</v>
      </c>
      <c r="L31" s="1259"/>
      <c r="M31" s="1259" t="s">
        <v>942</v>
      </c>
      <c r="P31" s="1223"/>
      <c r="Q31" s="1223"/>
    </row>
    <row r="32" spans="1:17" s="797" customFormat="1" ht="15" customHeight="1">
      <c r="A32" s="1220" t="str">
        <f t="shared" si="1"/>
        <v>가도_A038~A042</v>
      </c>
      <c r="B32" s="1221" t="str">
        <f t="shared" si="2"/>
        <v>M1-041(2)</v>
      </c>
      <c r="C32" s="1261">
        <f t="shared" si="0"/>
        <v>2.95</v>
      </c>
      <c r="D32" s="1261">
        <f t="shared" si="3"/>
        <v>0</v>
      </c>
      <c r="E32" s="1261"/>
      <c r="F32" s="1261"/>
      <c r="G32" s="1211" t="str">
        <f t="shared" si="4"/>
        <v>보 도</v>
      </c>
      <c r="I32" s="1259" t="s">
        <v>1257</v>
      </c>
      <c r="J32" s="1259" t="s">
        <v>1411</v>
      </c>
      <c r="K32" s="1259">
        <v>2.95</v>
      </c>
      <c r="L32" s="1259"/>
      <c r="M32" s="1259" t="s">
        <v>942</v>
      </c>
      <c r="P32" s="1223"/>
      <c r="Q32" s="1223"/>
    </row>
    <row r="33" spans="1:17" s="797" customFormat="1" ht="15" customHeight="1">
      <c r="A33" s="1220" t="str">
        <f t="shared" si="1"/>
        <v>가도_A038~A042</v>
      </c>
      <c r="B33" s="1221" t="str">
        <f t="shared" si="2"/>
        <v>M1-041(3)</v>
      </c>
      <c r="C33" s="1261">
        <f t="shared" si="0"/>
        <v>3.05</v>
      </c>
      <c r="D33" s="1261">
        <f t="shared" si="3"/>
        <v>0</v>
      </c>
      <c r="E33" s="1261"/>
      <c r="F33" s="1261"/>
      <c r="G33" s="1211" t="str">
        <f t="shared" si="4"/>
        <v>보 도</v>
      </c>
      <c r="I33" s="1259" t="s">
        <v>1257</v>
      </c>
      <c r="J33" s="1259" t="s">
        <v>1412</v>
      </c>
      <c r="K33" s="1259">
        <v>3.05</v>
      </c>
      <c r="L33" s="1259"/>
      <c r="M33" s="1259" t="s">
        <v>942</v>
      </c>
      <c r="P33" s="1223"/>
      <c r="Q33" s="1223"/>
    </row>
    <row r="34" spans="1:17" s="797" customFormat="1" ht="15" customHeight="1">
      <c r="A34" s="1220" t="str">
        <f t="shared" si="1"/>
        <v>가도_A038~A042</v>
      </c>
      <c r="B34" s="1221" t="str">
        <f t="shared" si="2"/>
        <v>M1-043</v>
      </c>
      <c r="C34" s="1261">
        <f t="shared" si="0"/>
        <v>3.93</v>
      </c>
      <c r="D34" s="1261">
        <f t="shared" si="3"/>
        <v>0</v>
      </c>
      <c r="E34" s="1261"/>
      <c r="F34" s="1261"/>
      <c r="G34" s="1211" t="str">
        <f t="shared" si="4"/>
        <v>보 도</v>
      </c>
      <c r="I34" s="1259" t="s">
        <v>1257</v>
      </c>
      <c r="J34" s="1259" t="s">
        <v>1260</v>
      </c>
      <c r="K34" s="1259">
        <v>3.93</v>
      </c>
      <c r="L34" s="1259"/>
      <c r="M34" s="1259" t="s">
        <v>942</v>
      </c>
      <c r="P34" s="1223"/>
      <c r="Q34" s="1223"/>
    </row>
    <row r="35" spans="1:17" s="797" customFormat="1" ht="15" hidden="1" customHeight="1">
      <c r="A35" s="1220" t="str">
        <f t="shared" si="1"/>
        <v>소(국)2-어천1</v>
      </c>
      <c r="B35" s="1221" t="str">
        <f t="shared" si="2"/>
        <v>M1-044(1)</v>
      </c>
      <c r="C35" s="1261">
        <f t="shared" si="0"/>
        <v>0</v>
      </c>
      <c r="D35" s="1261">
        <f t="shared" si="3"/>
        <v>1.46</v>
      </c>
      <c r="E35" s="1261"/>
      <c r="F35" s="1261"/>
      <c r="G35" s="1211" t="str">
        <f t="shared" si="4"/>
        <v>차 도</v>
      </c>
      <c r="I35" s="1259" t="s">
        <v>1261</v>
      </c>
      <c r="J35" s="1259" t="s">
        <v>1492</v>
      </c>
      <c r="K35" s="1259">
        <v>1.46</v>
      </c>
      <c r="L35" s="1259"/>
      <c r="M35" s="1259" t="s">
        <v>1308</v>
      </c>
      <c r="P35" s="1223"/>
      <c r="Q35" s="1223"/>
    </row>
    <row r="36" spans="1:17" s="797" customFormat="1" ht="15" customHeight="1">
      <c r="A36" s="1220" t="str">
        <f t="shared" si="1"/>
        <v>소(국)2-어천2</v>
      </c>
      <c r="B36" s="1221" t="str">
        <f t="shared" si="2"/>
        <v>M1-058(1)</v>
      </c>
      <c r="C36" s="1261">
        <f t="shared" si="0"/>
        <v>1.72</v>
      </c>
      <c r="D36" s="1261">
        <f t="shared" si="3"/>
        <v>0</v>
      </c>
      <c r="E36" s="1261"/>
      <c r="F36" s="1261"/>
      <c r="G36" s="1211" t="str">
        <f t="shared" si="4"/>
        <v>보 도</v>
      </c>
      <c r="I36" s="1259" t="s">
        <v>1265</v>
      </c>
      <c r="J36" s="1259" t="s">
        <v>1413</v>
      </c>
      <c r="K36" s="1259">
        <v>1.72</v>
      </c>
      <c r="L36" s="1259"/>
      <c r="M36" s="1259" t="s">
        <v>942</v>
      </c>
      <c r="P36" s="1223"/>
      <c r="Q36" s="1223"/>
    </row>
    <row r="37" spans="1:17" s="797" customFormat="1" ht="15" customHeight="1">
      <c r="A37" s="1220" t="str">
        <f t="shared" si="1"/>
        <v>소(국)2-어천2</v>
      </c>
      <c r="B37" s="1221" t="str">
        <f t="shared" si="2"/>
        <v>M1-059(1)</v>
      </c>
      <c r="C37" s="1261">
        <f t="shared" si="0"/>
        <v>2.0099999999999998</v>
      </c>
      <c r="D37" s="1261">
        <f t="shared" si="3"/>
        <v>0</v>
      </c>
      <c r="E37" s="1261"/>
      <c r="F37" s="1261"/>
      <c r="G37" s="1211" t="str">
        <f t="shared" si="4"/>
        <v>보 도</v>
      </c>
      <c r="I37" s="1259" t="s">
        <v>1265</v>
      </c>
      <c r="J37" s="1259" t="s">
        <v>1414</v>
      </c>
      <c r="K37" s="1259">
        <v>2.0099999999999998</v>
      </c>
      <c r="L37" s="1259"/>
      <c r="M37" s="1259" t="s">
        <v>942</v>
      </c>
      <c r="P37" s="1223"/>
      <c r="Q37" s="1223"/>
    </row>
    <row r="38" spans="1:17" s="797" customFormat="1" ht="15" hidden="1" customHeight="1">
      <c r="A38" s="1220" t="str">
        <f t="shared" ref="A38:A77" si="5">I38</f>
        <v>소(국)2-어천3</v>
      </c>
      <c r="B38" s="1221" t="str">
        <f t="shared" ref="B38:B77" si="6">J38</f>
        <v>M1-063(1)</v>
      </c>
      <c r="C38" s="1261">
        <f t="shared" ref="C38:C77" si="7">IF($M38="보  도",$K38,0)</f>
        <v>0</v>
      </c>
      <c r="D38" s="1261">
        <f t="shared" si="3"/>
        <v>1.41</v>
      </c>
      <c r="E38" s="1261"/>
      <c r="F38" s="1261"/>
      <c r="G38" s="1211" t="str">
        <f t="shared" ref="G38:G77" si="8">IF(M38="보  도","보 도","차 도")</f>
        <v>차 도</v>
      </c>
      <c r="I38" s="1259" t="s">
        <v>1266</v>
      </c>
      <c r="J38" s="1259" t="s">
        <v>1493</v>
      </c>
      <c r="K38" s="1259">
        <v>1.41</v>
      </c>
      <c r="L38" s="1259"/>
      <c r="M38" s="1259" t="s">
        <v>1308</v>
      </c>
      <c r="P38" s="1223"/>
      <c r="Q38" s="1223"/>
    </row>
    <row r="39" spans="1:17" s="797" customFormat="1" ht="15" hidden="1" customHeight="1">
      <c r="A39" s="1220" t="str">
        <f t="shared" si="5"/>
        <v>소(국)3-어천1</v>
      </c>
      <c r="B39" s="1221" t="str">
        <f t="shared" si="6"/>
        <v>M1-064</v>
      </c>
      <c r="C39" s="1261">
        <f t="shared" si="7"/>
        <v>0</v>
      </c>
      <c r="D39" s="1261">
        <f t="shared" ref="D39:D80" si="9">IF($M39="차  도",$K39,0)</f>
        <v>1.42</v>
      </c>
      <c r="E39" s="1261"/>
      <c r="F39" s="1261"/>
      <c r="G39" s="1211" t="str">
        <f t="shared" si="8"/>
        <v>차 도</v>
      </c>
      <c r="I39" s="1259" t="s">
        <v>1267</v>
      </c>
      <c r="J39" s="1259" t="s">
        <v>1309</v>
      </c>
      <c r="K39" s="1259">
        <v>1.42</v>
      </c>
      <c r="L39" s="1259"/>
      <c r="M39" s="1259" t="s">
        <v>1308</v>
      </c>
      <c r="P39" s="1223"/>
      <c r="Q39" s="1223"/>
    </row>
    <row r="40" spans="1:17" s="797" customFormat="1" ht="15" hidden="1" customHeight="1">
      <c r="A40" s="1220" t="str">
        <f t="shared" si="5"/>
        <v>A074~A076(2)</v>
      </c>
      <c r="B40" s="1221" t="str">
        <f t="shared" si="6"/>
        <v>M1-066(1)</v>
      </c>
      <c r="C40" s="1261">
        <f t="shared" si="7"/>
        <v>0</v>
      </c>
      <c r="D40" s="1261">
        <f t="shared" si="9"/>
        <v>4.0199999999999996</v>
      </c>
      <c r="E40" s="1261"/>
      <c r="F40" s="1261"/>
      <c r="G40" s="1211" t="str">
        <f t="shared" si="8"/>
        <v>차 도</v>
      </c>
      <c r="I40" s="1259" t="s">
        <v>1338</v>
      </c>
      <c r="J40" s="1259" t="s">
        <v>1339</v>
      </c>
      <c r="K40" s="1259">
        <v>4.0199999999999996</v>
      </c>
      <c r="L40" s="1259"/>
      <c r="M40" s="1259" t="s">
        <v>1308</v>
      </c>
      <c r="P40" s="1223"/>
      <c r="Q40" s="1223"/>
    </row>
    <row r="41" spans="1:17" s="797" customFormat="1" ht="15" customHeight="1">
      <c r="A41" s="1220" t="str">
        <f t="shared" si="5"/>
        <v>A074~A076(2)</v>
      </c>
      <c r="B41" s="1221" t="str">
        <f t="shared" si="6"/>
        <v>M1-067(2)</v>
      </c>
      <c r="C41" s="1261">
        <f t="shared" si="7"/>
        <v>6.66</v>
      </c>
      <c r="D41" s="1261">
        <f t="shared" si="9"/>
        <v>0</v>
      </c>
      <c r="E41" s="1261"/>
      <c r="F41" s="1261"/>
      <c r="G41" s="1211" t="str">
        <f t="shared" si="8"/>
        <v>보 도</v>
      </c>
      <c r="I41" s="1259" t="s">
        <v>1338</v>
      </c>
      <c r="J41" s="1259" t="s">
        <v>1340</v>
      </c>
      <c r="K41" s="1259">
        <v>6.66</v>
      </c>
      <c r="L41" s="1259"/>
      <c r="M41" s="1259" t="s">
        <v>942</v>
      </c>
      <c r="P41" s="1223"/>
      <c r="Q41" s="1223"/>
    </row>
    <row r="42" spans="1:17" s="797" customFormat="1" ht="15" customHeight="1">
      <c r="A42" s="1220" t="str">
        <f t="shared" si="5"/>
        <v>소(국)1-어천5</v>
      </c>
      <c r="B42" s="1221" t="str">
        <f t="shared" si="6"/>
        <v>M1-071</v>
      </c>
      <c r="C42" s="1261">
        <f t="shared" si="7"/>
        <v>2.93</v>
      </c>
      <c r="D42" s="1261">
        <f t="shared" si="9"/>
        <v>0</v>
      </c>
      <c r="E42" s="1261"/>
      <c r="F42" s="1261"/>
      <c r="G42" s="1211" t="str">
        <f t="shared" si="8"/>
        <v>보 도</v>
      </c>
      <c r="I42" s="1259" t="s">
        <v>1270</v>
      </c>
      <c r="J42" s="1259" t="s">
        <v>1271</v>
      </c>
      <c r="K42" s="1259">
        <v>2.93</v>
      </c>
      <c r="L42" s="1259"/>
      <c r="M42" s="1259" t="s">
        <v>942</v>
      </c>
      <c r="P42" s="1223"/>
      <c r="Q42" s="1223"/>
    </row>
    <row r="43" spans="1:17" s="797" customFormat="1" ht="15" customHeight="1">
      <c r="A43" s="1220" t="str">
        <f t="shared" si="5"/>
        <v>소(국)1-어천5</v>
      </c>
      <c r="B43" s="1221" t="str">
        <f t="shared" si="6"/>
        <v>M1-072(2)</v>
      </c>
      <c r="C43" s="1261">
        <f t="shared" si="7"/>
        <v>2.99</v>
      </c>
      <c r="D43" s="1261">
        <f t="shared" si="9"/>
        <v>0</v>
      </c>
      <c r="E43" s="1261"/>
      <c r="F43" s="1261"/>
      <c r="G43" s="1211" t="str">
        <f t="shared" si="8"/>
        <v>보 도</v>
      </c>
      <c r="I43" s="1259" t="s">
        <v>1270</v>
      </c>
      <c r="J43" s="1259" t="s">
        <v>1415</v>
      </c>
      <c r="K43" s="1259">
        <v>2.99</v>
      </c>
      <c r="L43" s="1259"/>
      <c r="M43" s="1259" t="s">
        <v>942</v>
      </c>
      <c r="P43" s="1223"/>
      <c r="Q43" s="1223"/>
    </row>
    <row r="44" spans="1:17" s="797" customFormat="1" ht="15" customHeight="1">
      <c r="A44" s="1220" t="str">
        <f t="shared" si="5"/>
        <v>소(국)1-어천5</v>
      </c>
      <c r="B44" s="1221" t="str">
        <f t="shared" si="6"/>
        <v>M1-072(3)</v>
      </c>
      <c r="C44" s="1261">
        <f t="shared" si="7"/>
        <v>3.05</v>
      </c>
      <c r="D44" s="1261">
        <f t="shared" si="9"/>
        <v>0</v>
      </c>
      <c r="E44" s="1261"/>
      <c r="F44" s="1261"/>
      <c r="G44" s="1211" t="str">
        <f t="shared" si="8"/>
        <v>보 도</v>
      </c>
      <c r="I44" s="1259" t="s">
        <v>1270</v>
      </c>
      <c r="J44" s="1259" t="s">
        <v>1416</v>
      </c>
      <c r="K44" s="1259">
        <v>3.05</v>
      </c>
      <c r="L44" s="1259"/>
      <c r="M44" s="1259" t="s">
        <v>942</v>
      </c>
      <c r="P44" s="1223"/>
      <c r="Q44" s="1223"/>
    </row>
    <row r="45" spans="1:17" s="797" customFormat="1" ht="15" customHeight="1">
      <c r="A45" s="1220" t="str">
        <f t="shared" si="5"/>
        <v>소(국)1-어천5</v>
      </c>
      <c r="B45" s="1221" t="str">
        <f t="shared" si="6"/>
        <v>M1-072(4)</v>
      </c>
      <c r="C45" s="1261">
        <f t="shared" si="7"/>
        <v>3.12</v>
      </c>
      <c r="D45" s="1261">
        <f t="shared" si="9"/>
        <v>0</v>
      </c>
      <c r="E45" s="1261"/>
      <c r="F45" s="1261"/>
      <c r="G45" s="1211" t="str">
        <f t="shared" si="8"/>
        <v>보 도</v>
      </c>
      <c r="I45" s="1259" t="s">
        <v>1270</v>
      </c>
      <c r="J45" s="1259" t="s">
        <v>1417</v>
      </c>
      <c r="K45" s="1259">
        <v>3.12</v>
      </c>
      <c r="L45" s="1259"/>
      <c r="M45" s="1259" t="s">
        <v>942</v>
      </c>
      <c r="P45" s="1223"/>
      <c r="Q45" s="1223"/>
    </row>
    <row r="46" spans="1:17" s="797" customFormat="1" ht="15" customHeight="1">
      <c r="A46" s="1220" t="str">
        <f t="shared" si="5"/>
        <v>소(국)1-어천5</v>
      </c>
      <c r="B46" s="1221" t="str">
        <f t="shared" si="6"/>
        <v>M1-073(1)</v>
      </c>
      <c r="C46" s="1261">
        <f t="shared" si="7"/>
        <v>3.3</v>
      </c>
      <c r="D46" s="1261">
        <f t="shared" si="9"/>
        <v>0</v>
      </c>
      <c r="E46" s="1261"/>
      <c r="F46" s="1261"/>
      <c r="G46" s="1211" t="str">
        <f t="shared" si="8"/>
        <v>보 도</v>
      </c>
      <c r="I46" s="1259" t="s">
        <v>1270</v>
      </c>
      <c r="J46" s="1259" t="s">
        <v>1418</v>
      </c>
      <c r="K46" s="1259">
        <v>3.3</v>
      </c>
      <c r="L46" s="1259"/>
      <c r="M46" s="1259" t="s">
        <v>942</v>
      </c>
      <c r="P46" s="1223"/>
      <c r="Q46" s="1223"/>
    </row>
    <row r="47" spans="1:17" s="797" customFormat="1" ht="15" customHeight="1">
      <c r="A47" s="1220" t="str">
        <f t="shared" si="5"/>
        <v>소(국)1-어천5</v>
      </c>
      <c r="B47" s="1221" t="str">
        <f t="shared" si="6"/>
        <v>M1-073(2)</v>
      </c>
      <c r="C47" s="1261">
        <f t="shared" si="7"/>
        <v>3.9</v>
      </c>
      <c r="D47" s="1261">
        <f t="shared" si="9"/>
        <v>0</v>
      </c>
      <c r="E47" s="1261"/>
      <c r="F47" s="1261"/>
      <c r="G47" s="1211" t="str">
        <f t="shared" si="8"/>
        <v>보 도</v>
      </c>
      <c r="I47" s="1259" t="s">
        <v>1270</v>
      </c>
      <c r="J47" s="1259" t="s">
        <v>1419</v>
      </c>
      <c r="K47" s="1259">
        <v>3.9</v>
      </c>
      <c r="L47" s="1259"/>
      <c r="M47" s="1259" t="s">
        <v>942</v>
      </c>
      <c r="P47" s="1223"/>
      <c r="Q47" s="1223"/>
    </row>
    <row r="48" spans="1:17" s="797" customFormat="1" ht="15" customHeight="1">
      <c r="A48" s="1220" t="str">
        <f t="shared" si="5"/>
        <v>소(국)1-어천5</v>
      </c>
      <c r="B48" s="1221" t="str">
        <f t="shared" si="6"/>
        <v>M1-073(3)</v>
      </c>
      <c r="C48" s="1261">
        <f t="shared" si="7"/>
        <v>4.21</v>
      </c>
      <c r="D48" s="1261">
        <f t="shared" si="9"/>
        <v>0</v>
      </c>
      <c r="E48" s="1261"/>
      <c r="F48" s="1261"/>
      <c r="G48" s="1211" t="str">
        <f t="shared" si="8"/>
        <v>보 도</v>
      </c>
      <c r="I48" s="1259" t="s">
        <v>1270</v>
      </c>
      <c r="J48" s="1259" t="s">
        <v>1420</v>
      </c>
      <c r="K48" s="1259">
        <v>4.21</v>
      </c>
      <c r="L48" s="1259"/>
      <c r="M48" s="1259" t="s">
        <v>942</v>
      </c>
      <c r="P48" s="1223"/>
      <c r="Q48" s="1223"/>
    </row>
    <row r="49" spans="1:17" s="797" customFormat="1" ht="15" customHeight="1">
      <c r="A49" s="1220" t="str">
        <f t="shared" si="5"/>
        <v>소(국)1-어천5</v>
      </c>
      <c r="B49" s="1221" t="str">
        <f t="shared" si="6"/>
        <v>M1-073(4)</v>
      </c>
      <c r="C49" s="1261">
        <f t="shared" si="7"/>
        <v>4.51</v>
      </c>
      <c r="D49" s="1261">
        <f t="shared" si="9"/>
        <v>0</v>
      </c>
      <c r="E49" s="1261"/>
      <c r="F49" s="1261"/>
      <c r="G49" s="1211" t="str">
        <f t="shared" si="8"/>
        <v>보 도</v>
      </c>
      <c r="I49" s="1259" t="s">
        <v>1270</v>
      </c>
      <c r="J49" s="1259" t="s">
        <v>1421</v>
      </c>
      <c r="K49" s="1259">
        <v>4.51</v>
      </c>
      <c r="L49" s="1259"/>
      <c r="M49" s="1259" t="s">
        <v>942</v>
      </c>
      <c r="P49" s="1223"/>
      <c r="Q49" s="1223"/>
    </row>
    <row r="50" spans="1:17" s="797" customFormat="1" ht="15" customHeight="1">
      <c r="A50" s="1220" t="str">
        <f t="shared" si="5"/>
        <v>소(국)1-어천5</v>
      </c>
      <c r="B50" s="1221" t="str">
        <f t="shared" si="6"/>
        <v>M1-074(1)</v>
      </c>
      <c r="C50" s="1261">
        <f t="shared" si="7"/>
        <v>5.65</v>
      </c>
      <c r="D50" s="1261">
        <f t="shared" si="9"/>
        <v>0</v>
      </c>
      <c r="E50" s="1261"/>
      <c r="F50" s="1261"/>
      <c r="G50" s="1211" t="str">
        <f t="shared" si="8"/>
        <v>보 도</v>
      </c>
      <c r="I50" s="1259" t="s">
        <v>1270</v>
      </c>
      <c r="J50" s="1259" t="s">
        <v>1422</v>
      </c>
      <c r="K50" s="1259">
        <v>5.65</v>
      </c>
      <c r="L50" s="1259"/>
      <c r="M50" s="1259" t="s">
        <v>942</v>
      </c>
      <c r="P50" s="1223"/>
      <c r="Q50" s="1223"/>
    </row>
    <row r="51" spans="1:17" s="797" customFormat="1" ht="15" customHeight="1">
      <c r="A51" s="1220" t="str">
        <f t="shared" si="5"/>
        <v>소(국)1-어천5</v>
      </c>
      <c r="B51" s="1221" t="str">
        <f t="shared" si="6"/>
        <v>M1-074(2)</v>
      </c>
      <c r="C51" s="1261">
        <f t="shared" si="7"/>
        <v>6.23</v>
      </c>
      <c r="D51" s="1261">
        <f t="shared" si="9"/>
        <v>0</v>
      </c>
      <c r="E51" s="1261"/>
      <c r="F51" s="1261"/>
      <c r="G51" s="1211" t="str">
        <f t="shared" si="8"/>
        <v>보 도</v>
      </c>
      <c r="I51" s="1259" t="s">
        <v>1270</v>
      </c>
      <c r="J51" s="1259" t="s">
        <v>1423</v>
      </c>
      <c r="K51" s="1259">
        <v>6.23</v>
      </c>
      <c r="L51" s="1259"/>
      <c r="M51" s="1259" t="s">
        <v>942</v>
      </c>
      <c r="P51" s="1223"/>
      <c r="Q51" s="1223"/>
    </row>
    <row r="52" spans="1:17" s="797" customFormat="1" ht="15" customHeight="1">
      <c r="A52" s="1220" t="str">
        <f t="shared" si="5"/>
        <v>소(국)1-어천5</v>
      </c>
      <c r="B52" s="1221" t="str">
        <f t="shared" si="6"/>
        <v>M1-074(3)</v>
      </c>
      <c r="C52" s="1261">
        <f t="shared" si="7"/>
        <v>6.48</v>
      </c>
      <c r="D52" s="1261">
        <f t="shared" si="9"/>
        <v>0</v>
      </c>
      <c r="E52" s="1261"/>
      <c r="F52" s="1261"/>
      <c r="G52" s="1211" t="str">
        <f t="shared" si="8"/>
        <v>보 도</v>
      </c>
      <c r="I52" s="1259" t="s">
        <v>1270</v>
      </c>
      <c r="J52" s="1259" t="s">
        <v>1424</v>
      </c>
      <c r="K52" s="1259">
        <v>6.48</v>
      </c>
      <c r="L52" s="1259"/>
      <c r="M52" s="1259" t="s">
        <v>942</v>
      </c>
      <c r="P52" s="1223"/>
      <c r="Q52" s="1223"/>
    </row>
    <row r="53" spans="1:17" s="797" customFormat="1" ht="15" customHeight="1">
      <c r="A53" s="1220" t="str">
        <f t="shared" si="5"/>
        <v>소(국)1-어천5</v>
      </c>
      <c r="B53" s="1221" t="str">
        <f t="shared" si="6"/>
        <v>M1-074(4)</v>
      </c>
      <c r="C53" s="1261">
        <f t="shared" si="7"/>
        <v>6.74</v>
      </c>
      <c r="D53" s="1261">
        <f t="shared" si="9"/>
        <v>0</v>
      </c>
      <c r="E53" s="1261"/>
      <c r="F53" s="1261"/>
      <c r="G53" s="1211" t="str">
        <f t="shared" si="8"/>
        <v>보 도</v>
      </c>
      <c r="I53" s="1259" t="s">
        <v>1270</v>
      </c>
      <c r="J53" s="1259" t="s">
        <v>1425</v>
      </c>
      <c r="K53" s="1259">
        <v>6.74</v>
      </c>
      <c r="L53" s="1259"/>
      <c r="M53" s="1259" t="s">
        <v>942</v>
      </c>
      <c r="P53" s="1223"/>
      <c r="Q53" s="1223"/>
    </row>
    <row r="54" spans="1:17" s="797" customFormat="1" ht="15" customHeight="1">
      <c r="A54" s="1220" t="str">
        <f t="shared" si="5"/>
        <v>소(국)1-어천5</v>
      </c>
      <c r="B54" s="1221" t="str">
        <f t="shared" si="6"/>
        <v>M1-074(5)</v>
      </c>
      <c r="C54" s="1261">
        <f t="shared" si="7"/>
        <v>6.99</v>
      </c>
      <c r="D54" s="1261">
        <f t="shared" si="9"/>
        <v>0</v>
      </c>
      <c r="E54" s="1261"/>
      <c r="F54" s="1261"/>
      <c r="G54" s="1211" t="str">
        <f t="shared" si="8"/>
        <v>보 도</v>
      </c>
      <c r="I54" s="1259" t="s">
        <v>1270</v>
      </c>
      <c r="J54" s="1259" t="s">
        <v>1426</v>
      </c>
      <c r="K54" s="1259">
        <v>6.99</v>
      </c>
      <c r="L54" s="1259"/>
      <c r="M54" s="1259" t="s">
        <v>942</v>
      </c>
      <c r="P54" s="1223"/>
      <c r="Q54" s="1223"/>
    </row>
    <row r="55" spans="1:17" s="797" customFormat="1" ht="15" hidden="1" customHeight="1">
      <c r="A55" s="1220" t="str">
        <f t="shared" si="5"/>
        <v>소(국)2-어천5</v>
      </c>
      <c r="B55" s="1221" t="str">
        <f t="shared" si="6"/>
        <v>M1-075</v>
      </c>
      <c r="C55" s="1261">
        <f t="shared" si="7"/>
        <v>0</v>
      </c>
      <c r="D55" s="1261">
        <f t="shared" si="9"/>
        <v>1.57</v>
      </c>
      <c r="E55" s="1261"/>
      <c r="F55" s="1261"/>
      <c r="G55" s="1211" t="str">
        <f t="shared" si="8"/>
        <v>차 도</v>
      </c>
      <c r="I55" s="1259" t="s">
        <v>1268</v>
      </c>
      <c r="J55" s="1259" t="s">
        <v>1269</v>
      </c>
      <c r="K55" s="1259">
        <v>1.57</v>
      </c>
      <c r="L55" s="1259"/>
      <c r="M55" s="1259" t="s">
        <v>1308</v>
      </c>
      <c r="P55" s="1223"/>
      <c r="Q55" s="1223"/>
    </row>
    <row r="56" spans="1:17" s="797" customFormat="1" ht="15" hidden="1" customHeight="1">
      <c r="A56" s="1220" t="str">
        <f t="shared" si="5"/>
        <v>소(국)2-어천6</v>
      </c>
      <c r="B56" s="1221" t="str">
        <f t="shared" si="6"/>
        <v>M1-077</v>
      </c>
      <c r="C56" s="1261">
        <f t="shared" si="7"/>
        <v>0</v>
      </c>
      <c r="D56" s="1261">
        <f t="shared" si="9"/>
        <v>1.25</v>
      </c>
      <c r="E56" s="1261"/>
      <c r="F56" s="1261"/>
      <c r="G56" s="1211" t="str">
        <f t="shared" si="8"/>
        <v>차 도</v>
      </c>
      <c r="I56" s="1259" t="s">
        <v>1272</v>
      </c>
      <c r="J56" s="1259" t="s">
        <v>1273</v>
      </c>
      <c r="K56" s="1259">
        <v>1.25</v>
      </c>
      <c r="L56" s="1259"/>
      <c r="M56" s="1259" t="s">
        <v>1308</v>
      </c>
      <c r="P56" s="1223"/>
      <c r="Q56" s="1223"/>
    </row>
    <row r="57" spans="1:17" s="797" customFormat="1" ht="15" hidden="1" customHeight="1">
      <c r="A57" s="1220" t="str">
        <f t="shared" si="5"/>
        <v>소(국)3-어천2</v>
      </c>
      <c r="B57" s="1221" t="str">
        <f t="shared" si="6"/>
        <v>M1-081(1)</v>
      </c>
      <c r="C57" s="1261">
        <f t="shared" si="7"/>
        <v>0</v>
      </c>
      <c r="D57" s="1261">
        <f t="shared" si="9"/>
        <v>1.42</v>
      </c>
      <c r="E57" s="1261"/>
      <c r="F57" s="1261"/>
      <c r="G57" s="1211" t="str">
        <f t="shared" si="8"/>
        <v>차 도</v>
      </c>
      <c r="I57" s="1259" t="s">
        <v>1274</v>
      </c>
      <c r="J57" s="1259" t="s">
        <v>1427</v>
      </c>
      <c r="K57" s="1259">
        <v>1.42</v>
      </c>
      <c r="L57" s="1259"/>
      <c r="M57" s="1259" t="s">
        <v>1308</v>
      </c>
      <c r="P57" s="1223"/>
      <c r="Q57" s="1223"/>
    </row>
    <row r="58" spans="1:17" s="797" customFormat="1" ht="15" hidden="1" customHeight="1">
      <c r="A58" s="1220" t="str">
        <f t="shared" si="5"/>
        <v>가도_A092</v>
      </c>
      <c r="B58" s="1221" t="str">
        <f t="shared" si="6"/>
        <v>M1-082</v>
      </c>
      <c r="C58" s="1261">
        <f t="shared" si="7"/>
        <v>0</v>
      </c>
      <c r="D58" s="1261">
        <f t="shared" si="9"/>
        <v>3.03</v>
      </c>
      <c r="E58" s="1261"/>
      <c r="F58" s="1261"/>
      <c r="G58" s="1211" t="str">
        <f t="shared" si="8"/>
        <v>차 도</v>
      </c>
      <c r="I58" s="1259" t="s">
        <v>1428</v>
      </c>
      <c r="J58" s="1259" t="s">
        <v>1275</v>
      </c>
      <c r="K58" s="1259">
        <v>3.03</v>
      </c>
      <c r="L58" s="1259"/>
      <c r="M58" s="1259" t="s">
        <v>1308</v>
      </c>
      <c r="P58" s="1223"/>
      <c r="Q58" s="1223"/>
    </row>
    <row r="59" spans="1:17" s="797" customFormat="1" ht="15" hidden="1" customHeight="1">
      <c r="A59" s="1220" t="str">
        <f t="shared" si="5"/>
        <v>가도_A093</v>
      </c>
      <c r="B59" s="1221" t="str">
        <f t="shared" si="6"/>
        <v>M1-083</v>
      </c>
      <c r="C59" s="1261">
        <f t="shared" si="7"/>
        <v>0</v>
      </c>
      <c r="D59" s="1261">
        <f t="shared" si="9"/>
        <v>5.84</v>
      </c>
      <c r="E59" s="1261"/>
      <c r="F59" s="1261"/>
      <c r="G59" s="1211" t="str">
        <f t="shared" si="8"/>
        <v>차 도</v>
      </c>
      <c r="I59" s="1259" t="s">
        <v>1276</v>
      </c>
      <c r="J59" s="1259" t="s">
        <v>1277</v>
      </c>
      <c r="K59" s="1259">
        <v>5.84</v>
      </c>
      <c r="L59" s="1259"/>
      <c r="M59" s="1259" t="s">
        <v>1308</v>
      </c>
      <c r="P59" s="1223"/>
      <c r="Q59" s="1223"/>
    </row>
    <row r="60" spans="1:17" s="797" customFormat="1" ht="15" hidden="1" customHeight="1">
      <c r="A60" s="1220" t="str">
        <f t="shared" si="5"/>
        <v>가도_A094</v>
      </c>
      <c r="B60" s="1221" t="str">
        <f t="shared" si="6"/>
        <v>M1-084</v>
      </c>
      <c r="C60" s="1261">
        <f t="shared" si="7"/>
        <v>0</v>
      </c>
      <c r="D60" s="1261">
        <f t="shared" si="9"/>
        <v>6.04</v>
      </c>
      <c r="E60" s="1261"/>
      <c r="F60" s="1261"/>
      <c r="G60" s="1211" t="str">
        <f t="shared" si="8"/>
        <v>차 도</v>
      </c>
      <c r="I60" s="1259" t="s">
        <v>1278</v>
      </c>
      <c r="J60" s="1259" t="s">
        <v>1279</v>
      </c>
      <c r="K60" s="1259">
        <v>6.04</v>
      </c>
      <c r="L60" s="1259"/>
      <c r="M60" s="1259" t="s">
        <v>1308</v>
      </c>
      <c r="P60" s="1223"/>
      <c r="Q60" s="1223"/>
    </row>
    <row r="61" spans="1:17" s="797" customFormat="1" ht="15" customHeight="1">
      <c r="A61" s="1220" t="str">
        <f t="shared" si="5"/>
        <v>가도_A095~A100</v>
      </c>
      <c r="B61" s="1221" t="str">
        <f t="shared" si="6"/>
        <v>M1-085</v>
      </c>
      <c r="C61" s="1261">
        <f t="shared" si="7"/>
        <v>3.96</v>
      </c>
      <c r="D61" s="1261">
        <f t="shared" si="9"/>
        <v>0</v>
      </c>
      <c r="E61" s="1261"/>
      <c r="F61" s="1261"/>
      <c r="G61" s="1211" t="str">
        <f t="shared" si="8"/>
        <v>보 도</v>
      </c>
      <c r="I61" s="1259" t="s">
        <v>1280</v>
      </c>
      <c r="J61" s="1259" t="s">
        <v>1281</v>
      </c>
      <c r="K61" s="1259">
        <v>3.96</v>
      </c>
      <c r="L61" s="1259"/>
      <c r="M61" s="1259" t="s">
        <v>942</v>
      </c>
      <c r="P61" s="1223"/>
      <c r="Q61" s="1223"/>
    </row>
    <row r="62" spans="1:17" s="797" customFormat="1" ht="15" customHeight="1">
      <c r="A62" s="1220" t="str">
        <f t="shared" si="5"/>
        <v>가도_A095~A100</v>
      </c>
      <c r="B62" s="1221" t="str">
        <f t="shared" si="6"/>
        <v>M1-089</v>
      </c>
      <c r="C62" s="1261">
        <f t="shared" si="7"/>
        <v>4.17</v>
      </c>
      <c r="D62" s="1261">
        <f t="shared" si="9"/>
        <v>0</v>
      </c>
      <c r="E62" s="1261"/>
      <c r="F62" s="1261"/>
      <c r="G62" s="1211" t="str">
        <f t="shared" si="8"/>
        <v>보 도</v>
      </c>
      <c r="I62" s="1259" t="s">
        <v>1280</v>
      </c>
      <c r="J62" s="1259" t="s">
        <v>1282</v>
      </c>
      <c r="K62" s="1259">
        <v>4.17</v>
      </c>
      <c r="L62" s="1259"/>
      <c r="M62" s="1259" t="s">
        <v>942</v>
      </c>
      <c r="P62" s="1223"/>
      <c r="Q62" s="1223"/>
    </row>
    <row r="63" spans="1:17" s="797" customFormat="1" ht="15" customHeight="1">
      <c r="A63" s="1220" t="str">
        <f t="shared" si="5"/>
        <v>가도_A095~A100</v>
      </c>
      <c r="B63" s="1221" t="str">
        <f t="shared" si="6"/>
        <v>M1-090</v>
      </c>
      <c r="C63" s="1261">
        <f t="shared" si="7"/>
        <v>7.43</v>
      </c>
      <c r="D63" s="1261">
        <f t="shared" si="9"/>
        <v>0</v>
      </c>
      <c r="E63" s="1261"/>
      <c r="F63" s="1261"/>
      <c r="G63" s="1211" t="str">
        <f t="shared" si="8"/>
        <v>보 도</v>
      </c>
      <c r="I63" s="1259" t="s">
        <v>1280</v>
      </c>
      <c r="J63" s="1259" t="s">
        <v>1283</v>
      </c>
      <c r="K63" s="1259">
        <v>7.43</v>
      </c>
      <c r="L63" s="1259"/>
      <c r="M63" s="1259" t="s">
        <v>942</v>
      </c>
      <c r="P63" s="1223"/>
      <c r="Q63" s="1223"/>
    </row>
    <row r="64" spans="1:17" s="797" customFormat="1" ht="15" hidden="1" customHeight="1">
      <c r="A64" s="1220" t="str">
        <f t="shared" si="5"/>
        <v>가도_A101</v>
      </c>
      <c r="B64" s="1221" t="str">
        <f t="shared" si="6"/>
        <v>M1-091</v>
      </c>
      <c r="C64" s="1261">
        <f t="shared" si="7"/>
        <v>0</v>
      </c>
      <c r="D64" s="1261">
        <f t="shared" si="9"/>
        <v>5.04</v>
      </c>
      <c r="E64" s="1261"/>
      <c r="F64" s="1261"/>
      <c r="G64" s="1211" t="str">
        <f t="shared" si="8"/>
        <v>차 도</v>
      </c>
      <c r="I64" s="1259" t="s">
        <v>1284</v>
      </c>
      <c r="J64" s="1259" t="s">
        <v>1285</v>
      </c>
      <c r="K64" s="1259">
        <v>5.04</v>
      </c>
      <c r="L64" s="1259"/>
      <c r="M64" s="1259" t="s">
        <v>1308</v>
      </c>
      <c r="P64" s="1223"/>
      <c r="Q64" s="1223"/>
    </row>
    <row r="65" spans="1:17" s="797" customFormat="1" ht="15" hidden="1" customHeight="1">
      <c r="A65" s="1220" t="str">
        <f t="shared" si="5"/>
        <v>중(집)2-어천1</v>
      </c>
      <c r="B65" s="1221" t="str">
        <f t="shared" si="6"/>
        <v>M1-092</v>
      </c>
      <c r="C65" s="1261">
        <f t="shared" si="7"/>
        <v>0</v>
      </c>
      <c r="D65" s="1261">
        <f t="shared" si="9"/>
        <v>5.2</v>
      </c>
      <c r="E65" s="1261"/>
      <c r="F65" s="1261"/>
      <c r="G65" s="1211" t="str">
        <f t="shared" si="8"/>
        <v>차 도</v>
      </c>
      <c r="I65" s="1259" t="s">
        <v>1234</v>
      </c>
      <c r="J65" s="1259" t="s">
        <v>1256</v>
      </c>
      <c r="K65" s="1259">
        <v>5.2</v>
      </c>
      <c r="L65" s="1259"/>
      <c r="M65" s="1259" t="s">
        <v>1308</v>
      </c>
      <c r="P65" s="1223"/>
      <c r="Q65" s="1223"/>
    </row>
    <row r="66" spans="1:17" s="797" customFormat="1" ht="15" hidden="1" customHeight="1">
      <c r="A66" s="1220" t="str">
        <f t="shared" si="5"/>
        <v>소(국)2-어천8</v>
      </c>
      <c r="B66" s="1221" t="str">
        <f t="shared" si="6"/>
        <v>M1-093(1)</v>
      </c>
      <c r="C66" s="1261">
        <f t="shared" si="7"/>
        <v>0</v>
      </c>
      <c r="D66" s="1261">
        <f t="shared" si="9"/>
        <v>1.22</v>
      </c>
      <c r="E66" s="1261"/>
      <c r="F66" s="1261"/>
      <c r="G66" s="1211" t="str">
        <f t="shared" si="8"/>
        <v>차 도</v>
      </c>
      <c r="I66" s="1259" t="s">
        <v>1286</v>
      </c>
      <c r="J66" s="1259" t="s">
        <v>1429</v>
      </c>
      <c r="K66" s="1259">
        <v>1.22</v>
      </c>
      <c r="L66" s="1259"/>
      <c r="M66" s="1259" t="s">
        <v>1308</v>
      </c>
      <c r="P66" s="1223"/>
      <c r="Q66" s="1223"/>
    </row>
    <row r="67" spans="1:17" s="797" customFormat="1" ht="15" hidden="1" customHeight="1">
      <c r="A67" s="1220" t="str">
        <f t="shared" si="5"/>
        <v>소(국)2-어천8</v>
      </c>
      <c r="B67" s="1221" t="str">
        <f t="shared" si="6"/>
        <v>M1-095</v>
      </c>
      <c r="C67" s="1261">
        <f t="shared" si="7"/>
        <v>0</v>
      </c>
      <c r="D67" s="1261">
        <f t="shared" si="9"/>
        <v>3.56</v>
      </c>
      <c r="E67" s="1261"/>
      <c r="F67" s="1261"/>
      <c r="G67" s="1211" t="str">
        <f t="shared" si="8"/>
        <v>차 도</v>
      </c>
      <c r="I67" s="1259" t="s">
        <v>1286</v>
      </c>
      <c r="J67" s="1259" t="s">
        <v>1288</v>
      </c>
      <c r="K67" s="1259">
        <v>3.56</v>
      </c>
      <c r="L67" s="1259"/>
      <c r="M67" s="1259" t="s">
        <v>1308</v>
      </c>
      <c r="P67" s="1223"/>
      <c r="Q67" s="1223"/>
    </row>
    <row r="68" spans="1:17" s="797" customFormat="1" ht="15" customHeight="1">
      <c r="A68" s="1220" t="str">
        <f t="shared" si="5"/>
        <v>도시농업</v>
      </c>
      <c r="B68" s="1221" t="str">
        <f t="shared" si="6"/>
        <v>M1-101</v>
      </c>
      <c r="C68" s="1261">
        <f t="shared" si="7"/>
        <v>2.08</v>
      </c>
      <c r="D68" s="1261">
        <f t="shared" si="9"/>
        <v>0</v>
      </c>
      <c r="E68" s="1261"/>
      <c r="F68" s="1261"/>
      <c r="G68" s="1211" t="str">
        <f t="shared" si="8"/>
        <v>보 도</v>
      </c>
      <c r="I68" s="1259" t="s">
        <v>1290</v>
      </c>
      <c r="J68" s="1259" t="s">
        <v>535</v>
      </c>
      <c r="K68" s="1259">
        <v>2.08</v>
      </c>
      <c r="L68" s="1259"/>
      <c r="M68" s="1259" t="s">
        <v>942</v>
      </c>
      <c r="P68" s="1223"/>
      <c r="Q68" s="1223"/>
    </row>
    <row r="69" spans="1:17" s="797" customFormat="1" ht="15" customHeight="1">
      <c r="A69" s="1220" t="str">
        <f t="shared" si="5"/>
        <v>도시농업</v>
      </c>
      <c r="B69" s="1221" t="str">
        <f t="shared" si="6"/>
        <v>M1-102</v>
      </c>
      <c r="C69" s="1261">
        <f t="shared" si="7"/>
        <v>2.2799999999999998</v>
      </c>
      <c r="D69" s="1261">
        <f t="shared" si="9"/>
        <v>0</v>
      </c>
      <c r="E69" s="1261"/>
      <c r="F69" s="1261"/>
      <c r="G69" s="1211" t="str">
        <f t="shared" si="8"/>
        <v>보 도</v>
      </c>
      <c r="I69" s="1259" t="s">
        <v>1290</v>
      </c>
      <c r="J69" s="1259" t="s">
        <v>536</v>
      </c>
      <c r="K69" s="1259">
        <v>2.2799999999999998</v>
      </c>
      <c r="L69" s="1259"/>
      <c r="M69" s="1259" t="s">
        <v>942</v>
      </c>
      <c r="P69" s="1223"/>
      <c r="Q69" s="1223"/>
    </row>
    <row r="70" spans="1:17" s="797" customFormat="1" ht="15" customHeight="1">
      <c r="A70" s="1220" t="str">
        <f t="shared" si="5"/>
        <v>도시농업</v>
      </c>
      <c r="B70" s="1221" t="str">
        <f t="shared" si="6"/>
        <v>M1-103</v>
      </c>
      <c r="C70" s="1261">
        <f t="shared" si="7"/>
        <v>2.5099999999999998</v>
      </c>
      <c r="D70" s="1261">
        <f t="shared" si="9"/>
        <v>0</v>
      </c>
      <c r="E70" s="1261"/>
      <c r="F70" s="1261"/>
      <c r="G70" s="1211" t="str">
        <f t="shared" si="8"/>
        <v>보 도</v>
      </c>
      <c r="I70" s="1259" t="s">
        <v>1290</v>
      </c>
      <c r="J70" s="1259" t="s">
        <v>426</v>
      </c>
      <c r="K70" s="1259">
        <v>2.5099999999999998</v>
      </c>
      <c r="L70" s="1259"/>
      <c r="M70" s="1259" t="s">
        <v>942</v>
      </c>
      <c r="P70" s="1223"/>
      <c r="Q70" s="1223"/>
    </row>
    <row r="71" spans="1:17" s="797" customFormat="1" ht="15" hidden="1" customHeight="1">
      <c r="A71" s="1220" t="str">
        <f t="shared" si="5"/>
        <v>소(국)2-어천7</v>
      </c>
      <c r="B71" s="1221" t="str">
        <f t="shared" si="6"/>
        <v>M1-108(1)</v>
      </c>
      <c r="C71" s="1261">
        <f t="shared" si="7"/>
        <v>0</v>
      </c>
      <c r="D71" s="1261">
        <f t="shared" si="9"/>
        <v>1.22</v>
      </c>
      <c r="E71" s="1261"/>
      <c r="F71" s="1261"/>
      <c r="G71" s="1211" t="str">
        <f t="shared" si="8"/>
        <v>차 도</v>
      </c>
      <c r="I71" s="1259" t="s">
        <v>1291</v>
      </c>
      <c r="J71" s="1259" t="s">
        <v>1430</v>
      </c>
      <c r="K71" s="1259">
        <v>1.22</v>
      </c>
      <c r="L71" s="1259"/>
      <c r="M71" s="1259" t="s">
        <v>1308</v>
      </c>
      <c r="P71" s="1223"/>
      <c r="Q71" s="1223"/>
    </row>
    <row r="72" spans="1:17" s="797" customFormat="1" ht="15" hidden="1" customHeight="1">
      <c r="A72" s="1220" t="str">
        <f t="shared" si="5"/>
        <v>소(국)1-어천8</v>
      </c>
      <c r="B72" s="1221" t="str">
        <f t="shared" si="6"/>
        <v>M1-109</v>
      </c>
      <c r="C72" s="1261">
        <f t="shared" si="7"/>
        <v>0</v>
      </c>
      <c r="D72" s="1261">
        <f t="shared" si="9"/>
        <v>1.59</v>
      </c>
      <c r="E72" s="1261"/>
      <c r="F72" s="1261"/>
      <c r="G72" s="1211" t="str">
        <f t="shared" si="8"/>
        <v>차 도</v>
      </c>
      <c r="I72" s="1259" t="s">
        <v>1292</v>
      </c>
      <c r="J72" s="1259" t="s">
        <v>423</v>
      </c>
      <c r="K72" s="1259">
        <v>1.59</v>
      </c>
      <c r="L72" s="1259"/>
      <c r="M72" s="1259" t="s">
        <v>1308</v>
      </c>
      <c r="P72" s="1223"/>
      <c r="Q72" s="1223"/>
    </row>
    <row r="73" spans="1:17" s="797" customFormat="1" ht="15" customHeight="1">
      <c r="A73" s="1220" t="str">
        <f t="shared" si="5"/>
        <v>소(국)2-어천9</v>
      </c>
      <c r="B73" s="1221" t="str">
        <f t="shared" si="6"/>
        <v>M1-110(1)</v>
      </c>
      <c r="C73" s="1261">
        <f t="shared" si="7"/>
        <v>1.59</v>
      </c>
      <c r="D73" s="1261">
        <f t="shared" si="9"/>
        <v>0</v>
      </c>
      <c r="E73" s="1261"/>
      <c r="F73" s="1261"/>
      <c r="G73" s="1211" t="str">
        <f t="shared" si="8"/>
        <v>보 도</v>
      </c>
      <c r="I73" s="1259" t="s">
        <v>1293</v>
      </c>
      <c r="J73" s="1259" t="s">
        <v>1431</v>
      </c>
      <c r="K73" s="1259">
        <v>1.59</v>
      </c>
      <c r="L73" s="1259"/>
      <c r="M73" s="1259" t="s">
        <v>942</v>
      </c>
      <c r="P73" s="1223"/>
      <c r="Q73" s="1223"/>
    </row>
    <row r="74" spans="1:17" s="797" customFormat="1" ht="15" hidden="1" customHeight="1">
      <c r="A74" s="1220" t="str">
        <f t="shared" si="5"/>
        <v>A122~123</v>
      </c>
      <c r="B74" s="1221" t="str">
        <f t="shared" si="6"/>
        <v>M1-111(2)</v>
      </c>
      <c r="C74" s="1261">
        <f t="shared" si="7"/>
        <v>0</v>
      </c>
      <c r="D74" s="1261">
        <f t="shared" si="9"/>
        <v>1.66</v>
      </c>
      <c r="E74" s="1261"/>
      <c r="F74" s="1261"/>
      <c r="G74" s="1211" t="str">
        <f t="shared" si="8"/>
        <v>차 도</v>
      </c>
      <c r="I74" s="1259" t="s">
        <v>1337</v>
      </c>
      <c r="J74" s="1259" t="s">
        <v>1341</v>
      </c>
      <c r="K74" s="1259">
        <v>1.66</v>
      </c>
      <c r="L74" s="1259"/>
      <c r="M74" s="1259" t="s">
        <v>1308</v>
      </c>
      <c r="P74" s="1223"/>
      <c r="Q74" s="1223"/>
    </row>
    <row r="75" spans="1:17" s="797" customFormat="1" ht="15" hidden="1" customHeight="1">
      <c r="A75" s="1220" t="str">
        <f t="shared" si="5"/>
        <v>A122~123</v>
      </c>
      <c r="B75" s="1221" t="str">
        <f t="shared" si="6"/>
        <v>M1-111(3)</v>
      </c>
      <c r="C75" s="1261">
        <f t="shared" si="7"/>
        <v>0</v>
      </c>
      <c r="D75" s="1261">
        <f t="shared" si="9"/>
        <v>2.13</v>
      </c>
      <c r="E75" s="1261"/>
      <c r="F75" s="1261"/>
      <c r="G75" s="1211" t="str">
        <f t="shared" si="8"/>
        <v>차 도</v>
      </c>
      <c r="I75" s="1259" t="s">
        <v>1337</v>
      </c>
      <c r="J75" s="1259" t="s">
        <v>1342</v>
      </c>
      <c r="K75" s="1259">
        <v>2.13</v>
      </c>
      <c r="L75" s="1259"/>
      <c r="M75" s="1259" t="s">
        <v>1308</v>
      </c>
      <c r="P75" s="1223"/>
      <c r="Q75" s="1223"/>
    </row>
    <row r="76" spans="1:17" s="797" customFormat="1" ht="15" customHeight="1">
      <c r="A76" s="1220" t="str">
        <f t="shared" si="5"/>
        <v>중(보)매송2-4</v>
      </c>
      <c r="B76" s="1221" t="str">
        <f t="shared" si="6"/>
        <v>M1-112</v>
      </c>
      <c r="C76" s="1261">
        <f t="shared" si="7"/>
        <v>1.26</v>
      </c>
      <c r="D76" s="1261">
        <f t="shared" si="9"/>
        <v>0</v>
      </c>
      <c r="E76" s="1261"/>
      <c r="F76" s="1261"/>
      <c r="G76" s="1211" t="str">
        <f t="shared" si="8"/>
        <v>보 도</v>
      </c>
      <c r="I76" s="1259" t="s">
        <v>1294</v>
      </c>
      <c r="J76" s="1259" t="s">
        <v>424</v>
      </c>
      <c r="K76" s="1259">
        <v>1.26</v>
      </c>
      <c r="L76" s="1259"/>
      <c r="M76" s="1259" t="s">
        <v>942</v>
      </c>
      <c r="P76" s="1223"/>
      <c r="Q76" s="1223"/>
    </row>
    <row r="77" spans="1:17" s="797" customFormat="1" ht="15" customHeight="1">
      <c r="A77" s="1220" t="str">
        <f t="shared" si="5"/>
        <v>중(보)매송2-4</v>
      </c>
      <c r="B77" s="1221" t="str">
        <f t="shared" si="6"/>
        <v>M1-114</v>
      </c>
      <c r="C77" s="1261">
        <f t="shared" si="7"/>
        <v>1.54</v>
      </c>
      <c r="D77" s="1261">
        <f t="shared" si="9"/>
        <v>0</v>
      </c>
      <c r="E77" s="1261"/>
      <c r="F77" s="1261"/>
      <c r="G77" s="1211" t="str">
        <f t="shared" si="8"/>
        <v>보 도</v>
      </c>
      <c r="I77" s="1259" t="s">
        <v>1294</v>
      </c>
      <c r="J77" s="1259" t="s">
        <v>425</v>
      </c>
      <c r="K77" s="1259">
        <v>1.54</v>
      </c>
      <c r="L77" s="1259"/>
      <c r="M77" s="1259" t="s">
        <v>942</v>
      </c>
      <c r="P77" s="1223"/>
      <c r="Q77" s="1223"/>
    </row>
    <row r="78" spans="1:17" s="797" customFormat="1" ht="15" customHeight="1">
      <c r="A78" s="1220" t="str">
        <f t="shared" ref="A78:A111" si="10">I78</f>
        <v>중(보)매송2-4</v>
      </c>
      <c r="B78" s="1221" t="str">
        <f t="shared" ref="B78:B111" si="11">J78</f>
        <v>M1-115</v>
      </c>
      <c r="C78" s="1261">
        <f t="shared" ref="C78:C111" si="12">IF($M78="보  도",$K78,0)</f>
        <v>1.65</v>
      </c>
      <c r="D78" s="1261">
        <f t="shared" si="9"/>
        <v>0</v>
      </c>
      <c r="E78" s="1261"/>
      <c r="F78" s="1261"/>
      <c r="G78" s="1211" t="str">
        <f t="shared" ref="G78:G89" si="13">IF(M78="보  도","보 도","차 도")</f>
        <v>보 도</v>
      </c>
      <c r="I78" s="1259" t="s">
        <v>1294</v>
      </c>
      <c r="J78" s="1259" t="s">
        <v>943</v>
      </c>
      <c r="K78" s="1259">
        <v>1.65</v>
      </c>
      <c r="L78" s="1259"/>
      <c r="M78" s="1259" t="s">
        <v>942</v>
      </c>
      <c r="P78" s="1223"/>
      <c r="Q78" s="1223"/>
    </row>
    <row r="79" spans="1:17" s="797" customFormat="1" ht="15" customHeight="1">
      <c r="A79" s="1220" t="str">
        <f t="shared" si="10"/>
        <v>중(보)매송2-4</v>
      </c>
      <c r="B79" s="1221" t="str">
        <f t="shared" si="11"/>
        <v>M1-116</v>
      </c>
      <c r="C79" s="1261">
        <f t="shared" si="12"/>
        <v>2.3199999999999998</v>
      </c>
      <c r="D79" s="1261">
        <f t="shared" si="9"/>
        <v>0</v>
      </c>
      <c r="E79" s="1261"/>
      <c r="F79" s="1261"/>
      <c r="G79" s="1211" t="str">
        <f t="shared" si="13"/>
        <v>보 도</v>
      </c>
      <c r="I79" s="1259" t="s">
        <v>1294</v>
      </c>
      <c r="J79" s="1259" t="s">
        <v>537</v>
      </c>
      <c r="K79" s="1259">
        <v>2.3199999999999998</v>
      </c>
      <c r="L79" s="1259"/>
      <c r="M79" s="1259" t="s">
        <v>942</v>
      </c>
      <c r="P79" s="1223"/>
      <c r="Q79" s="1223"/>
    </row>
    <row r="80" spans="1:17" s="797" customFormat="1" ht="15" hidden="1" customHeight="1">
      <c r="A80" s="1220" t="str">
        <f t="shared" si="10"/>
        <v>중(보)매송2-4</v>
      </c>
      <c r="B80" s="1221" t="str">
        <f t="shared" si="11"/>
        <v>M1-118</v>
      </c>
      <c r="C80" s="1261">
        <f t="shared" si="12"/>
        <v>0</v>
      </c>
      <c r="D80" s="1261">
        <f t="shared" si="9"/>
        <v>3.38</v>
      </c>
      <c r="E80" s="1261"/>
      <c r="F80" s="1261"/>
      <c r="G80" s="1211" t="str">
        <f t="shared" si="13"/>
        <v>차 도</v>
      </c>
      <c r="I80" s="1259" t="s">
        <v>1294</v>
      </c>
      <c r="J80" s="1259" t="s">
        <v>944</v>
      </c>
      <c r="K80" s="1259">
        <v>3.38</v>
      </c>
      <c r="L80" s="1259"/>
      <c r="M80" s="1259" t="s">
        <v>1308</v>
      </c>
      <c r="P80" s="1223"/>
      <c r="Q80" s="1223"/>
    </row>
    <row r="81" spans="1:17" s="797" customFormat="1" ht="15" hidden="1" customHeight="1">
      <c r="A81" s="1220" t="str">
        <f t="shared" si="10"/>
        <v>중(보)매송2-4</v>
      </c>
      <c r="B81" s="1221" t="str">
        <f t="shared" si="11"/>
        <v>M1-119</v>
      </c>
      <c r="C81" s="1261">
        <f t="shared" si="12"/>
        <v>0</v>
      </c>
      <c r="D81" s="1261">
        <f t="shared" ref="D81:D111" si="14">IF($M81="차  도",$K81,0)</f>
        <v>3.27</v>
      </c>
      <c r="E81" s="1261"/>
      <c r="F81" s="1261"/>
      <c r="G81" s="1211" t="str">
        <f t="shared" si="13"/>
        <v>차 도</v>
      </c>
      <c r="I81" s="1259" t="s">
        <v>1294</v>
      </c>
      <c r="J81" s="1259" t="s">
        <v>427</v>
      </c>
      <c r="K81" s="1259">
        <v>3.27</v>
      </c>
      <c r="L81" s="1259"/>
      <c r="M81" s="1259" t="s">
        <v>1308</v>
      </c>
      <c r="P81" s="1223"/>
      <c r="Q81" s="1223"/>
    </row>
    <row r="82" spans="1:17" s="797" customFormat="1" ht="15" hidden="1" customHeight="1">
      <c r="A82" s="1220" t="str">
        <f t="shared" si="10"/>
        <v>중(보)매송2-4</v>
      </c>
      <c r="B82" s="1221" t="str">
        <f t="shared" si="11"/>
        <v>M1-120</v>
      </c>
      <c r="C82" s="1261">
        <f t="shared" si="12"/>
        <v>0</v>
      </c>
      <c r="D82" s="1261">
        <f t="shared" si="14"/>
        <v>3</v>
      </c>
      <c r="E82" s="1261"/>
      <c r="F82" s="1261"/>
      <c r="G82" s="1211" t="str">
        <f t="shared" si="13"/>
        <v>차 도</v>
      </c>
      <c r="I82" s="1259" t="s">
        <v>1294</v>
      </c>
      <c r="J82" s="1259" t="s">
        <v>428</v>
      </c>
      <c r="K82" s="1259">
        <v>3</v>
      </c>
      <c r="L82" s="1259"/>
      <c r="M82" s="1259" t="s">
        <v>1308</v>
      </c>
      <c r="P82" s="1223"/>
      <c r="Q82" s="1223"/>
    </row>
    <row r="83" spans="1:17" s="797" customFormat="1" ht="15" hidden="1" customHeight="1">
      <c r="A83" s="1220" t="str">
        <f t="shared" si="10"/>
        <v>중(국)3-어천4</v>
      </c>
      <c r="B83" s="1221" t="str">
        <f t="shared" si="11"/>
        <v>M1-121</v>
      </c>
      <c r="C83" s="1261">
        <f t="shared" si="12"/>
        <v>0</v>
      </c>
      <c r="D83" s="1261">
        <f t="shared" si="14"/>
        <v>3.58</v>
      </c>
      <c r="E83" s="1261"/>
      <c r="F83" s="1261"/>
      <c r="G83" s="1211" t="str">
        <f t="shared" si="13"/>
        <v>차 도</v>
      </c>
      <c r="I83" s="1259" t="s">
        <v>1295</v>
      </c>
      <c r="J83" s="1259" t="s">
        <v>945</v>
      </c>
      <c r="K83" s="1259">
        <v>3.58</v>
      </c>
      <c r="L83" s="1259"/>
      <c r="M83" s="1259" t="s">
        <v>1308</v>
      </c>
      <c r="P83" s="1223"/>
      <c r="Q83" s="1223"/>
    </row>
    <row r="84" spans="1:17" s="797" customFormat="1" ht="15" customHeight="1">
      <c r="A84" s="1220" t="str">
        <f t="shared" si="10"/>
        <v>중(국)3-어천4</v>
      </c>
      <c r="B84" s="1221" t="str">
        <f t="shared" si="11"/>
        <v>M1-122</v>
      </c>
      <c r="C84" s="1261">
        <f t="shared" si="12"/>
        <v>5.41</v>
      </c>
      <c r="D84" s="1261">
        <f t="shared" si="14"/>
        <v>0</v>
      </c>
      <c r="E84" s="1261"/>
      <c r="F84" s="1261"/>
      <c r="G84" s="1211" t="str">
        <f t="shared" si="13"/>
        <v>보 도</v>
      </c>
      <c r="I84" s="1259" t="s">
        <v>1295</v>
      </c>
      <c r="J84" s="1259" t="s">
        <v>1432</v>
      </c>
      <c r="K84" s="1259">
        <v>5.41</v>
      </c>
      <c r="L84" s="1259"/>
      <c r="M84" s="1259" t="s">
        <v>942</v>
      </c>
      <c r="P84" s="1223"/>
      <c r="Q84" s="1223"/>
    </row>
    <row r="85" spans="1:17" s="797" customFormat="1" ht="15" customHeight="1">
      <c r="A85" s="1220" t="str">
        <f t="shared" si="10"/>
        <v>중(국)2-어천5</v>
      </c>
      <c r="B85" s="1221" t="str">
        <f t="shared" si="11"/>
        <v>M1-124(1)</v>
      </c>
      <c r="C85" s="1261">
        <f t="shared" si="12"/>
        <v>1.48</v>
      </c>
      <c r="D85" s="1261">
        <f t="shared" si="14"/>
        <v>0</v>
      </c>
      <c r="E85" s="1261"/>
      <c r="F85" s="1261"/>
      <c r="G85" s="1211" t="str">
        <f t="shared" si="13"/>
        <v>보 도</v>
      </c>
      <c r="I85" s="1259" t="s">
        <v>1296</v>
      </c>
      <c r="J85" s="1259" t="s">
        <v>1433</v>
      </c>
      <c r="K85" s="1259">
        <v>1.48</v>
      </c>
      <c r="L85" s="1259"/>
      <c r="M85" s="1259" t="s">
        <v>942</v>
      </c>
      <c r="P85" s="1223"/>
      <c r="Q85" s="1223"/>
    </row>
    <row r="86" spans="1:17" s="797" customFormat="1" ht="15" customHeight="1">
      <c r="A86" s="1220" t="str">
        <f t="shared" si="10"/>
        <v>중(국)2-어천5</v>
      </c>
      <c r="B86" s="1221" t="str">
        <f t="shared" si="11"/>
        <v>M1-124(2)</v>
      </c>
      <c r="C86" s="1261">
        <f t="shared" si="12"/>
        <v>1.47</v>
      </c>
      <c r="D86" s="1261">
        <f t="shared" si="14"/>
        <v>0</v>
      </c>
      <c r="E86" s="1261"/>
      <c r="F86" s="1261"/>
      <c r="G86" s="1211" t="str">
        <f t="shared" si="13"/>
        <v>보 도</v>
      </c>
      <c r="I86" s="1259" t="s">
        <v>1296</v>
      </c>
      <c r="J86" s="1259" t="s">
        <v>1434</v>
      </c>
      <c r="K86" s="1259">
        <v>1.47</v>
      </c>
      <c r="L86" s="1259"/>
      <c r="M86" s="1259" t="s">
        <v>942</v>
      </c>
      <c r="P86" s="1223"/>
      <c r="Q86" s="1223"/>
    </row>
    <row r="87" spans="1:17" s="797" customFormat="1" ht="15" customHeight="1">
      <c r="A87" s="1220" t="str">
        <f t="shared" si="10"/>
        <v>중(국)2-어천5</v>
      </c>
      <c r="B87" s="1221" t="str">
        <f t="shared" si="11"/>
        <v>M1-124(3)</v>
      </c>
      <c r="C87" s="1261">
        <f t="shared" si="12"/>
        <v>1.47</v>
      </c>
      <c r="D87" s="1261">
        <f t="shared" si="14"/>
        <v>0</v>
      </c>
      <c r="E87" s="1261"/>
      <c r="F87" s="1261"/>
      <c r="G87" s="1211" t="str">
        <f t="shared" si="13"/>
        <v>보 도</v>
      </c>
      <c r="I87" s="1259" t="s">
        <v>1296</v>
      </c>
      <c r="J87" s="1259" t="s">
        <v>1435</v>
      </c>
      <c r="K87" s="1259">
        <v>1.47</v>
      </c>
      <c r="L87" s="1259"/>
      <c r="M87" s="1259" t="s">
        <v>942</v>
      </c>
      <c r="P87" s="1223"/>
      <c r="Q87" s="1223"/>
    </row>
    <row r="88" spans="1:17" s="797" customFormat="1" ht="15" customHeight="1">
      <c r="A88" s="1220" t="str">
        <f t="shared" si="10"/>
        <v>중(국)2-어천5</v>
      </c>
      <c r="B88" s="1221" t="str">
        <f t="shared" si="11"/>
        <v>M1-125(2)</v>
      </c>
      <c r="C88" s="1261">
        <f t="shared" si="12"/>
        <v>1.75</v>
      </c>
      <c r="D88" s="1261">
        <f t="shared" si="14"/>
        <v>0</v>
      </c>
      <c r="E88" s="1261"/>
      <c r="F88" s="1261"/>
      <c r="G88" s="1211" t="str">
        <f t="shared" si="13"/>
        <v>보 도</v>
      </c>
      <c r="I88" s="1259" t="s">
        <v>1296</v>
      </c>
      <c r="J88" s="1259" t="s">
        <v>1436</v>
      </c>
      <c r="K88" s="1259">
        <v>1.75</v>
      </c>
      <c r="L88" s="1259"/>
      <c r="M88" s="1259" t="s">
        <v>942</v>
      </c>
      <c r="P88" s="1223"/>
      <c r="Q88" s="1223"/>
    </row>
    <row r="89" spans="1:17" s="797" customFormat="1" ht="15" customHeight="1">
      <c r="A89" s="1220" t="str">
        <f t="shared" si="10"/>
        <v>중(국)2-어천5</v>
      </c>
      <c r="B89" s="1221" t="str">
        <f t="shared" si="11"/>
        <v>M1-125(3)</v>
      </c>
      <c r="C89" s="1261">
        <f t="shared" si="12"/>
        <v>2.06</v>
      </c>
      <c r="D89" s="1261">
        <f t="shared" si="14"/>
        <v>0</v>
      </c>
      <c r="E89" s="1261"/>
      <c r="F89" s="1261"/>
      <c r="G89" s="1211" t="str">
        <f t="shared" si="13"/>
        <v>보 도</v>
      </c>
      <c r="I89" s="1259" t="s">
        <v>1296</v>
      </c>
      <c r="J89" s="1259" t="s">
        <v>1437</v>
      </c>
      <c r="K89" s="1259">
        <v>2.06</v>
      </c>
      <c r="L89" s="1259"/>
      <c r="M89" s="1259" t="s">
        <v>942</v>
      </c>
      <c r="P89" s="1223"/>
      <c r="Q89" s="1223"/>
    </row>
    <row r="90" spans="1:17" s="797" customFormat="1" ht="15" customHeight="1">
      <c r="A90" s="1220" t="str">
        <f t="shared" ref="A90:A95" si="15">I90</f>
        <v>중(국)2-어천5</v>
      </c>
      <c r="B90" s="1221" t="str">
        <f t="shared" ref="B90:B95" si="16">J90</f>
        <v>M1-128</v>
      </c>
      <c r="C90" s="1261">
        <f t="shared" si="12"/>
        <v>2.33</v>
      </c>
      <c r="D90" s="1261">
        <f t="shared" si="14"/>
        <v>0</v>
      </c>
      <c r="E90" s="1261"/>
      <c r="F90" s="1261"/>
      <c r="G90" s="1211" t="str">
        <f t="shared" ref="G90:G111" si="17">IF(M90="보  도","보 도","차 도")</f>
        <v>보 도</v>
      </c>
      <c r="I90" s="1259" t="s">
        <v>1296</v>
      </c>
      <c r="J90" s="1259" t="s">
        <v>429</v>
      </c>
      <c r="K90" s="1259">
        <v>2.33</v>
      </c>
      <c r="L90" s="1259"/>
      <c r="M90" s="1259" t="s">
        <v>942</v>
      </c>
      <c r="P90" s="1223"/>
      <c r="Q90" s="1223"/>
    </row>
    <row r="91" spans="1:17" s="797" customFormat="1" ht="15" hidden="1" customHeight="1">
      <c r="A91" s="1220" t="str">
        <f t="shared" si="15"/>
        <v>중(국)2-어천5</v>
      </c>
      <c r="B91" s="1221" t="str">
        <f t="shared" si="16"/>
        <v>M1-129</v>
      </c>
      <c r="C91" s="1261">
        <f t="shared" si="12"/>
        <v>0</v>
      </c>
      <c r="D91" s="1261">
        <f t="shared" si="14"/>
        <v>2.13</v>
      </c>
      <c r="E91" s="1261"/>
      <c r="F91" s="1261"/>
      <c r="G91" s="1211" t="str">
        <f t="shared" si="17"/>
        <v>차 도</v>
      </c>
      <c r="I91" s="1259" t="s">
        <v>1296</v>
      </c>
      <c r="J91" s="1259" t="s">
        <v>430</v>
      </c>
      <c r="K91" s="1259">
        <v>2.13</v>
      </c>
      <c r="L91" s="1259"/>
      <c r="M91" s="1259" t="s">
        <v>1308</v>
      </c>
      <c r="P91" s="1223"/>
      <c r="Q91" s="1223"/>
    </row>
    <row r="92" spans="1:17" s="797" customFormat="1" ht="15" hidden="1" customHeight="1">
      <c r="A92" s="1220" t="str">
        <f t="shared" si="15"/>
        <v>중(국)2-어천5</v>
      </c>
      <c r="B92" s="1221" t="str">
        <f t="shared" si="16"/>
        <v>M1-130</v>
      </c>
      <c r="C92" s="1261">
        <f t="shared" si="12"/>
        <v>0</v>
      </c>
      <c r="D92" s="1261">
        <f t="shared" si="14"/>
        <v>2.19</v>
      </c>
      <c r="E92" s="1261"/>
      <c r="F92" s="1261"/>
      <c r="G92" s="1211" t="str">
        <f t="shared" si="17"/>
        <v>차 도</v>
      </c>
      <c r="I92" s="1259" t="s">
        <v>1296</v>
      </c>
      <c r="J92" s="1259" t="s">
        <v>946</v>
      </c>
      <c r="K92" s="1259">
        <v>2.19</v>
      </c>
      <c r="L92" s="1259"/>
      <c r="M92" s="1259" t="s">
        <v>1308</v>
      </c>
      <c r="P92" s="1223"/>
      <c r="Q92" s="1223"/>
    </row>
    <row r="93" spans="1:17" s="797" customFormat="1" ht="15" customHeight="1">
      <c r="A93" s="1220" t="str">
        <f t="shared" si="15"/>
        <v>중(국)2-어천3</v>
      </c>
      <c r="B93" s="1221" t="str">
        <f t="shared" si="16"/>
        <v>M1-131</v>
      </c>
      <c r="C93" s="1261">
        <f t="shared" si="12"/>
        <v>2.41</v>
      </c>
      <c r="D93" s="1261">
        <f t="shared" si="14"/>
        <v>0</v>
      </c>
      <c r="E93" s="1261"/>
      <c r="F93" s="1261"/>
      <c r="G93" s="1211" t="str">
        <f t="shared" si="17"/>
        <v>보 도</v>
      </c>
      <c r="I93" s="1259" t="s">
        <v>1297</v>
      </c>
      <c r="J93" s="1259" t="s">
        <v>538</v>
      </c>
      <c r="K93" s="1259">
        <v>2.41</v>
      </c>
      <c r="L93" s="1259"/>
      <c r="M93" s="1259" t="s">
        <v>942</v>
      </c>
      <c r="P93" s="1223"/>
      <c r="Q93" s="1223"/>
    </row>
    <row r="94" spans="1:17" s="797" customFormat="1" ht="15" customHeight="1">
      <c r="A94" s="1220" t="str">
        <f t="shared" si="15"/>
        <v>중(국)3-어천5</v>
      </c>
      <c r="B94" s="1221" t="str">
        <f t="shared" si="16"/>
        <v>M1-133</v>
      </c>
      <c r="C94" s="1261">
        <f t="shared" si="12"/>
        <v>3.49</v>
      </c>
      <c r="D94" s="1261">
        <f t="shared" si="14"/>
        <v>0</v>
      </c>
      <c r="E94" s="1261"/>
      <c r="F94" s="1261"/>
      <c r="G94" s="1211" t="str">
        <f t="shared" si="17"/>
        <v>보 도</v>
      </c>
      <c r="I94" s="1259" t="s">
        <v>1298</v>
      </c>
      <c r="J94" s="1259" t="s">
        <v>539</v>
      </c>
      <c r="K94" s="1259">
        <v>3.49</v>
      </c>
      <c r="L94" s="1259"/>
      <c r="M94" s="1259" t="s">
        <v>942</v>
      </c>
      <c r="P94" s="1223"/>
      <c r="Q94" s="1223"/>
    </row>
    <row r="95" spans="1:17" s="797" customFormat="1" ht="15" customHeight="1">
      <c r="A95" s="1220" t="str">
        <f t="shared" si="15"/>
        <v>중(국)3-어천5</v>
      </c>
      <c r="B95" s="1221" t="str">
        <f t="shared" si="16"/>
        <v>M1-134</v>
      </c>
      <c r="C95" s="1261">
        <f t="shared" si="12"/>
        <v>2.68</v>
      </c>
      <c r="D95" s="1261">
        <f t="shared" si="14"/>
        <v>0</v>
      </c>
      <c r="E95" s="1261"/>
      <c r="F95" s="1261"/>
      <c r="G95" s="1211" t="str">
        <f t="shared" si="17"/>
        <v>보 도</v>
      </c>
      <c r="I95" s="1259" t="s">
        <v>1298</v>
      </c>
      <c r="J95" s="1259" t="s">
        <v>947</v>
      </c>
      <c r="K95" s="1259">
        <v>2.68</v>
      </c>
      <c r="L95" s="1259"/>
      <c r="M95" s="1259" t="s">
        <v>942</v>
      </c>
      <c r="P95" s="1223"/>
      <c r="Q95" s="1223"/>
    </row>
    <row r="96" spans="1:17" s="797" customFormat="1" ht="15" hidden="1" customHeight="1">
      <c r="A96" s="1220" t="str">
        <f t="shared" si="10"/>
        <v>중(국)3-어천5</v>
      </c>
      <c r="B96" s="1221" t="str">
        <f t="shared" si="11"/>
        <v>M1-136</v>
      </c>
      <c r="C96" s="1261">
        <f t="shared" si="12"/>
        <v>0</v>
      </c>
      <c r="D96" s="1261">
        <f t="shared" si="14"/>
        <v>3.09</v>
      </c>
      <c r="E96" s="1261"/>
      <c r="F96" s="1261"/>
      <c r="G96" s="1213" t="str">
        <f t="shared" si="17"/>
        <v>차 도</v>
      </c>
      <c r="I96" s="1259" t="s">
        <v>1298</v>
      </c>
      <c r="J96" s="1259" t="s">
        <v>1300</v>
      </c>
      <c r="K96" s="1259">
        <v>3.09</v>
      </c>
      <c r="L96" s="1259"/>
      <c r="M96" s="1259" t="s">
        <v>1308</v>
      </c>
    </row>
    <row r="97" spans="1:13" s="797" customFormat="1" ht="15" customHeight="1">
      <c r="A97" s="1220" t="str">
        <f t="shared" si="10"/>
        <v>중(국)3-어천6</v>
      </c>
      <c r="B97" s="1221" t="str">
        <f t="shared" si="11"/>
        <v>M1-138</v>
      </c>
      <c r="C97" s="1261">
        <f t="shared" si="12"/>
        <v>3.94</v>
      </c>
      <c r="D97" s="1261">
        <f t="shared" si="14"/>
        <v>0</v>
      </c>
      <c r="E97" s="1261"/>
      <c r="F97" s="1261"/>
      <c r="G97" s="1213" t="str">
        <f t="shared" si="17"/>
        <v>보 도</v>
      </c>
      <c r="I97" s="1259" t="s">
        <v>1299</v>
      </c>
      <c r="J97" s="1259" t="s">
        <v>1301</v>
      </c>
      <c r="K97" s="1259">
        <v>3.94</v>
      </c>
      <c r="L97" s="1259"/>
      <c r="M97" s="1259" t="s">
        <v>942</v>
      </c>
    </row>
    <row r="98" spans="1:13" s="797" customFormat="1" ht="15" hidden="1" customHeight="1">
      <c r="A98" s="1220" t="str">
        <f t="shared" si="10"/>
        <v>중(국)3-어천6</v>
      </c>
      <c r="B98" s="1221" t="str">
        <f t="shared" si="11"/>
        <v>M1-140</v>
      </c>
      <c r="C98" s="1261">
        <f t="shared" si="12"/>
        <v>0</v>
      </c>
      <c r="D98" s="1261">
        <f t="shared" si="14"/>
        <v>2.08</v>
      </c>
      <c r="E98" s="1261"/>
      <c r="F98" s="1261"/>
      <c r="G98" s="1213" t="str">
        <f t="shared" si="17"/>
        <v>차 도</v>
      </c>
      <c r="I98" s="1259" t="s">
        <v>1299</v>
      </c>
      <c r="J98" s="1259" t="s">
        <v>1303</v>
      </c>
      <c r="K98" s="1259">
        <v>2.08</v>
      </c>
      <c r="L98" s="1259"/>
      <c r="M98" s="1259" t="s">
        <v>1308</v>
      </c>
    </row>
    <row r="99" spans="1:13" s="797" customFormat="1" ht="15" hidden="1" customHeight="1">
      <c r="A99" s="1220" t="str">
        <f t="shared" si="10"/>
        <v>중(집)2-어천4</v>
      </c>
      <c r="B99" s="1221" t="str">
        <f t="shared" si="11"/>
        <v>M1-141</v>
      </c>
      <c r="C99" s="1261">
        <f t="shared" si="12"/>
        <v>0</v>
      </c>
      <c r="D99" s="1261">
        <f t="shared" si="14"/>
        <v>2.0299999999999998</v>
      </c>
      <c r="E99" s="1261"/>
      <c r="F99" s="1261"/>
      <c r="G99" s="1213" t="str">
        <f t="shared" si="17"/>
        <v>차 도</v>
      </c>
      <c r="I99" s="1259" t="s">
        <v>1302</v>
      </c>
      <c r="J99" s="1259" t="s">
        <v>1305</v>
      </c>
      <c r="K99" s="1259">
        <v>2.0299999999999998</v>
      </c>
      <c r="L99" s="1259"/>
      <c r="M99" s="1259" t="s">
        <v>1308</v>
      </c>
    </row>
    <row r="100" spans="1:13" s="797" customFormat="1" ht="15" hidden="1" customHeight="1">
      <c r="A100" s="1220" t="str">
        <f t="shared" si="10"/>
        <v>대(집)3-어천1</v>
      </c>
      <c r="B100" s="1221" t="str">
        <f t="shared" si="11"/>
        <v>M1-143</v>
      </c>
      <c r="C100" s="1261">
        <f t="shared" si="12"/>
        <v>0</v>
      </c>
      <c r="D100" s="1261">
        <f t="shared" si="14"/>
        <v>1.99</v>
      </c>
      <c r="E100" s="1261"/>
      <c r="F100" s="1261"/>
      <c r="G100" s="1213" t="str">
        <f t="shared" si="17"/>
        <v>차 도</v>
      </c>
      <c r="I100" s="1259" t="s">
        <v>1304</v>
      </c>
      <c r="J100" s="1259" t="s">
        <v>540</v>
      </c>
      <c r="K100" s="1259">
        <v>1.99</v>
      </c>
      <c r="L100" s="1259"/>
      <c r="M100" s="1259" t="s">
        <v>1308</v>
      </c>
    </row>
    <row r="101" spans="1:13" s="797" customFormat="1" ht="15" hidden="1" customHeight="1">
      <c r="A101" s="1220" t="str">
        <f t="shared" si="10"/>
        <v>대(집)3-어천1</v>
      </c>
      <c r="B101" s="1221" t="str">
        <f t="shared" si="11"/>
        <v>M1-145</v>
      </c>
      <c r="C101" s="1261">
        <f t="shared" si="12"/>
        <v>0</v>
      </c>
      <c r="D101" s="1261">
        <f t="shared" si="14"/>
        <v>1.99</v>
      </c>
      <c r="E101" s="1261"/>
      <c r="F101" s="1261"/>
      <c r="G101" s="1213" t="str">
        <f t="shared" si="17"/>
        <v>차 도</v>
      </c>
      <c r="I101" s="1259" t="s">
        <v>1304</v>
      </c>
      <c r="J101" s="1259" t="s">
        <v>541</v>
      </c>
      <c r="K101" s="1259">
        <v>1.99</v>
      </c>
      <c r="L101" s="1259"/>
      <c r="M101" s="1259" t="s">
        <v>1308</v>
      </c>
    </row>
    <row r="102" spans="1:13" s="797" customFormat="1" ht="15" hidden="1" customHeight="1">
      <c r="A102" s="1220" t="str">
        <f t="shared" si="10"/>
        <v>대(집)3-어천1</v>
      </c>
      <c r="B102" s="1221" t="str">
        <f t="shared" si="11"/>
        <v>M1-146(1)</v>
      </c>
      <c r="C102" s="1261">
        <f t="shared" si="12"/>
        <v>0</v>
      </c>
      <c r="D102" s="1261">
        <f t="shared" si="14"/>
        <v>2</v>
      </c>
      <c r="E102" s="1261"/>
      <c r="F102" s="1261"/>
      <c r="G102" s="1213" t="str">
        <f t="shared" si="17"/>
        <v>차 도</v>
      </c>
      <c r="I102" s="1259" t="s">
        <v>1304</v>
      </c>
      <c r="J102" s="1259" t="s">
        <v>1438</v>
      </c>
      <c r="K102" s="1259">
        <v>2</v>
      </c>
      <c r="L102" s="1259"/>
      <c r="M102" s="1259" t="s">
        <v>1308</v>
      </c>
    </row>
    <row r="103" spans="1:13" s="797" customFormat="1" ht="15" hidden="1" customHeight="1">
      <c r="A103" s="1220" t="str">
        <f t="shared" si="10"/>
        <v>대(집)3-어천1</v>
      </c>
      <c r="B103" s="1221" t="str">
        <f t="shared" si="11"/>
        <v>M1-146(2)</v>
      </c>
      <c r="C103" s="1261">
        <f t="shared" si="12"/>
        <v>0</v>
      </c>
      <c r="D103" s="1261">
        <f t="shared" si="14"/>
        <v>2.17</v>
      </c>
      <c r="E103" s="1261"/>
      <c r="F103" s="1261"/>
      <c r="G103" s="1213" t="str">
        <f t="shared" si="17"/>
        <v>차 도</v>
      </c>
      <c r="I103" s="1259" t="s">
        <v>1304</v>
      </c>
      <c r="J103" s="1259" t="s">
        <v>1439</v>
      </c>
      <c r="K103" s="1259">
        <v>2.17</v>
      </c>
      <c r="L103" s="1259"/>
      <c r="M103" s="1259" t="s">
        <v>1308</v>
      </c>
    </row>
    <row r="104" spans="1:13" s="797" customFormat="1" ht="15" hidden="1" customHeight="1">
      <c r="A104" s="1220" t="str">
        <f t="shared" si="10"/>
        <v>중(보)매송2-4</v>
      </c>
      <c r="B104" s="1221" t="str">
        <f t="shared" si="11"/>
        <v>M1-148</v>
      </c>
      <c r="C104" s="1261">
        <f t="shared" si="12"/>
        <v>0</v>
      </c>
      <c r="D104" s="1261">
        <f t="shared" si="14"/>
        <v>2.72</v>
      </c>
      <c r="E104" s="1261"/>
      <c r="F104" s="1261"/>
      <c r="G104" s="1213" t="str">
        <f t="shared" si="17"/>
        <v>차 도</v>
      </c>
      <c r="I104" s="1259" t="s">
        <v>1294</v>
      </c>
      <c r="J104" s="1259" t="s">
        <v>948</v>
      </c>
      <c r="K104" s="1259">
        <v>2.72</v>
      </c>
      <c r="L104" s="1259"/>
      <c r="M104" s="1259" t="s">
        <v>1308</v>
      </c>
    </row>
    <row r="105" spans="1:13" s="797" customFormat="1" ht="15" customHeight="1">
      <c r="A105" s="1220" t="str">
        <f t="shared" si="10"/>
        <v>중(국)3-어천4</v>
      </c>
      <c r="B105" s="1221" t="str">
        <f t="shared" si="11"/>
        <v>M1-151</v>
      </c>
      <c r="C105" s="1261">
        <f t="shared" si="12"/>
        <v>6.08</v>
      </c>
      <c r="D105" s="1261">
        <f t="shared" si="14"/>
        <v>0</v>
      </c>
      <c r="E105" s="1261"/>
      <c r="F105" s="1261"/>
      <c r="G105" s="1213" t="str">
        <f t="shared" si="17"/>
        <v>보 도</v>
      </c>
      <c r="I105" s="1259" t="s">
        <v>1295</v>
      </c>
      <c r="J105" s="1259" t="s">
        <v>432</v>
      </c>
      <c r="K105" s="1259">
        <v>6.08</v>
      </c>
      <c r="L105" s="1259"/>
      <c r="M105" s="1259" t="s">
        <v>942</v>
      </c>
    </row>
    <row r="106" spans="1:13" s="797" customFormat="1" ht="15" customHeight="1">
      <c r="A106" s="1220" t="str">
        <f t="shared" si="10"/>
        <v>중(국)3-어천4</v>
      </c>
      <c r="B106" s="1221" t="str">
        <f t="shared" si="11"/>
        <v>M1-153</v>
      </c>
      <c r="C106" s="1261">
        <f t="shared" si="12"/>
        <v>5.95</v>
      </c>
      <c r="D106" s="1261">
        <f t="shared" si="14"/>
        <v>0</v>
      </c>
      <c r="E106" s="1261"/>
      <c r="F106" s="1261"/>
      <c r="G106" s="1213" t="str">
        <f t="shared" si="17"/>
        <v>보 도</v>
      </c>
      <c r="I106" s="1259" t="s">
        <v>1295</v>
      </c>
      <c r="J106" s="1259" t="s">
        <v>431</v>
      </c>
      <c r="K106" s="1259">
        <v>5.95</v>
      </c>
      <c r="L106" s="1259"/>
      <c r="M106" s="1259" t="s">
        <v>942</v>
      </c>
    </row>
    <row r="107" spans="1:13" s="797" customFormat="1" ht="15" hidden="1" customHeight="1">
      <c r="A107" s="1220" t="str">
        <f t="shared" si="10"/>
        <v>가도_B043</v>
      </c>
      <c r="B107" s="1221" t="str">
        <f t="shared" si="11"/>
        <v>M1-154</v>
      </c>
      <c r="C107" s="1261">
        <f t="shared" si="12"/>
        <v>0</v>
      </c>
      <c r="D107" s="1261">
        <f t="shared" si="14"/>
        <v>1.54</v>
      </c>
      <c r="E107" s="1261"/>
      <c r="F107" s="1261"/>
      <c r="G107" s="1213" t="str">
        <f t="shared" si="17"/>
        <v>차 도</v>
      </c>
      <c r="I107" s="1259" t="s">
        <v>1306</v>
      </c>
      <c r="J107" s="1259" t="s">
        <v>542</v>
      </c>
      <c r="K107" s="1259">
        <v>1.54</v>
      </c>
      <c r="L107" s="1259"/>
      <c r="M107" s="1259" t="s">
        <v>1308</v>
      </c>
    </row>
    <row r="108" spans="1:13" s="797" customFormat="1" ht="15" hidden="1" customHeight="1">
      <c r="A108" s="1220" t="str">
        <f t="shared" si="10"/>
        <v>가도_B044</v>
      </c>
      <c r="B108" s="1221" t="str">
        <f t="shared" si="11"/>
        <v>M1-155</v>
      </c>
      <c r="C108" s="1261">
        <f t="shared" si="12"/>
        <v>0</v>
      </c>
      <c r="D108" s="1261">
        <f t="shared" si="14"/>
        <v>3.14</v>
      </c>
      <c r="E108" s="1261"/>
      <c r="F108" s="1261"/>
      <c r="G108" s="1213" t="str">
        <f t="shared" si="17"/>
        <v>차 도</v>
      </c>
      <c r="I108" s="1259" t="s">
        <v>1307</v>
      </c>
      <c r="J108" s="1259" t="s">
        <v>1317</v>
      </c>
      <c r="K108" s="1259">
        <v>3.14</v>
      </c>
      <c r="L108" s="1259"/>
      <c r="M108" s="1259" t="s">
        <v>1308</v>
      </c>
    </row>
    <row r="109" spans="1:13" s="797" customFormat="1" ht="15" customHeight="1">
      <c r="A109" s="1220" t="str">
        <f t="shared" si="10"/>
        <v>중(국)2-어천3</v>
      </c>
      <c r="B109" s="1221" t="str">
        <f t="shared" si="11"/>
        <v>M1-156</v>
      </c>
      <c r="C109" s="1261">
        <f t="shared" si="12"/>
        <v>2.69</v>
      </c>
      <c r="D109" s="1261">
        <f t="shared" si="14"/>
        <v>0</v>
      </c>
      <c r="E109" s="1261"/>
      <c r="F109" s="1261"/>
      <c r="G109" s="1213" t="str">
        <f t="shared" si="17"/>
        <v>보 도</v>
      </c>
      <c r="I109" s="1259" t="s">
        <v>1297</v>
      </c>
      <c r="J109" s="1259" t="s">
        <v>1318</v>
      </c>
      <c r="K109" s="1259">
        <v>2.69</v>
      </c>
      <c r="L109" s="1259"/>
      <c r="M109" s="1259" t="s">
        <v>942</v>
      </c>
    </row>
    <row r="110" spans="1:13" s="797" customFormat="1" ht="15" customHeight="1">
      <c r="A110" s="1220" t="str">
        <f t="shared" si="10"/>
        <v>중(국)2-어천5</v>
      </c>
      <c r="B110" s="1221" t="str">
        <f t="shared" si="11"/>
        <v>M1-157</v>
      </c>
      <c r="C110" s="1261">
        <f t="shared" si="12"/>
        <v>5.52</v>
      </c>
      <c r="D110" s="1261">
        <f t="shared" si="14"/>
        <v>0</v>
      </c>
      <c r="E110" s="1261"/>
      <c r="F110" s="1261"/>
      <c r="G110" s="1213" t="str">
        <f t="shared" si="17"/>
        <v>보 도</v>
      </c>
      <c r="I110" s="1259" t="s">
        <v>1296</v>
      </c>
      <c r="J110" s="1259" t="s">
        <v>1319</v>
      </c>
      <c r="K110" s="1259">
        <v>5.52</v>
      </c>
      <c r="L110" s="1259"/>
      <c r="M110" s="1259" t="s">
        <v>942</v>
      </c>
    </row>
    <row r="111" spans="1:13" s="797" customFormat="1" ht="15" customHeight="1">
      <c r="A111" s="1220" t="str">
        <f t="shared" si="10"/>
        <v>중(국)2-어천5</v>
      </c>
      <c r="B111" s="1221" t="str">
        <f t="shared" si="11"/>
        <v>M1-158</v>
      </c>
      <c r="C111" s="1261">
        <f t="shared" si="12"/>
        <v>6.12</v>
      </c>
      <c r="D111" s="1261">
        <f t="shared" si="14"/>
        <v>0</v>
      </c>
      <c r="E111" s="1261"/>
      <c r="F111" s="1261"/>
      <c r="G111" s="1213" t="str">
        <f t="shared" si="17"/>
        <v>보 도</v>
      </c>
      <c r="I111" s="1259" t="s">
        <v>1296</v>
      </c>
      <c r="J111" s="1259" t="s">
        <v>1320</v>
      </c>
      <c r="K111" s="1259">
        <v>6.12</v>
      </c>
      <c r="L111" s="1259"/>
      <c r="M111" s="1259" t="s">
        <v>942</v>
      </c>
    </row>
    <row r="112" spans="1:13" s="797" customFormat="1" ht="15" hidden="1" customHeight="1">
      <c r="A112" s="1220"/>
      <c r="B112" s="1221"/>
      <c r="C112" s="1222"/>
      <c r="D112" s="1222"/>
      <c r="E112" s="1222"/>
      <c r="F112" s="1222"/>
      <c r="G112" s="1211"/>
      <c r="I112" s="1252"/>
      <c r="J112" s="1252"/>
      <c r="K112" s="1252"/>
      <c r="L112" s="1252"/>
      <c r="M112" s="1252"/>
    </row>
    <row r="113" spans="1:13" s="797" customFormat="1" ht="15" hidden="1" customHeight="1">
      <c r="A113" s="1220"/>
      <c r="B113" s="1221"/>
      <c r="C113" s="1222"/>
      <c r="D113" s="1222"/>
      <c r="E113" s="1222"/>
      <c r="F113" s="1222"/>
      <c r="G113" s="1211"/>
      <c r="I113" s="1252"/>
      <c r="J113" s="1252"/>
      <c r="K113" s="1252"/>
      <c r="L113" s="1252"/>
      <c r="M113" s="1252"/>
    </row>
    <row r="114" spans="1:13" s="797" customFormat="1" ht="15" hidden="1" customHeight="1">
      <c r="A114" s="1220"/>
      <c r="B114" s="1221"/>
      <c r="C114" s="1222"/>
      <c r="D114" s="1222"/>
      <c r="E114" s="1222"/>
      <c r="F114" s="1222"/>
      <c r="G114" s="1211"/>
      <c r="I114" s="1252"/>
      <c r="J114" s="1252"/>
      <c r="K114" s="1252"/>
      <c r="L114" s="1252"/>
      <c r="M114" s="1252"/>
    </row>
    <row r="115" spans="1:13" s="797" customFormat="1" ht="15" hidden="1" customHeight="1">
      <c r="A115" s="1220"/>
      <c r="B115" s="1221"/>
      <c r="C115" s="1222"/>
      <c r="D115" s="1222"/>
      <c r="E115" s="1222"/>
      <c r="F115" s="1222"/>
      <c r="G115" s="1211"/>
      <c r="I115" s="1252"/>
      <c r="J115" s="1252"/>
      <c r="K115" s="1252"/>
      <c r="L115" s="1252"/>
      <c r="M115" s="1252"/>
    </row>
    <row r="116" spans="1:13" s="797" customFormat="1" ht="15" hidden="1" customHeight="1">
      <c r="A116" s="1220"/>
      <c r="B116" s="1221"/>
      <c r="C116" s="1222"/>
      <c r="D116" s="1222"/>
      <c r="E116" s="1222"/>
      <c r="F116" s="1222"/>
      <c r="G116" s="1211"/>
      <c r="I116" s="1252"/>
      <c r="J116" s="1224"/>
      <c r="K116" s="1224"/>
      <c r="L116" s="1252"/>
      <c r="M116" s="1252"/>
    </row>
    <row r="117" spans="1:13" s="797" customFormat="1" ht="15" hidden="1" customHeight="1">
      <c r="A117" s="1220"/>
      <c r="B117" s="1221"/>
      <c r="C117" s="1222"/>
      <c r="D117" s="1222"/>
      <c r="E117" s="1222"/>
      <c r="F117" s="1222"/>
      <c r="G117" s="1211"/>
      <c r="I117" s="1252"/>
      <c r="J117" s="1224"/>
      <c r="K117" s="1224"/>
      <c r="L117" s="1252"/>
      <c r="M117" s="1252"/>
    </row>
    <row r="118" spans="1:13" s="797" customFormat="1" ht="15" hidden="1" customHeight="1">
      <c r="A118" s="1220"/>
      <c r="B118" s="1221"/>
      <c r="C118" s="1222"/>
      <c r="D118" s="1222"/>
      <c r="E118" s="1222"/>
      <c r="F118" s="1222"/>
      <c r="G118" s="1211"/>
      <c r="I118" s="1252"/>
      <c r="J118" s="1252"/>
      <c r="K118" s="1252"/>
      <c r="L118" s="1252"/>
      <c r="M118" s="1252"/>
    </row>
    <row r="119" spans="1:13" s="797" customFormat="1" ht="15" hidden="1" customHeight="1">
      <c r="A119" s="1220"/>
      <c r="B119" s="1221"/>
      <c r="C119" s="1222"/>
      <c r="D119" s="1222"/>
      <c r="E119" s="1222"/>
      <c r="F119" s="1222"/>
      <c r="G119" s="1211"/>
      <c r="I119" s="1252"/>
      <c r="J119" s="1252"/>
      <c r="K119" s="1252"/>
      <c r="L119" s="1252"/>
      <c r="M119" s="1252"/>
    </row>
    <row r="120" spans="1:13" s="797" customFormat="1" ht="15" hidden="1" customHeight="1">
      <c r="A120" s="1220"/>
      <c r="B120" s="1221"/>
      <c r="C120" s="1222"/>
      <c r="D120" s="1222"/>
      <c r="E120" s="1222"/>
      <c r="F120" s="1222"/>
      <c r="G120" s="1211"/>
      <c r="I120" s="1252"/>
      <c r="J120" s="1252"/>
      <c r="K120" s="1252"/>
      <c r="L120" s="1252"/>
      <c r="M120" s="1252"/>
    </row>
    <row r="121" spans="1:13" s="797" customFormat="1" ht="15" hidden="1" customHeight="1">
      <c r="A121" s="1220"/>
      <c r="B121" s="1221"/>
      <c r="C121" s="1222"/>
      <c r="D121" s="1222"/>
      <c r="E121" s="1222"/>
      <c r="F121" s="1222"/>
      <c r="G121" s="1211"/>
      <c r="I121" s="1252"/>
      <c r="J121" s="1252"/>
      <c r="K121" s="1252"/>
      <c r="L121" s="1252"/>
      <c r="M121" s="1252"/>
    </row>
    <row r="122" spans="1:13" s="797" customFormat="1" ht="15" hidden="1" customHeight="1">
      <c r="A122" s="1220"/>
      <c r="B122" s="1221"/>
      <c r="C122" s="1222"/>
      <c r="D122" s="1222"/>
      <c r="E122" s="1222"/>
      <c r="F122" s="1222"/>
      <c r="G122" s="1211"/>
      <c r="I122" s="1252"/>
      <c r="J122" s="1252"/>
      <c r="K122" s="1252"/>
      <c r="L122" s="1252"/>
      <c r="M122" s="1252"/>
    </row>
    <row r="123" spans="1:13" s="797" customFormat="1" ht="15" hidden="1" customHeight="1">
      <c r="A123" s="1220"/>
      <c r="B123" s="1221"/>
      <c r="C123" s="1222"/>
      <c r="D123" s="1222"/>
      <c r="E123" s="1222"/>
      <c r="F123" s="1222"/>
      <c r="G123" s="1211"/>
      <c r="I123" s="1252"/>
      <c r="J123" s="1252"/>
      <c r="K123" s="1252"/>
      <c r="L123" s="1252"/>
      <c r="M123" s="1252"/>
    </row>
    <row r="124" spans="1:13" s="797" customFormat="1" ht="15" hidden="1" customHeight="1">
      <c r="A124" s="1220"/>
      <c r="B124" s="1221"/>
      <c r="C124" s="1222"/>
      <c r="D124" s="1222"/>
      <c r="E124" s="1222"/>
      <c r="F124" s="1222"/>
      <c r="G124" s="1211"/>
      <c r="I124" s="1252"/>
      <c r="J124" s="1224"/>
      <c r="K124" s="1224"/>
      <c r="L124" s="1252"/>
      <c r="M124" s="1252"/>
    </row>
    <row r="125" spans="1:13" s="797" customFormat="1" ht="15" hidden="1" customHeight="1">
      <c r="A125" s="1220"/>
      <c r="B125" s="1221"/>
      <c r="C125" s="1222"/>
      <c r="D125" s="1222"/>
      <c r="E125" s="1222"/>
      <c r="F125" s="1222"/>
      <c r="G125" s="1211"/>
      <c r="I125" s="1252"/>
      <c r="J125" s="1224"/>
      <c r="K125" s="1224"/>
      <c r="L125" s="1252"/>
      <c r="M125" s="1252"/>
    </row>
    <row r="126" spans="1:13" s="797" customFormat="1" ht="15" hidden="1" customHeight="1">
      <c r="A126" s="1220"/>
      <c r="B126" s="1221"/>
      <c r="C126" s="1222"/>
      <c r="D126" s="1222"/>
      <c r="E126" s="1222"/>
      <c r="F126" s="1222"/>
      <c r="G126" s="1211"/>
      <c r="I126" s="1252"/>
      <c r="J126" s="1224"/>
      <c r="K126" s="1224"/>
      <c r="L126" s="1252"/>
      <c r="M126" s="1252"/>
    </row>
    <row r="127" spans="1:13" s="797" customFormat="1" ht="15" hidden="1" customHeight="1">
      <c r="A127" s="1220"/>
      <c r="B127" s="1221"/>
      <c r="C127" s="1222"/>
      <c r="D127" s="1222"/>
      <c r="E127" s="1222"/>
      <c r="F127" s="1222"/>
      <c r="G127" s="1211"/>
      <c r="I127" s="1252"/>
      <c r="J127" s="1224"/>
      <c r="K127" s="1224"/>
      <c r="L127" s="1252"/>
      <c r="M127" s="1252"/>
    </row>
    <row r="128" spans="1:13" s="797" customFormat="1" ht="15" hidden="1" customHeight="1">
      <c r="A128" s="1220"/>
      <c r="B128" s="1221"/>
      <c r="C128" s="1222"/>
      <c r="D128" s="1222"/>
      <c r="E128" s="1222"/>
      <c r="F128" s="1222"/>
      <c r="G128" s="1211"/>
      <c r="I128" s="1252"/>
      <c r="J128" s="1252"/>
      <c r="K128" s="1252"/>
      <c r="L128" s="1252"/>
      <c r="M128" s="1252"/>
    </row>
    <row r="129" spans="1:13" s="797" customFormat="1" ht="15" hidden="1" customHeight="1">
      <c r="A129" s="1220"/>
      <c r="B129" s="1221"/>
      <c r="C129" s="1222"/>
      <c r="D129" s="1222"/>
      <c r="E129" s="1222"/>
      <c r="F129" s="1222"/>
      <c r="G129" s="1211"/>
      <c r="I129" s="1252"/>
      <c r="J129" s="1224"/>
      <c r="K129" s="1224"/>
      <c r="L129" s="1252"/>
      <c r="M129" s="1252"/>
    </row>
    <row r="130" spans="1:13" s="797" customFormat="1" ht="15" hidden="1" customHeight="1">
      <c r="A130" s="1220"/>
      <c r="B130" s="1221"/>
      <c r="C130" s="1222"/>
      <c r="D130" s="1222"/>
      <c r="E130" s="1222"/>
      <c r="F130" s="1222"/>
      <c r="G130" s="1211"/>
      <c r="I130" s="1252"/>
      <c r="J130" s="1252"/>
      <c r="K130" s="1252"/>
      <c r="L130" s="1252"/>
      <c r="M130" s="1252"/>
    </row>
    <row r="131" spans="1:13" s="797" customFormat="1" ht="15" hidden="1" customHeight="1">
      <c r="A131" s="1220"/>
      <c r="B131" s="1221"/>
      <c r="C131" s="1222"/>
      <c r="D131" s="1222"/>
      <c r="E131" s="1222"/>
      <c r="F131" s="1222"/>
      <c r="G131" s="1211"/>
      <c r="I131" s="1252"/>
      <c r="J131" s="1224"/>
      <c r="K131" s="1224"/>
      <c r="L131" s="1252"/>
      <c r="M131" s="1252"/>
    </row>
    <row r="132" spans="1:13" s="797" customFormat="1" ht="15" hidden="1" customHeight="1">
      <c r="A132" s="1220"/>
      <c r="B132" s="1221"/>
      <c r="C132" s="1222"/>
      <c r="D132" s="1222"/>
      <c r="E132" s="1222"/>
      <c r="F132" s="1222"/>
      <c r="G132" s="1211"/>
      <c r="I132" s="1252"/>
      <c r="J132" s="1252"/>
      <c r="K132" s="1252"/>
      <c r="L132" s="1252"/>
      <c r="M132" s="1252"/>
    </row>
    <row r="133" spans="1:13" s="797" customFormat="1" ht="15" hidden="1" customHeight="1">
      <c r="A133" s="1220"/>
      <c r="B133" s="1221"/>
      <c r="C133" s="1222"/>
      <c r="D133" s="1222"/>
      <c r="E133" s="1222"/>
      <c r="F133" s="1222"/>
      <c r="G133" s="1211"/>
      <c r="I133" s="1252"/>
      <c r="J133" s="1252"/>
      <c r="K133" s="1252"/>
      <c r="L133" s="1252"/>
      <c r="M133" s="1252"/>
    </row>
    <row r="134" spans="1:13" s="797" customFormat="1" ht="15" hidden="1" customHeight="1">
      <c r="A134" s="1220"/>
      <c r="B134" s="1221"/>
      <c r="C134" s="1222"/>
      <c r="D134" s="1222"/>
      <c r="E134" s="1222"/>
      <c r="F134" s="1222"/>
      <c r="G134" s="1211"/>
      <c r="I134" s="1252"/>
      <c r="J134" s="1252"/>
      <c r="K134" s="1252"/>
      <c r="L134" s="1252"/>
      <c r="M134" s="1252"/>
    </row>
    <row r="135" spans="1:13" s="797" customFormat="1" ht="15" hidden="1" customHeight="1">
      <c r="A135" s="1220"/>
      <c r="B135" s="1221"/>
      <c r="C135" s="1222"/>
      <c r="D135" s="1222"/>
      <c r="E135" s="1222"/>
      <c r="F135" s="1222"/>
      <c r="G135" s="1211"/>
      <c r="I135" s="1252"/>
      <c r="J135" s="1252"/>
      <c r="K135" s="1252"/>
      <c r="L135" s="1252"/>
      <c r="M135" s="1252"/>
    </row>
    <row r="136" spans="1:13" s="797" customFormat="1" ht="15" hidden="1" customHeight="1">
      <c r="A136" s="1220"/>
      <c r="B136" s="1221"/>
      <c r="C136" s="1222"/>
      <c r="D136" s="1222"/>
      <c r="E136" s="1222"/>
      <c r="F136" s="1222"/>
      <c r="G136" s="1211"/>
      <c r="I136" s="1252"/>
      <c r="J136" s="1252"/>
      <c r="K136" s="1252"/>
      <c r="L136" s="1252"/>
      <c r="M136" s="1252"/>
    </row>
    <row r="137" spans="1:13" s="797" customFormat="1" ht="15" hidden="1" customHeight="1">
      <c r="A137" s="1220"/>
      <c r="B137" s="1221"/>
      <c r="C137" s="1222"/>
      <c r="D137" s="1222"/>
      <c r="E137" s="1222"/>
      <c r="F137" s="1222"/>
      <c r="G137" s="1211"/>
      <c r="I137" s="1252"/>
      <c r="J137" s="1252"/>
      <c r="K137" s="1252"/>
      <c r="L137" s="1252"/>
      <c r="M137" s="1252"/>
    </row>
    <row r="138" spans="1:13" s="797" customFormat="1" ht="15" hidden="1" customHeight="1">
      <c r="A138" s="1220"/>
      <c r="B138" s="1221"/>
      <c r="C138" s="1222"/>
      <c r="D138" s="1222"/>
      <c r="E138" s="1222"/>
      <c r="F138" s="1222"/>
      <c r="G138" s="1211"/>
      <c r="I138" s="1252"/>
      <c r="J138" s="1252"/>
      <c r="K138" s="1252"/>
      <c r="L138" s="1252"/>
      <c r="M138" s="1252"/>
    </row>
    <row r="139" spans="1:13" s="797" customFormat="1" ht="15" hidden="1" customHeight="1">
      <c r="A139" s="1220"/>
      <c r="B139" s="1221"/>
      <c r="C139" s="1222"/>
      <c r="D139" s="1222"/>
      <c r="E139" s="1222"/>
      <c r="F139" s="1222"/>
      <c r="G139" s="1211"/>
      <c r="I139" s="1252"/>
      <c r="J139" s="1252"/>
      <c r="K139" s="1252"/>
      <c r="L139" s="1252"/>
      <c r="M139" s="1252"/>
    </row>
    <row r="140" spans="1:13" s="797" customFormat="1" ht="15" hidden="1" customHeight="1">
      <c r="A140" s="1220"/>
      <c r="B140" s="1221"/>
      <c r="C140" s="1222"/>
      <c r="D140" s="1222"/>
      <c r="E140" s="1222"/>
      <c r="F140" s="1222"/>
      <c r="G140" s="1211"/>
      <c r="I140" s="1252"/>
      <c r="J140" s="1252"/>
      <c r="K140" s="1252"/>
      <c r="L140" s="1252"/>
      <c r="M140" s="1252"/>
    </row>
    <row r="141" spans="1:13" s="797" customFormat="1" ht="15" hidden="1" customHeight="1">
      <c r="A141" s="1220"/>
      <c r="B141" s="1221"/>
      <c r="C141" s="1222"/>
      <c r="D141" s="1222"/>
      <c r="E141" s="1222"/>
      <c r="F141" s="1222"/>
      <c r="G141" s="1211"/>
      <c r="I141" s="1252"/>
      <c r="J141" s="1252"/>
      <c r="K141" s="1252"/>
      <c r="L141" s="1252"/>
      <c r="M141" s="1252"/>
    </row>
    <row r="142" spans="1:13" s="797" customFormat="1" ht="15" hidden="1" customHeight="1">
      <c r="A142" s="1220"/>
      <c r="B142" s="1221"/>
      <c r="C142" s="1222"/>
      <c r="D142" s="1222"/>
      <c r="E142" s="1222"/>
      <c r="F142" s="1222"/>
      <c r="G142" s="1211"/>
      <c r="I142" s="1252"/>
      <c r="J142" s="1252"/>
      <c r="K142" s="1252"/>
      <c r="L142" s="1252"/>
      <c r="M142" s="1252"/>
    </row>
    <row r="143" spans="1:13" s="797" customFormat="1" ht="15" hidden="1" customHeight="1">
      <c r="A143" s="1220"/>
      <c r="B143" s="1221"/>
      <c r="C143" s="1222"/>
      <c r="D143" s="1222"/>
      <c r="E143" s="1222"/>
      <c r="F143" s="1222"/>
      <c r="G143" s="1211"/>
      <c r="I143" s="1252"/>
      <c r="J143" s="1252"/>
      <c r="K143" s="1252"/>
      <c r="L143" s="1252"/>
      <c r="M143" s="1252"/>
    </row>
    <row r="144" spans="1:13" s="797" customFormat="1" ht="15" hidden="1" customHeight="1">
      <c r="A144" s="1220"/>
      <c r="B144" s="1221"/>
      <c r="C144" s="1222"/>
      <c r="D144" s="1222"/>
      <c r="E144" s="1222"/>
      <c r="F144" s="1222"/>
      <c r="G144" s="1211"/>
      <c r="I144" s="1252"/>
      <c r="J144" s="1252"/>
      <c r="K144" s="1252"/>
      <c r="L144" s="1252"/>
      <c r="M144" s="1252"/>
    </row>
    <row r="145" spans="1:13" s="797" customFormat="1" ht="15" hidden="1" customHeight="1">
      <c r="A145" s="1220"/>
      <c r="B145" s="1221"/>
      <c r="C145" s="1222"/>
      <c r="D145" s="1222"/>
      <c r="E145" s="1222"/>
      <c r="F145" s="1222"/>
      <c r="G145" s="1211"/>
      <c r="I145" s="1252"/>
      <c r="J145" s="1252"/>
      <c r="K145" s="1252"/>
      <c r="L145" s="1252"/>
      <c r="M145" s="1252"/>
    </row>
    <row r="146" spans="1:13" s="797" customFormat="1" ht="15" hidden="1" customHeight="1">
      <c r="A146" s="1220"/>
      <c r="B146" s="1221"/>
      <c r="C146" s="1222"/>
      <c r="D146" s="1222"/>
      <c r="E146" s="1222"/>
      <c r="F146" s="1222"/>
      <c r="G146" s="1211"/>
      <c r="I146" s="1252"/>
      <c r="J146" s="1252"/>
      <c r="K146" s="1252"/>
      <c r="L146" s="1252"/>
      <c r="M146" s="1252"/>
    </row>
    <row r="147" spans="1:13" s="797" customFormat="1" ht="15" hidden="1" customHeight="1">
      <c r="A147" s="1220"/>
      <c r="B147" s="1221"/>
      <c r="C147" s="1222"/>
      <c r="D147" s="1222"/>
      <c r="E147" s="1222"/>
      <c r="F147" s="1222"/>
      <c r="G147" s="1211"/>
      <c r="I147" s="1252"/>
      <c r="J147" s="1252"/>
      <c r="K147" s="1252"/>
      <c r="L147" s="1252"/>
      <c r="M147" s="1252"/>
    </row>
    <row r="148" spans="1:13" s="797" customFormat="1" ht="15" hidden="1" customHeight="1">
      <c r="A148" s="1220"/>
      <c r="B148" s="1221"/>
      <c r="C148" s="1222"/>
      <c r="D148" s="1222"/>
      <c r="E148" s="1222"/>
      <c r="F148" s="1222"/>
      <c r="G148" s="1211"/>
      <c r="I148" s="1252"/>
      <c r="J148" s="1252"/>
      <c r="K148" s="1252"/>
      <c r="L148" s="1252"/>
      <c r="M148" s="1252"/>
    </row>
    <row r="149" spans="1:13" s="797" customFormat="1" ht="15" hidden="1" customHeight="1">
      <c r="A149" s="1220"/>
      <c r="B149" s="1221"/>
      <c r="C149" s="1222"/>
      <c r="D149" s="1222"/>
      <c r="E149" s="1222"/>
      <c r="F149" s="1222"/>
      <c r="G149" s="1211"/>
      <c r="I149" s="1252"/>
      <c r="J149" s="1224"/>
      <c r="K149" s="1224"/>
      <c r="L149" s="1252"/>
      <c r="M149" s="1252"/>
    </row>
    <row r="150" spans="1:13" s="797" customFormat="1" ht="15" hidden="1" customHeight="1">
      <c r="A150" s="1220"/>
      <c r="B150" s="1221"/>
      <c r="C150" s="1222"/>
      <c r="D150" s="1222"/>
      <c r="E150" s="1222"/>
      <c r="F150" s="1222"/>
      <c r="G150" s="1211"/>
      <c r="I150" s="1252"/>
      <c r="J150" s="1252"/>
      <c r="K150" s="1252"/>
      <c r="L150" s="1252"/>
      <c r="M150" s="1252"/>
    </row>
    <row r="151" spans="1:13" s="797" customFormat="1" ht="15" hidden="1" customHeight="1">
      <c r="A151" s="1220"/>
      <c r="B151" s="1221"/>
      <c r="C151" s="1222"/>
      <c r="D151" s="1222"/>
      <c r="E151" s="1222"/>
      <c r="F151" s="1222"/>
      <c r="G151" s="1211"/>
      <c r="I151" s="1252"/>
      <c r="J151" s="1252"/>
      <c r="K151" s="1252"/>
      <c r="L151" s="1252"/>
      <c r="M151" s="1252"/>
    </row>
    <row r="152" spans="1:13" s="797" customFormat="1" ht="15" hidden="1" customHeight="1">
      <c r="A152" s="1220"/>
      <c r="B152" s="1221"/>
      <c r="C152" s="1222"/>
      <c r="D152" s="1222"/>
      <c r="E152" s="1222"/>
      <c r="F152" s="1222"/>
      <c r="G152" s="1211"/>
      <c r="I152" s="1252"/>
      <c r="J152" s="1252"/>
      <c r="K152" s="1252"/>
      <c r="L152" s="1252"/>
      <c r="M152" s="1252"/>
    </row>
    <row r="153" spans="1:13" s="797" customFormat="1" ht="15" hidden="1" customHeight="1">
      <c r="A153" s="1220"/>
      <c r="B153" s="1221"/>
      <c r="C153" s="1222"/>
      <c r="D153" s="1222"/>
      <c r="E153" s="1222"/>
      <c r="F153" s="1222"/>
      <c r="G153" s="1211"/>
      <c r="I153" s="1252"/>
      <c r="J153" s="1252"/>
      <c r="K153" s="1252"/>
      <c r="L153" s="1252"/>
      <c r="M153" s="1252"/>
    </row>
    <row r="154" spans="1:13" s="797" customFormat="1" ht="15" hidden="1" customHeight="1">
      <c r="A154" s="1220"/>
      <c r="B154" s="1221"/>
      <c r="C154" s="1222"/>
      <c r="D154" s="1222"/>
      <c r="E154" s="1222"/>
      <c r="F154" s="1222"/>
      <c r="G154" s="1211"/>
      <c r="I154" s="1252"/>
      <c r="J154" s="1252"/>
      <c r="K154" s="1252"/>
      <c r="L154" s="1252"/>
      <c r="M154" s="1252"/>
    </row>
    <row r="155" spans="1:13" s="797" customFormat="1" ht="15" hidden="1" customHeight="1">
      <c r="A155" s="1220"/>
      <c r="B155" s="1221"/>
      <c r="C155" s="1222"/>
      <c r="D155" s="1222"/>
      <c r="E155" s="1222"/>
      <c r="F155" s="1222"/>
      <c r="G155" s="1211"/>
      <c r="I155" s="1252"/>
      <c r="J155" s="1252"/>
      <c r="K155" s="1252"/>
      <c r="L155" s="1252"/>
      <c r="M155" s="1252"/>
    </row>
    <row r="156" spans="1:13" s="797" customFormat="1" ht="15" hidden="1" customHeight="1">
      <c r="A156" s="1220"/>
      <c r="B156" s="1221"/>
      <c r="C156" s="1222"/>
      <c r="D156" s="1222"/>
      <c r="E156" s="1222"/>
      <c r="F156" s="1222"/>
      <c r="G156" s="1211"/>
      <c r="I156" s="1252"/>
      <c r="J156" s="1252"/>
      <c r="K156" s="1252"/>
      <c r="L156" s="1252"/>
      <c r="M156" s="1252"/>
    </row>
    <row r="157" spans="1:13" s="797" customFormat="1" ht="15" hidden="1" customHeight="1">
      <c r="A157" s="1220"/>
      <c r="B157" s="1221"/>
      <c r="C157" s="1222"/>
      <c r="D157" s="1222"/>
      <c r="E157" s="1222"/>
      <c r="F157" s="1222"/>
      <c r="G157" s="1211"/>
      <c r="I157" s="917"/>
      <c r="J157" s="917"/>
      <c r="K157" s="917"/>
      <c r="L157" s="917"/>
      <c r="M157" s="1252"/>
    </row>
    <row r="158" spans="1:13" s="1229" customFormat="1" ht="15" hidden="1" customHeight="1">
      <c r="A158" s="1948" t="s">
        <v>885</v>
      </c>
      <c r="B158" s="1225" t="s">
        <v>655</v>
      </c>
      <c r="C158" s="1226">
        <f>COUNTIF(C$4:C$157,"&gt;0")</f>
        <v>73</v>
      </c>
      <c r="D158" s="1226">
        <f>COUNTIF(D$4:D$157,"&gt;0")</f>
        <v>35</v>
      </c>
      <c r="E158" s="1226">
        <f>COUNTIF(E$4:E$157,"&gt;0")</f>
        <v>0</v>
      </c>
      <c r="F158" s="1226">
        <f>COUNTIF(F$4:F$157,"&gt;0")</f>
        <v>0</v>
      </c>
      <c r="G158" s="1227"/>
      <c r="H158" s="1228">
        <f>C158+D158+E158+F158</f>
        <v>108</v>
      </c>
      <c r="J158" s="1230">
        <f>COUNTA(J4:J157)</f>
        <v>108</v>
      </c>
    </row>
    <row r="159" spans="1:13" s="1212" customFormat="1" ht="15" hidden="1" customHeight="1">
      <c r="A159" s="1952"/>
      <c r="B159" s="1231" t="s">
        <v>221</v>
      </c>
      <c r="C159" s="1232">
        <f>SUM(C$4:C$157)</f>
        <v>314.61000000000007</v>
      </c>
      <c r="D159" s="1232">
        <f>SUM(D$4:D$157)</f>
        <v>91.09</v>
      </c>
      <c r="E159" s="1232">
        <f>SUM(E$4:E$157)</f>
        <v>0</v>
      </c>
      <c r="F159" s="1232">
        <f>SUM(F$4:F$157)</f>
        <v>0</v>
      </c>
      <c r="G159" s="1233"/>
      <c r="I159" s="1250"/>
      <c r="J159" s="1250"/>
      <c r="K159" s="1250"/>
      <c r="L159" s="1250"/>
      <c r="M159" s="1250"/>
    </row>
    <row r="160" spans="1:13" s="1237" customFormat="1" ht="15" hidden="1" customHeight="1">
      <c r="A160" s="1953"/>
      <c r="B160" s="1234" t="s">
        <v>654</v>
      </c>
      <c r="C160" s="1235">
        <f>ROUND(C159/C158,2)</f>
        <v>4.3099999999999996</v>
      </c>
      <c r="D160" s="1235">
        <f>ROUND(D159/D158,2)</f>
        <v>2.6</v>
      </c>
      <c r="E160" s="1235"/>
      <c r="F160" s="1235"/>
      <c r="G160" s="1236"/>
    </row>
    <row r="161" spans="1:17" s="797" customFormat="1" ht="15" hidden="1" customHeight="1">
      <c r="A161" s="1238" t="str">
        <f t="shared" ref="A161:A202" si="18">I161</f>
        <v>소(국)2-어천4</v>
      </c>
      <c r="B161" s="1239" t="str">
        <f t="shared" ref="B161:B202" si="19">J161</f>
        <v>M2-003</v>
      </c>
      <c r="C161" s="1261"/>
      <c r="D161" s="1261"/>
      <c r="E161" s="1261">
        <f t="shared" ref="E161:E244" si="20">IF($M161="보  도",$L161,0)</f>
        <v>0</v>
      </c>
      <c r="F161" s="1261">
        <f>IF($M161="차  도",$L161,0)</f>
        <v>5.4</v>
      </c>
      <c r="G161" s="1211" t="str">
        <f t="shared" ref="G161:G203" si="21">IF(M161="보  도","보 도","차 도")</f>
        <v>차 도</v>
      </c>
      <c r="I161" s="1260" t="s">
        <v>1230</v>
      </c>
      <c r="J161" s="1260" t="s">
        <v>1400</v>
      </c>
      <c r="K161" s="1260"/>
      <c r="L161" s="1260">
        <v>5.4</v>
      </c>
      <c r="M161" s="1260" t="s">
        <v>1308</v>
      </c>
      <c r="P161" s="1223"/>
      <c r="Q161" s="1223"/>
    </row>
    <row r="162" spans="1:17" s="797" customFormat="1" ht="15" customHeight="1">
      <c r="A162" s="1220" t="str">
        <f t="shared" ref="A162:B177" si="22">I162</f>
        <v>소(국)2-어천4</v>
      </c>
      <c r="B162" s="1221" t="str">
        <f t="shared" si="22"/>
        <v>M2-004</v>
      </c>
      <c r="C162" s="1261"/>
      <c r="D162" s="1261"/>
      <c r="E162" s="1261">
        <f t="shared" si="20"/>
        <v>5.83</v>
      </c>
      <c r="F162" s="1261">
        <f t="shared" ref="F162:F244" si="23">IF($M162="차  도",$L162,0)</f>
        <v>0</v>
      </c>
      <c r="G162" s="1211" t="str">
        <f t="shared" ref="G162:G177" si="24">IF(M162="보  도","보 도","차 도")</f>
        <v>보 도</v>
      </c>
      <c r="I162" s="1260" t="s">
        <v>1230</v>
      </c>
      <c r="J162" s="1260" t="s">
        <v>1331</v>
      </c>
      <c r="K162" s="1260"/>
      <c r="L162" s="1260">
        <v>5.83</v>
      </c>
      <c r="M162" s="1260" t="s">
        <v>942</v>
      </c>
      <c r="P162" s="1223"/>
      <c r="Q162" s="1223"/>
    </row>
    <row r="163" spans="1:17" s="797" customFormat="1" ht="15" customHeight="1">
      <c r="A163" s="1220" t="str">
        <f t="shared" si="22"/>
        <v>A004~A008(2)</v>
      </c>
      <c r="B163" s="1221" t="str">
        <f t="shared" si="22"/>
        <v>M2-007</v>
      </c>
      <c r="C163" s="1261"/>
      <c r="D163" s="1261"/>
      <c r="E163" s="1261">
        <f t="shared" si="20"/>
        <v>6.64</v>
      </c>
      <c r="F163" s="1261">
        <f t="shared" si="23"/>
        <v>0</v>
      </c>
      <c r="G163" s="1211" t="str">
        <f t="shared" si="24"/>
        <v>보 도</v>
      </c>
      <c r="I163" s="1260" t="s">
        <v>1334</v>
      </c>
      <c r="J163" s="1260" t="s">
        <v>1381</v>
      </c>
      <c r="K163" s="1260"/>
      <c r="L163" s="1260">
        <v>6.64</v>
      </c>
      <c r="M163" s="1260" t="s">
        <v>942</v>
      </c>
      <c r="P163" s="1223"/>
      <c r="Q163" s="1223"/>
    </row>
    <row r="164" spans="1:17" s="797" customFormat="1" ht="15" customHeight="1">
      <c r="A164" s="1220" t="str">
        <f t="shared" si="22"/>
        <v>A004~A008(2)</v>
      </c>
      <c r="B164" s="1221" t="str">
        <f t="shared" si="22"/>
        <v>M2-008(1)</v>
      </c>
      <c r="C164" s="1261"/>
      <c r="D164" s="1261"/>
      <c r="E164" s="1261">
        <f t="shared" si="20"/>
        <v>6.34</v>
      </c>
      <c r="F164" s="1261">
        <f t="shared" si="23"/>
        <v>0</v>
      </c>
      <c r="G164" s="1211" t="str">
        <f t="shared" si="24"/>
        <v>보 도</v>
      </c>
      <c r="I164" s="1260" t="s">
        <v>1334</v>
      </c>
      <c r="J164" s="1260" t="s">
        <v>1382</v>
      </c>
      <c r="K164" s="1260"/>
      <c r="L164" s="1260">
        <v>6.34</v>
      </c>
      <c r="M164" s="1260" t="s">
        <v>942</v>
      </c>
      <c r="P164" s="1223"/>
      <c r="Q164" s="1223"/>
    </row>
    <row r="165" spans="1:17" s="797" customFormat="1" ht="15" hidden="1" customHeight="1">
      <c r="A165" s="1220" t="str">
        <f t="shared" ref="A165:B167" si="25">I165</f>
        <v>A004~A008(2)</v>
      </c>
      <c r="B165" s="1221" t="str">
        <f t="shared" si="25"/>
        <v>M2-008(2)</v>
      </c>
      <c r="C165" s="1261"/>
      <c r="D165" s="1261"/>
      <c r="E165" s="1261">
        <f t="shared" si="20"/>
        <v>0</v>
      </c>
      <c r="F165" s="1261">
        <f t="shared" si="23"/>
        <v>7.03</v>
      </c>
      <c r="G165" s="1211" t="str">
        <f>IF(M165="보  도","보 도","차 도")</f>
        <v>차 도</v>
      </c>
      <c r="I165" s="1260" t="s">
        <v>1334</v>
      </c>
      <c r="J165" s="1260" t="s">
        <v>1383</v>
      </c>
      <c r="K165" s="1260"/>
      <c r="L165" s="1260">
        <v>7.03</v>
      </c>
      <c r="M165" s="1260" t="s">
        <v>1308</v>
      </c>
      <c r="P165" s="1223"/>
      <c r="Q165" s="1223"/>
    </row>
    <row r="166" spans="1:17" s="797" customFormat="1" ht="15" hidden="1" customHeight="1">
      <c r="A166" s="1220" t="str">
        <f t="shared" si="25"/>
        <v>중(집)2-어천1</v>
      </c>
      <c r="B166" s="1221" t="str">
        <f t="shared" si="25"/>
        <v>M2-009</v>
      </c>
      <c r="C166" s="1261"/>
      <c r="D166" s="1261"/>
      <c r="E166" s="1261">
        <f t="shared" si="20"/>
        <v>0</v>
      </c>
      <c r="F166" s="1261">
        <f t="shared" si="23"/>
        <v>7.14</v>
      </c>
      <c r="G166" s="1211" t="str">
        <f>IF(M166="보  도","보 도","차 도")</f>
        <v>차 도</v>
      </c>
      <c r="I166" s="1260" t="s">
        <v>1234</v>
      </c>
      <c r="J166" s="1260" t="s">
        <v>1384</v>
      </c>
      <c r="K166" s="1260"/>
      <c r="L166" s="1260">
        <v>7.14</v>
      </c>
      <c r="M166" s="1260" t="s">
        <v>1308</v>
      </c>
      <c r="P166" s="1223"/>
      <c r="Q166" s="1223"/>
    </row>
    <row r="167" spans="1:17" s="797" customFormat="1" ht="15" hidden="1" customHeight="1">
      <c r="A167" s="1220" t="str">
        <f t="shared" si="25"/>
        <v>중(집)2-어천1</v>
      </c>
      <c r="B167" s="1221" t="str">
        <f t="shared" si="25"/>
        <v>M2-016</v>
      </c>
      <c r="C167" s="1261"/>
      <c r="D167" s="1261"/>
      <c r="E167" s="1261">
        <f t="shared" si="20"/>
        <v>0</v>
      </c>
      <c r="F167" s="1261">
        <f t="shared" si="23"/>
        <v>6.34</v>
      </c>
      <c r="G167" s="1211" t="str">
        <f>IF(M167="보  도","보 도","차 도")</f>
        <v>차 도</v>
      </c>
      <c r="I167" s="1259" t="s">
        <v>1234</v>
      </c>
      <c r="J167" s="1259" t="s">
        <v>1496</v>
      </c>
      <c r="K167" s="1259"/>
      <c r="L167" s="1264">
        <v>6.34</v>
      </c>
      <c r="M167" s="1259" t="s">
        <v>1308</v>
      </c>
      <c r="P167" s="1223"/>
      <c r="Q167" s="1223"/>
    </row>
    <row r="168" spans="1:17" s="797" customFormat="1" ht="15" hidden="1" customHeight="1">
      <c r="A168" s="1220" t="str">
        <f>I168</f>
        <v>중(집)2-어천1</v>
      </c>
      <c r="B168" s="1283" t="str">
        <f>J168</f>
        <v>M2-023</v>
      </c>
      <c r="C168" s="1261"/>
      <c r="D168" s="1261"/>
      <c r="E168" s="1261">
        <f t="shared" si="20"/>
        <v>0</v>
      </c>
      <c r="F168" s="1261">
        <f t="shared" si="23"/>
        <v>6.53</v>
      </c>
      <c r="G168" s="1211" t="str">
        <f>IF(M168="보  도","보 도","차 도")</f>
        <v>차 도</v>
      </c>
      <c r="I168" s="1259" t="s">
        <v>1234</v>
      </c>
      <c r="J168" s="1259" t="s">
        <v>1539</v>
      </c>
      <c r="K168" s="1259"/>
      <c r="L168" s="1264">
        <v>6.53</v>
      </c>
      <c r="M168" s="1259" t="s">
        <v>1308</v>
      </c>
      <c r="P168" s="1223"/>
      <c r="Q168" s="1223"/>
    </row>
    <row r="169" spans="1:17" s="797" customFormat="1" ht="15" customHeight="1">
      <c r="A169" s="1220" t="str">
        <f t="shared" si="22"/>
        <v>중(집)2-어천1</v>
      </c>
      <c r="B169" s="1221" t="str">
        <f t="shared" si="22"/>
        <v>M2-025</v>
      </c>
      <c r="C169" s="1261"/>
      <c r="D169" s="1261"/>
      <c r="E169" s="1261">
        <f t="shared" si="20"/>
        <v>6.88</v>
      </c>
      <c r="F169" s="1261">
        <f t="shared" si="23"/>
        <v>0</v>
      </c>
      <c r="G169" s="1211" t="str">
        <f t="shared" si="24"/>
        <v>보 도</v>
      </c>
      <c r="I169" s="1260" t="s">
        <v>1234</v>
      </c>
      <c r="J169" s="1260" t="s">
        <v>1226</v>
      </c>
      <c r="K169" s="1260"/>
      <c r="L169" s="1260">
        <v>6.88</v>
      </c>
      <c r="M169" s="1260" t="s">
        <v>942</v>
      </c>
      <c r="P169" s="1223"/>
      <c r="Q169" s="1223"/>
    </row>
    <row r="170" spans="1:17" s="797" customFormat="1" ht="15" customHeight="1">
      <c r="A170" s="1220" t="str">
        <f t="shared" ref="A170:B174" si="26">I170</f>
        <v>중(집)2-어천1</v>
      </c>
      <c r="B170" s="1283" t="str">
        <f t="shared" si="26"/>
        <v>M2-026</v>
      </c>
      <c r="C170" s="1261"/>
      <c r="D170" s="1261"/>
      <c r="E170" s="1261">
        <f t="shared" si="20"/>
        <v>8.23</v>
      </c>
      <c r="F170" s="1261">
        <f t="shared" si="23"/>
        <v>0</v>
      </c>
      <c r="G170" s="1211" t="str">
        <f>IF(M170="보  도","보 도","차 도")</f>
        <v>보 도</v>
      </c>
      <c r="I170" s="1259" t="s">
        <v>1234</v>
      </c>
      <c r="J170" s="1259" t="s">
        <v>1543</v>
      </c>
      <c r="K170" s="1259"/>
      <c r="L170" s="1264">
        <v>8.23</v>
      </c>
      <c r="M170" s="1259" t="s">
        <v>942</v>
      </c>
      <c r="P170" s="1223"/>
      <c r="Q170" s="1223"/>
    </row>
    <row r="171" spans="1:17" s="797" customFormat="1" ht="15" hidden="1" customHeight="1">
      <c r="A171" s="1220" t="str">
        <f t="shared" si="26"/>
        <v>중(집)2-어천1</v>
      </c>
      <c r="B171" s="1283" t="str">
        <f t="shared" si="26"/>
        <v>M2-030</v>
      </c>
      <c r="C171" s="1261"/>
      <c r="D171" s="1261"/>
      <c r="E171" s="1261">
        <f t="shared" si="20"/>
        <v>0</v>
      </c>
      <c r="F171" s="1261">
        <f t="shared" si="23"/>
        <v>5.37</v>
      </c>
      <c r="G171" s="1211" t="str">
        <f>IF(M171="보  도","보 도","차 도")</f>
        <v>차 도</v>
      </c>
      <c r="I171" s="1259" t="s">
        <v>1234</v>
      </c>
      <c r="J171" s="1259" t="s">
        <v>1544</v>
      </c>
      <c r="K171" s="1259"/>
      <c r="L171" s="1264">
        <v>5.37</v>
      </c>
      <c r="M171" s="1259" t="s">
        <v>1308</v>
      </c>
      <c r="P171" s="1223"/>
      <c r="Q171" s="1223"/>
    </row>
    <row r="172" spans="1:17" s="797" customFormat="1" ht="15" hidden="1" customHeight="1">
      <c r="A172" s="1220" t="str">
        <f t="shared" si="26"/>
        <v>중(집)2-어천1</v>
      </c>
      <c r="B172" s="1283" t="str">
        <f t="shared" si="26"/>
        <v>M2-031</v>
      </c>
      <c r="C172" s="1261"/>
      <c r="D172" s="1261"/>
      <c r="E172" s="1261">
        <f t="shared" si="20"/>
        <v>0</v>
      </c>
      <c r="F172" s="1261">
        <f t="shared" si="23"/>
        <v>5.29</v>
      </c>
      <c r="G172" s="1211" t="str">
        <f>IF(M172="보  도","보 도","차 도")</f>
        <v>차 도</v>
      </c>
      <c r="I172" s="1259" t="s">
        <v>1234</v>
      </c>
      <c r="J172" s="1259" t="s">
        <v>1545</v>
      </c>
      <c r="K172" s="1259"/>
      <c r="L172" s="1264">
        <v>5.29</v>
      </c>
      <c r="M172" s="1259" t="s">
        <v>1308</v>
      </c>
      <c r="P172" s="1223"/>
      <c r="Q172" s="1223"/>
    </row>
    <row r="173" spans="1:17" s="797" customFormat="1" ht="15" hidden="1" customHeight="1">
      <c r="A173" s="1220" t="str">
        <f t="shared" si="26"/>
        <v>중(집)2-어천1</v>
      </c>
      <c r="B173" s="1283" t="str">
        <f t="shared" si="26"/>
        <v>M2-034</v>
      </c>
      <c r="C173" s="1261"/>
      <c r="D173" s="1261"/>
      <c r="E173" s="1261">
        <f t="shared" si="20"/>
        <v>0</v>
      </c>
      <c r="F173" s="1261">
        <f t="shared" si="23"/>
        <v>4.2699999999999996</v>
      </c>
      <c r="G173" s="1211" t="str">
        <f>IF(M173="보  도","보 도","차 도")</f>
        <v>차 도</v>
      </c>
      <c r="I173" s="1259" t="s">
        <v>1234</v>
      </c>
      <c r="J173" s="1259" t="s">
        <v>1540</v>
      </c>
      <c r="K173" s="1259"/>
      <c r="L173" s="1264">
        <v>4.2699999999999996</v>
      </c>
      <c r="M173" s="1259" t="s">
        <v>1308</v>
      </c>
      <c r="P173" s="1223"/>
      <c r="Q173" s="1223"/>
    </row>
    <row r="174" spans="1:17" s="797" customFormat="1" ht="15" hidden="1" customHeight="1">
      <c r="A174" s="1220" t="str">
        <f t="shared" si="26"/>
        <v>중(집)2-어천1</v>
      </c>
      <c r="B174" s="1283" t="str">
        <f t="shared" si="26"/>
        <v>M2-038</v>
      </c>
      <c r="C174" s="1261"/>
      <c r="D174" s="1261"/>
      <c r="E174" s="1261">
        <f t="shared" si="20"/>
        <v>0</v>
      </c>
      <c r="F174" s="1261">
        <f t="shared" si="23"/>
        <v>5.72</v>
      </c>
      <c r="G174" s="1211" t="str">
        <f>IF(M174="보  도","보 도","차 도")</f>
        <v>차 도</v>
      </c>
      <c r="I174" s="1259" t="s">
        <v>1234</v>
      </c>
      <c r="J174" s="1259" t="s">
        <v>1546</v>
      </c>
      <c r="K174" s="1259"/>
      <c r="L174" s="1264">
        <v>5.72</v>
      </c>
      <c r="M174" s="1259" t="s">
        <v>1308</v>
      </c>
      <c r="P174" s="1223"/>
      <c r="Q174" s="1223"/>
    </row>
    <row r="175" spans="1:17" s="797" customFormat="1" ht="15" customHeight="1">
      <c r="A175" s="1220" t="str">
        <f t="shared" si="22"/>
        <v>도시농업</v>
      </c>
      <c r="B175" s="1221" t="str">
        <f t="shared" si="22"/>
        <v>M2-042</v>
      </c>
      <c r="C175" s="1261"/>
      <c r="D175" s="1261"/>
      <c r="E175" s="1261">
        <f t="shared" si="20"/>
        <v>3.73</v>
      </c>
      <c r="F175" s="1261">
        <f t="shared" si="23"/>
        <v>0</v>
      </c>
      <c r="G175" s="1211" t="str">
        <f t="shared" si="24"/>
        <v>보 도</v>
      </c>
      <c r="I175" s="1260" t="s">
        <v>1290</v>
      </c>
      <c r="J175" s="1260" t="s">
        <v>1385</v>
      </c>
      <c r="K175" s="1260"/>
      <c r="L175" s="1260">
        <v>3.73</v>
      </c>
      <c r="M175" s="1260" t="s">
        <v>942</v>
      </c>
      <c r="P175" s="1223"/>
      <c r="Q175" s="1223"/>
    </row>
    <row r="176" spans="1:17" s="797" customFormat="1" ht="15" customHeight="1">
      <c r="A176" s="1220" t="str">
        <f>I176</f>
        <v>소(국)2-어천1</v>
      </c>
      <c r="B176" s="1221" t="str">
        <f>J176</f>
        <v>M2-045</v>
      </c>
      <c r="C176" s="1261"/>
      <c r="D176" s="1261"/>
      <c r="E176" s="1261">
        <f t="shared" si="20"/>
        <v>1.74</v>
      </c>
      <c r="F176" s="1261">
        <f t="shared" si="23"/>
        <v>0</v>
      </c>
      <c r="G176" s="1211" t="str">
        <f>IF(M176="보  도","보 도","차 도")</f>
        <v>보 도</v>
      </c>
      <c r="I176" s="1259" t="s">
        <v>1261</v>
      </c>
      <c r="J176" s="1281" t="s">
        <v>1498</v>
      </c>
      <c r="K176" s="1259"/>
      <c r="L176" s="1264">
        <v>1.74</v>
      </c>
      <c r="M176" s="1259" t="s">
        <v>942</v>
      </c>
      <c r="P176" s="1223"/>
      <c r="Q176" s="1223"/>
    </row>
    <row r="177" spans="1:17" s="797" customFormat="1" ht="15" customHeight="1">
      <c r="A177" s="1220" t="str">
        <f t="shared" si="22"/>
        <v>소(국)2-어천1</v>
      </c>
      <c r="B177" s="1221" t="str">
        <f t="shared" si="22"/>
        <v>M2-046(1)</v>
      </c>
      <c r="C177" s="1261"/>
      <c r="D177" s="1261"/>
      <c r="E177" s="1261">
        <f t="shared" si="20"/>
        <v>2.34</v>
      </c>
      <c r="F177" s="1261">
        <f t="shared" si="23"/>
        <v>0</v>
      </c>
      <c r="G177" s="1211" t="str">
        <f t="shared" si="24"/>
        <v>보 도</v>
      </c>
      <c r="I177" s="1260" t="s">
        <v>1261</v>
      </c>
      <c r="J177" s="1260" t="s">
        <v>1440</v>
      </c>
      <c r="K177" s="1260"/>
      <c r="L177" s="1260">
        <v>2.34</v>
      </c>
      <c r="M177" s="1260" t="s">
        <v>942</v>
      </c>
      <c r="P177" s="1223"/>
      <c r="Q177" s="1223"/>
    </row>
    <row r="178" spans="1:17" s="797" customFormat="1" ht="15" customHeight="1">
      <c r="A178" s="1238" t="str">
        <f t="shared" si="18"/>
        <v>소(국)1-어천4</v>
      </c>
      <c r="B178" s="1239" t="str">
        <f t="shared" si="19"/>
        <v>M2-046(3)</v>
      </c>
      <c r="C178" s="1261"/>
      <c r="D178" s="1261"/>
      <c r="E178" s="1261">
        <f t="shared" si="20"/>
        <v>1.72</v>
      </c>
      <c r="F178" s="1261">
        <f t="shared" si="23"/>
        <v>0</v>
      </c>
      <c r="G178" s="1211" t="str">
        <f t="shared" si="21"/>
        <v>보 도</v>
      </c>
      <c r="I178" s="1260" t="s">
        <v>1262</v>
      </c>
      <c r="J178" s="1260" t="s">
        <v>1441</v>
      </c>
      <c r="K178" s="1260"/>
      <c r="L178" s="1260">
        <v>1.72</v>
      </c>
      <c r="M178" s="1260" t="s">
        <v>942</v>
      </c>
      <c r="P178" s="1223"/>
      <c r="Q178" s="1223"/>
    </row>
    <row r="179" spans="1:17" s="797" customFormat="1" ht="15" customHeight="1">
      <c r="A179" s="1220" t="str">
        <f t="shared" ref="A179:A191" si="27">I179</f>
        <v>소(국)1-어천4</v>
      </c>
      <c r="B179" s="1221" t="str">
        <f t="shared" si="19"/>
        <v>M2-047</v>
      </c>
      <c r="C179" s="1261"/>
      <c r="D179" s="1261"/>
      <c r="E179" s="1261">
        <f t="shared" si="20"/>
        <v>2.44</v>
      </c>
      <c r="F179" s="1261">
        <f t="shared" si="23"/>
        <v>0</v>
      </c>
      <c r="G179" s="1211" t="str">
        <f t="shared" ref="G179:G191" si="28">IF(M179="보  도","보 도","차 도")</f>
        <v>보 도</v>
      </c>
      <c r="I179" s="1260" t="s">
        <v>1262</v>
      </c>
      <c r="J179" s="1260" t="s">
        <v>1401</v>
      </c>
      <c r="K179" s="1260"/>
      <c r="L179" s="1260">
        <v>2.44</v>
      </c>
      <c r="M179" s="1260" t="s">
        <v>942</v>
      </c>
      <c r="P179" s="1223"/>
      <c r="Q179" s="1223"/>
    </row>
    <row r="180" spans="1:17" s="797" customFormat="1" ht="15" hidden="1" customHeight="1">
      <c r="A180" s="1220" t="str">
        <f t="shared" ref="A180" si="29">I180</f>
        <v>소(국)1-어천4</v>
      </c>
      <c r="B180" s="1221" t="str">
        <f t="shared" ref="B180" si="30">J180</f>
        <v>M2-048(1)</v>
      </c>
      <c r="C180" s="1261"/>
      <c r="D180" s="1261"/>
      <c r="E180" s="1261">
        <f t="shared" si="20"/>
        <v>0</v>
      </c>
      <c r="F180" s="1261">
        <f t="shared" si="23"/>
        <v>1.88</v>
      </c>
      <c r="G180" s="1254" t="str">
        <f t="shared" ref="G180" si="31">IF(M180="보  도","보 도","차 도")</f>
        <v>차 도</v>
      </c>
      <c r="I180" s="1264" t="s">
        <v>1262</v>
      </c>
      <c r="J180" s="1281" t="s">
        <v>1502</v>
      </c>
      <c r="K180" s="1264"/>
      <c r="L180" s="1264">
        <v>1.88</v>
      </c>
      <c r="M180" s="1264" t="s">
        <v>1308</v>
      </c>
      <c r="P180" s="1223"/>
      <c r="Q180" s="1223"/>
    </row>
    <row r="181" spans="1:17" s="797" customFormat="1" ht="15" hidden="1" customHeight="1">
      <c r="A181" s="1220" t="str">
        <f t="shared" si="27"/>
        <v>소(국)1-어천1</v>
      </c>
      <c r="B181" s="1221" t="str">
        <f t="shared" si="19"/>
        <v>M2-049</v>
      </c>
      <c r="C181" s="1261"/>
      <c r="D181" s="1261"/>
      <c r="E181" s="1261">
        <f t="shared" si="20"/>
        <v>0</v>
      </c>
      <c r="F181" s="1261">
        <f t="shared" si="23"/>
        <v>2.38</v>
      </c>
      <c r="G181" s="1211" t="str">
        <f t="shared" si="28"/>
        <v>차 도</v>
      </c>
      <c r="I181" s="1260" t="s">
        <v>1263</v>
      </c>
      <c r="J181" s="1260" t="s">
        <v>1386</v>
      </c>
      <c r="K181" s="1260"/>
      <c r="L181" s="1260">
        <v>2.38</v>
      </c>
      <c r="M181" s="1260" t="s">
        <v>1308</v>
      </c>
      <c r="P181" s="1223"/>
      <c r="Q181" s="1223"/>
    </row>
    <row r="182" spans="1:17" s="797" customFormat="1" ht="15" hidden="1" customHeight="1">
      <c r="A182" s="1220" t="str">
        <f t="shared" si="27"/>
        <v>소(국)1-어천1</v>
      </c>
      <c r="B182" s="1221" t="str">
        <f t="shared" si="19"/>
        <v>M2-050(1)</v>
      </c>
      <c r="C182" s="1261"/>
      <c r="D182" s="1261"/>
      <c r="E182" s="1261">
        <f t="shared" si="20"/>
        <v>0</v>
      </c>
      <c r="F182" s="1261">
        <f t="shared" si="23"/>
        <v>2.2400000000000002</v>
      </c>
      <c r="G182" s="1211" t="str">
        <f t="shared" si="28"/>
        <v>차 도</v>
      </c>
      <c r="I182" s="1260" t="s">
        <v>1263</v>
      </c>
      <c r="J182" s="1260" t="s">
        <v>1442</v>
      </c>
      <c r="K182" s="1260"/>
      <c r="L182" s="1260">
        <v>2.2400000000000002</v>
      </c>
      <c r="M182" s="1260" t="s">
        <v>1308</v>
      </c>
      <c r="P182" s="1223"/>
      <c r="Q182" s="1223"/>
    </row>
    <row r="183" spans="1:17" s="797" customFormat="1" ht="15" customHeight="1">
      <c r="A183" s="1220" t="str">
        <f t="shared" ref="A183" si="32">I183</f>
        <v>소(국)1-어천1</v>
      </c>
      <c r="B183" s="1221" t="str">
        <f t="shared" ref="B183" si="33">J183</f>
        <v>M2-050(2)</v>
      </c>
      <c r="C183" s="1261"/>
      <c r="D183" s="1261"/>
      <c r="E183" s="1261">
        <f t="shared" si="20"/>
        <v>2.2200000000000002</v>
      </c>
      <c r="F183" s="1261">
        <f t="shared" si="23"/>
        <v>0</v>
      </c>
      <c r="G183" s="1213" t="str">
        <f t="shared" ref="G183" si="34">IF(M183="보  도","보 도","차 도")</f>
        <v>보 도</v>
      </c>
      <c r="I183" s="1260" t="s">
        <v>1263</v>
      </c>
      <c r="J183" s="1260" t="s">
        <v>1443</v>
      </c>
      <c r="K183" s="1260"/>
      <c r="L183" s="1260">
        <v>2.2200000000000002</v>
      </c>
      <c r="M183" s="1260" t="s">
        <v>942</v>
      </c>
      <c r="P183" s="1223"/>
      <c r="Q183" s="1223"/>
    </row>
    <row r="184" spans="1:17" s="797" customFormat="1" ht="15" customHeight="1">
      <c r="A184" s="1220" t="str">
        <f t="shared" si="27"/>
        <v>소(국)1-어천1</v>
      </c>
      <c r="B184" s="1221" t="str">
        <f t="shared" si="19"/>
        <v>M2-050(3)</v>
      </c>
      <c r="C184" s="1261"/>
      <c r="D184" s="1261"/>
      <c r="E184" s="1261">
        <f t="shared" si="20"/>
        <v>2.15</v>
      </c>
      <c r="F184" s="1261">
        <f t="shared" si="23"/>
        <v>0</v>
      </c>
      <c r="G184" s="1211" t="str">
        <f t="shared" si="28"/>
        <v>보 도</v>
      </c>
      <c r="I184" s="1260" t="s">
        <v>1263</v>
      </c>
      <c r="J184" s="1260" t="s">
        <v>1444</v>
      </c>
      <c r="K184" s="1260"/>
      <c r="L184" s="1260">
        <v>2.15</v>
      </c>
      <c r="M184" s="1260" t="s">
        <v>942</v>
      </c>
      <c r="P184" s="1223"/>
      <c r="Q184" s="1223"/>
    </row>
    <row r="185" spans="1:17" s="797" customFormat="1" ht="15" customHeight="1">
      <c r="A185" s="1220" t="str">
        <f t="shared" si="27"/>
        <v>소(국)1-어천1</v>
      </c>
      <c r="B185" s="1221" t="str">
        <f t="shared" si="19"/>
        <v>M2-051(1)</v>
      </c>
      <c r="C185" s="1261"/>
      <c r="D185" s="1261"/>
      <c r="E185" s="1261">
        <f t="shared" si="20"/>
        <v>2.4900000000000002</v>
      </c>
      <c r="F185" s="1261">
        <f t="shared" si="23"/>
        <v>0</v>
      </c>
      <c r="G185" s="1211" t="str">
        <f t="shared" si="28"/>
        <v>보 도</v>
      </c>
      <c r="I185" s="1260" t="s">
        <v>1263</v>
      </c>
      <c r="J185" s="1260" t="s">
        <v>1445</v>
      </c>
      <c r="K185" s="1260"/>
      <c r="L185" s="1260">
        <v>2.4900000000000002</v>
      </c>
      <c r="M185" s="1260" t="s">
        <v>942</v>
      </c>
      <c r="P185" s="1223"/>
      <c r="Q185" s="1223"/>
    </row>
    <row r="186" spans="1:17" s="797" customFormat="1" ht="15" hidden="1" customHeight="1">
      <c r="A186" s="1220" t="str">
        <f t="shared" si="27"/>
        <v>소(국)1-어천1</v>
      </c>
      <c r="B186" s="1221" t="str">
        <f t="shared" si="19"/>
        <v>M2-052</v>
      </c>
      <c r="C186" s="1261"/>
      <c r="D186" s="1261"/>
      <c r="E186" s="1261">
        <f t="shared" si="20"/>
        <v>0</v>
      </c>
      <c r="F186" s="1261">
        <f t="shared" si="23"/>
        <v>1.95</v>
      </c>
      <c r="G186" s="1211" t="str">
        <f t="shared" si="28"/>
        <v>차 도</v>
      </c>
      <c r="I186" s="1260" t="s">
        <v>1263</v>
      </c>
      <c r="J186" s="1260" t="s">
        <v>1446</v>
      </c>
      <c r="K186" s="1260"/>
      <c r="L186" s="1260">
        <v>1.95</v>
      </c>
      <c r="M186" s="1260" t="s">
        <v>1308</v>
      </c>
      <c r="P186" s="1223"/>
      <c r="Q186" s="1223"/>
    </row>
    <row r="187" spans="1:17" s="797" customFormat="1" ht="15" hidden="1" customHeight="1">
      <c r="A187" s="1220" t="str">
        <f t="shared" si="27"/>
        <v>중(국)3-어천1</v>
      </c>
      <c r="B187" s="1221" t="str">
        <f t="shared" si="19"/>
        <v>M2-053</v>
      </c>
      <c r="C187" s="1261"/>
      <c r="D187" s="1261"/>
      <c r="E187" s="1261">
        <f t="shared" si="20"/>
        <v>0</v>
      </c>
      <c r="F187" s="1261">
        <f t="shared" si="23"/>
        <v>3.47</v>
      </c>
      <c r="G187" s="1211" t="str">
        <f t="shared" si="28"/>
        <v>차 도</v>
      </c>
      <c r="I187" s="1260" t="s">
        <v>1264</v>
      </c>
      <c r="J187" s="1260" t="s">
        <v>1402</v>
      </c>
      <c r="K187" s="1260"/>
      <c r="L187" s="1260">
        <v>3.47</v>
      </c>
      <c r="M187" s="1260" t="s">
        <v>1308</v>
      </c>
      <c r="P187" s="1223"/>
      <c r="Q187" s="1223"/>
    </row>
    <row r="188" spans="1:17" s="797" customFormat="1" ht="15" customHeight="1">
      <c r="A188" s="1220" t="str">
        <f t="shared" si="27"/>
        <v>중(국)3-어천1</v>
      </c>
      <c r="B188" s="1221" t="str">
        <f t="shared" si="19"/>
        <v>M2-054</v>
      </c>
      <c r="C188" s="1261"/>
      <c r="D188" s="1261"/>
      <c r="E188" s="1261">
        <f t="shared" si="20"/>
        <v>3.7</v>
      </c>
      <c r="F188" s="1261">
        <f t="shared" si="23"/>
        <v>0</v>
      </c>
      <c r="G188" s="1211" t="str">
        <f t="shared" si="28"/>
        <v>보 도</v>
      </c>
      <c r="I188" s="1260" t="s">
        <v>1264</v>
      </c>
      <c r="J188" s="1260" t="s">
        <v>1403</v>
      </c>
      <c r="K188" s="1260"/>
      <c r="L188" s="1260">
        <v>3.7</v>
      </c>
      <c r="M188" s="1260" t="s">
        <v>942</v>
      </c>
      <c r="P188" s="1223"/>
      <c r="Q188" s="1223"/>
    </row>
    <row r="189" spans="1:17" s="797" customFormat="1" ht="15" customHeight="1">
      <c r="A189" s="1220" t="str">
        <f t="shared" si="27"/>
        <v>중(국)3-어천1</v>
      </c>
      <c r="B189" s="1221" t="str">
        <f t="shared" si="19"/>
        <v>M2-055</v>
      </c>
      <c r="C189" s="1261"/>
      <c r="D189" s="1261"/>
      <c r="E189" s="1261">
        <f t="shared" si="20"/>
        <v>3.65</v>
      </c>
      <c r="F189" s="1261">
        <f t="shared" si="23"/>
        <v>0</v>
      </c>
      <c r="G189" s="1211" t="str">
        <f t="shared" si="28"/>
        <v>보 도</v>
      </c>
      <c r="I189" s="1260" t="s">
        <v>1264</v>
      </c>
      <c r="J189" s="1260" t="s">
        <v>1399</v>
      </c>
      <c r="K189" s="1260"/>
      <c r="L189" s="1260">
        <v>3.65</v>
      </c>
      <c r="M189" s="1260" t="s">
        <v>942</v>
      </c>
      <c r="P189" s="1223"/>
      <c r="Q189" s="1223"/>
    </row>
    <row r="190" spans="1:17" s="797" customFormat="1" ht="15" customHeight="1">
      <c r="A190" s="1220" t="str">
        <f t="shared" si="27"/>
        <v>중(국)3-어천1</v>
      </c>
      <c r="B190" s="1221" t="str">
        <f t="shared" si="19"/>
        <v>M2-056</v>
      </c>
      <c r="C190" s="1261"/>
      <c r="D190" s="1261"/>
      <c r="E190" s="1261">
        <f t="shared" si="20"/>
        <v>3.31</v>
      </c>
      <c r="F190" s="1261">
        <f t="shared" si="23"/>
        <v>0</v>
      </c>
      <c r="G190" s="1211" t="str">
        <f t="shared" si="28"/>
        <v>보 도</v>
      </c>
      <c r="I190" s="1260" t="s">
        <v>1264</v>
      </c>
      <c r="J190" s="1260" t="s">
        <v>1404</v>
      </c>
      <c r="K190" s="1260"/>
      <c r="L190" s="1260">
        <v>3.31</v>
      </c>
      <c r="M190" s="1260" t="s">
        <v>942</v>
      </c>
      <c r="P190" s="1223"/>
      <c r="Q190" s="1223"/>
    </row>
    <row r="191" spans="1:17" s="797" customFormat="1" ht="15" customHeight="1">
      <c r="A191" s="1220" t="str">
        <f t="shared" si="27"/>
        <v>A065(1)~A066</v>
      </c>
      <c r="B191" s="1221" t="str">
        <f t="shared" si="19"/>
        <v>M2-057(1)</v>
      </c>
      <c r="C191" s="1261"/>
      <c r="D191" s="1261"/>
      <c r="E191" s="1261">
        <f t="shared" si="20"/>
        <v>5.94</v>
      </c>
      <c r="F191" s="1261">
        <f t="shared" si="23"/>
        <v>0</v>
      </c>
      <c r="G191" s="1211" t="str">
        <f t="shared" si="28"/>
        <v>보 도</v>
      </c>
      <c r="I191" s="1260" t="s">
        <v>1336</v>
      </c>
      <c r="J191" s="1260" t="s">
        <v>1405</v>
      </c>
      <c r="K191" s="1260"/>
      <c r="L191" s="1260">
        <v>5.94</v>
      </c>
      <c r="M191" s="1260" t="s">
        <v>942</v>
      </c>
      <c r="P191" s="1223"/>
      <c r="Q191" s="1223"/>
    </row>
    <row r="192" spans="1:17" s="797" customFormat="1" ht="15" customHeight="1">
      <c r="A192" s="1238" t="str">
        <f t="shared" si="18"/>
        <v>A065(1)~A066</v>
      </c>
      <c r="B192" s="1239" t="str">
        <f t="shared" si="19"/>
        <v>M2-057(2)</v>
      </c>
      <c r="C192" s="1261"/>
      <c r="D192" s="1261"/>
      <c r="E192" s="1261">
        <f t="shared" si="20"/>
        <v>7.2</v>
      </c>
      <c r="F192" s="1261">
        <f t="shared" si="23"/>
        <v>0</v>
      </c>
      <c r="G192" s="1211" t="str">
        <f t="shared" si="21"/>
        <v>보 도</v>
      </c>
      <c r="I192" s="1260" t="s">
        <v>1336</v>
      </c>
      <c r="J192" s="1260" t="s">
        <v>1332</v>
      </c>
      <c r="K192" s="1260"/>
      <c r="L192" s="1260">
        <v>7.2</v>
      </c>
      <c r="M192" s="1260" t="s">
        <v>942</v>
      </c>
      <c r="P192" s="1223"/>
      <c r="Q192" s="1223"/>
    </row>
    <row r="193" spans="1:17" s="797" customFormat="1" ht="15" customHeight="1">
      <c r="A193" s="1220" t="str">
        <f t="shared" ref="A193:B195" si="35">I193</f>
        <v>소(국)2-어천2</v>
      </c>
      <c r="B193" s="1221" t="str">
        <f t="shared" si="35"/>
        <v>M2-059(2)</v>
      </c>
      <c r="C193" s="1261"/>
      <c r="D193" s="1261"/>
      <c r="E193" s="1261">
        <f t="shared" si="20"/>
        <v>1.7</v>
      </c>
      <c r="F193" s="1261">
        <f t="shared" si="23"/>
        <v>0</v>
      </c>
      <c r="G193" s="1211" t="str">
        <f>IF(M193="보  도","보 도","차 도")</f>
        <v>보 도</v>
      </c>
      <c r="I193" s="1260" t="s">
        <v>1265</v>
      </c>
      <c r="J193" s="1260" t="s">
        <v>1447</v>
      </c>
      <c r="K193" s="1260"/>
      <c r="L193" s="1260">
        <v>1.7</v>
      </c>
      <c r="M193" s="1260" t="s">
        <v>942</v>
      </c>
      <c r="P193" s="1223"/>
      <c r="Q193" s="1223"/>
    </row>
    <row r="194" spans="1:17" s="797" customFormat="1" ht="15" customHeight="1">
      <c r="A194" s="1220" t="str">
        <f t="shared" si="35"/>
        <v>소(국)2-어천2</v>
      </c>
      <c r="B194" s="1221" t="str">
        <f t="shared" si="35"/>
        <v>M2-059(3)</v>
      </c>
      <c r="C194" s="1261"/>
      <c r="D194" s="1261"/>
      <c r="E194" s="1261">
        <f t="shared" si="20"/>
        <v>1.44</v>
      </c>
      <c r="F194" s="1261">
        <f t="shared" si="23"/>
        <v>0</v>
      </c>
      <c r="G194" s="1211" t="str">
        <f>IF(M194="보  도","보 도","차 도")</f>
        <v>보 도</v>
      </c>
      <c r="I194" s="1260" t="s">
        <v>1265</v>
      </c>
      <c r="J194" s="1260" t="s">
        <v>1448</v>
      </c>
      <c r="K194" s="1260"/>
      <c r="L194" s="1260">
        <v>1.44</v>
      </c>
      <c r="M194" s="1260" t="s">
        <v>942</v>
      </c>
      <c r="P194" s="1223"/>
      <c r="Q194" s="1223"/>
    </row>
    <row r="195" spans="1:17" s="797" customFormat="1" ht="15" hidden="1" customHeight="1">
      <c r="A195" s="1220" t="str">
        <f t="shared" si="35"/>
        <v>소(국)1-어천1</v>
      </c>
      <c r="B195" s="1221" t="str">
        <f t="shared" si="35"/>
        <v>M2-060(1)</v>
      </c>
      <c r="C195" s="1261"/>
      <c r="D195" s="1261"/>
      <c r="E195" s="1261">
        <f t="shared" si="20"/>
        <v>0</v>
      </c>
      <c r="F195" s="1261">
        <f t="shared" si="23"/>
        <v>1.4</v>
      </c>
      <c r="G195" s="1211" t="str">
        <f>IF(M195="보  도","보 도","차 도")</f>
        <v>차 도</v>
      </c>
      <c r="I195" s="1260" t="s">
        <v>1263</v>
      </c>
      <c r="J195" s="1260" t="s">
        <v>1449</v>
      </c>
      <c r="K195" s="1260"/>
      <c r="L195" s="1260">
        <v>1.4</v>
      </c>
      <c r="M195" s="1260" t="s">
        <v>1308</v>
      </c>
      <c r="P195" s="1223"/>
      <c r="Q195" s="1223"/>
    </row>
    <row r="196" spans="1:17" s="797" customFormat="1" ht="15" hidden="1" customHeight="1">
      <c r="A196" s="1238" t="str">
        <f t="shared" si="18"/>
        <v>소(국)1-어천1</v>
      </c>
      <c r="B196" s="1239" t="str">
        <f t="shared" si="19"/>
        <v>M2-061(1)</v>
      </c>
      <c r="C196" s="1261"/>
      <c r="D196" s="1261"/>
      <c r="E196" s="1261">
        <f t="shared" si="20"/>
        <v>0</v>
      </c>
      <c r="F196" s="1261">
        <f t="shared" si="23"/>
        <v>2.13</v>
      </c>
      <c r="G196" s="1211" t="str">
        <f t="shared" si="21"/>
        <v>차 도</v>
      </c>
      <c r="I196" s="1260" t="s">
        <v>1263</v>
      </c>
      <c r="J196" s="1260" t="s">
        <v>1406</v>
      </c>
      <c r="K196" s="1260"/>
      <c r="L196" s="1260">
        <v>2.13</v>
      </c>
      <c r="M196" s="1260" t="s">
        <v>1308</v>
      </c>
      <c r="P196" s="1223"/>
      <c r="Q196" s="1223"/>
    </row>
    <row r="197" spans="1:17" s="797" customFormat="1" ht="15" hidden="1" customHeight="1">
      <c r="A197" s="1220" t="str">
        <f t="shared" ref="A197:B200" si="36">I197</f>
        <v>소(국)2-어천2</v>
      </c>
      <c r="B197" s="1221" t="str">
        <f t="shared" si="36"/>
        <v>M2-062(1)</v>
      </c>
      <c r="C197" s="1261"/>
      <c r="D197" s="1261"/>
      <c r="E197" s="1261">
        <f t="shared" si="20"/>
        <v>0</v>
      </c>
      <c r="F197" s="1261">
        <f t="shared" si="23"/>
        <v>1.73</v>
      </c>
      <c r="G197" s="1211" t="str">
        <f>IF(M197="보  도","보 도","차 도")</f>
        <v>차 도</v>
      </c>
      <c r="I197" s="1260" t="s">
        <v>1265</v>
      </c>
      <c r="J197" s="1260" t="s">
        <v>1491</v>
      </c>
      <c r="K197" s="1260"/>
      <c r="L197" s="1260">
        <v>1.73</v>
      </c>
      <c r="M197" s="1260" t="s">
        <v>1308</v>
      </c>
      <c r="P197" s="1223"/>
      <c r="Q197" s="1223"/>
    </row>
    <row r="198" spans="1:17" s="797" customFormat="1" ht="15" hidden="1" customHeight="1">
      <c r="A198" s="1220" t="str">
        <f t="shared" si="36"/>
        <v>소(국)2-어천3</v>
      </c>
      <c r="B198" s="1221" t="str">
        <f t="shared" si="36"/>
        <v>M2-063(2)</v>
      </c>
      <c r="C198" s="1261"/>
      <c r="D198" s="1261"/>
      <c r="E198" s="1261">
        <f t="shared" si="20"/>
        <v>0</v>
      </c>
      <c r="F198" s="1261">
        <f t="shared" si="23"/>
        <v>1.43</v>
      </c>
      <c r="G198" s="1211" t="str">
        <f>IF(M198="보  도","보 도","차 도")</f>
        <v>차 도</v>
      </c>
      <c r="I198" s="1260" t="s">
        <v>1266</v>
      </c>
      <c r="J198" s="1260" t="s">
        <v>1450</v>
      </c>
      <c r="K198" s="1260"/>
      <c r="L198" s="1260">
        <v>1.43</v>
      </c>
      <c r="M198" s="1260" t="s">
        <v>1308</v>
      </c>
      <c r="P198" s="1223"/>
      <c r="Q198" s="1223"/>
    </row>
    <row r="199" spans="1:17" s="797" customFormat="1" ht="15" hidden="1" customHeight="1">
      <c r="A199" s="1220" t="str">
        <f t="shared" si="36"/>
        <v>A074~A076(2)</v>
      </c>
      <c r="B199" s="1221" t="str">
        <f t="shared" si="36"/>
        <v>M2-065</v>
      </c>
      <c r="C199" s="1261"/>
      <c r="D199" s="1261"/>
      <c r="E199" s="1261">
        <f t="shared" si="20"/>
        <v>0</v>
      </c>
      <c r="F199" s="1261">
        <f t="shared" si="23"/>
        <v>3.21</v>
      </c>
      <c r="G199" s="1211" t="str">
        <f>IF(M199="보  도","보 도","차 도")</f>
        <v>차 도</v>
      </c>
      <c r="I199" s="1260" t="s">
        <v>1338</v>
      </c>
      <c r="J199" s="1260" t="s">
        <v>1388</v>
      </c>
      <c r="K199" s="1260"/>
      <c r="L199" s="1260">
        <v>3.21</v>
      </c>
      <c r="M199" s="1260" t="s">
        <v>1308</v>
      </c>
      <c r="P199" s="1223"/>
      <c r="Q199" s="1223"/>
    </row>
    <row r="200" spans="1:17" s="797" customFormat="1" ht="15" customHeight="1">
      <c r="A200" s="1220" t="str">
        <f t="shared" si="36"/>
        <v>A074~A076(2)</v>
      </c>
      <c r="B200" s="1221" t="str">
        <f t="shared" si="36"/>
        <v>M2-066(2)</v>
      </c>
      <c r="C200" s="1261"/>
      <c r="D200" s="1261"/>
      <c r="E200" s="1261">
        <f t="shared" si="20"/>
        <v>5.54</v>
      </c>
      <c r="F200" s="1261">
        <f t="shared" si="23"/>
        <v>0</v>
      </c>
      <c r="G200" s="1211" t="str">
        <f>IF(M200="보  도","보 도","차 도")</f>
        <v>보 도</v>
      </c>
      <c r="I200" s="1260" t="s">
        <v>1338</v>
      </c>
      <c r="J200" s="1260" t="s">
        <v>1407</v>
      </c>
      <c r="K200" s="1260"/>
      <c r="L200" s="1260">
        <v>5.54</v>
      </c>
      <c r="M200" s="1260" t="s">
        <v>942</v>
      </c>
      <c r="P200" s="1223"/>
      <c r="Q200" s="1223"/>
    </row>
    <row r="201" spans="1:17" s="797" customFormat="1" ht="15" customHeight="1">
      <c r="A201" s="1238" t="str">
        <f t="shared" si="18"/>
        <v>A074~A076(2)</v>
      </c>
      <c r="B201" s="1239" t="str">
        <f t="shared" si="19"/>
        <v>M2-067(1)</v>
      </c>
      <c r="C201" s="1261"/>
      <c r="D201" s="1261"/>
      <c r="E201" s="1261">
        <f t="shared" si="20"/>
        <v>3.18</v>
      </c>
      <c r="F201" s="1261">
        <f t="shared" si="23"/>
        <v>0</v>
      </c>
      <c r="G201" s="1211" t="str">
        <f t="shared" si="21"/>
        <v>보 도</v>
      </c>
      <c r="I201" s="1260" t="s">
        <v>1338</v>
      </c>
      <c r="J201" s="1260" t="s">
        <v>1333</v>
      </c>
      <c r="K201" s="1260"/>
      <c r="L201" s="1260">
        <v>3.18</v>
      </c>
      <c r="M201" s="1260" t="s">
        <v>942</v>
      </c>
      <c r="P201" s="1223"/>
      <c r="Q201" s="1223"/>
    </row>
    <row r="202" spans="1:17" s="797" customFormat="1" ht="15" hidden="1" customHeight="1">
      <c r="A202" s="1238" t="str">
        <f t="shared" si="18"/>
        <v>소(국)2-어천5</v>
      </c>
      <c r="B202" s="1239" t="str">
        <f t="shared" si="19"/>
        <v>M2-068</v>
      </c>
      <c r="C202" s="1261"/>
      <c r="D202" s="1261"/>
      <c r="E202" s="1261">
        <f t="shared" si="20"/>
        <v>0</v>
      </c>
      <c r="F202" s="1261">
        <f t="shared" si="23"/>
        <v>1.42</v>
      </c>
      <c r="G202" s="1211" t="str">
        <f t="shared" si="21"/>
        <v>차 도</v>
      </c>
      <c r="I202" s="1260" t="s">
        <v>1268</v>
      </c>
      <c r="J202" s="1260" t="s">
        <v>1387</v>
      </c>
      <c r="K202" s="1260"/>
      <c r="L202" s="1260">
        <v>1.42</v>
      </c>
      <c r="M202" s="1260" t="s">
        <v>1308</v>
      </c>
      <c r="P202" s="1223"/>
      <c r="Q202" s="1223"/>
    </row>
    <row r="203" spans="1:17" s="797" customFormat="1" ht="15" hidden="1" customHeight="1">
      <c r="A203" s="1238" t="str">
        <f t="shared" ref="A203" si="37">I203</f>
        <v>소(국)2-어천5</v>
      </c>
      <c r="B203" s="1239" t="str">
        <f t="shared" ref="B203" si="38">J203</f>
        <v>M2-069(1)</v>
      </c>
      <c r="C203" s="1261"/>
      <c r="D203" s="1261"/>
      <c r="E203" s="1261">
        <f t="shared" si="20"/>
        <v>0</v>
      </c>
      <c r="F203" s="1261">
        <f t="shared" si="23"/>
        <v>1.52</v>
      </c>
      <c r="G203" s="1211" t="str">
        <f t="shared" si="21"/>
        <v>차 도</v>
      </c>
      <c r="I203" s="1260" t="s">
        <v>1268</v>
      </c>
      <c r="J203" s="1260" t="s">
        <v>1451</v>
      </c>
      <c r="K203" s="1260"/>
      <c r="L203" s="1260">
        <v>1.52</v>
      </c>
      <c r="M203" s="1260" t="s">
        <v>1308</v>
      </c>
      <c r="P203" s="1223"/>
      <c r="Q203" s="1223"/>
    </row>
    <row r="204" spans="1:17" s="797" customFormat="1" ht="15" hidden="1" customHeight="1">
      <c r="A204" s="1220" t="str">
        <f t="shared" ref="A204:A242" si="39">I204</f>
        <v>소(국)2-어천5</v>
      </c>
      <c r="B204" s="1221" t="str">
        <f t="shared" ref="B204:B238" si="40">J204</f>
        <v>M2-070(1)</v>
      </c>
      <c r="C204" s="1261"/>
      <c r="D204" s="1261"/>
      <c r="E204" s="1261">
        <f t="shared" si="20"/>
        <v>0</v>
      </c>
      <c r="F204" s="1261">
        <f t="shared" si="23"/>
        <v>2.72</v>
      </c>
      <c r="G204" s="1211" t="str">
        <f t="shared" ref="G204:G242" si="41">IF(M204="보  도","보 도","차 도")</f>
        <v>차 도</v>
      </c>
      <c r="I204" s="1260" t="s">
        <v>1268</v>
      </c>
      <c r="J204" s="1260" t="s">
        <v>1452</v>
      </c>
      <c r="K204" s="1260"/>
      <c r="L204" s="1260">
        <v>2.72</v>
      </c>
      <c r="M204" s="1260" t="s">
        <v>1308</v>
      </c>
      <c r="P204" s="1223"/>
      <c r="Q204" s="1223"/>
    </row>
    <row r="205" spans="1:17" s="797" customFormat="1" ht="15" hidden="1" customHeight="1">
      <c r="A205" s="1220" t="str">
        <f t="shared" si="39"/>
        <v>소(국)2-어천5</v>
      </c>
      <c r="B205" s="1221" t="str">
        <f t="shared" si="40"/>
        <v>M2-070(2)</v>
      </c>
      <c r="C205" s="1261"/>
      <c r="D205" s="1261"/>
      <c r="E205" s="1261">
        <f t="shared" si="20"/>
        <v>0</v>
      </c>
      <c r="F205" s="1261">
        <f t="shared" si="23"/>
        <v>2.5099999999999998</v>
      </c>
      <c r="G205" s="1211" t="str">
        <f t="shared" si="41"/>
        <v>차 도</v>
      </c>
      <c r="I205" s="1260" t="s">
        <v>1268</v>
      </c>
      <c r="J205" s="1260" t="s">
        <v>1453</v>
      </c>
      <c r="K205" s="1260"/>
      <c r="L205" s="1260">
        <v>2.5099999999999998</v>
      </c>
      <c r="M205" s="1260" t="s">
        <v>1308</v>
      </c>
      <c r="P205" s="1223"/>
      <c r="Q205" s="1223"/>
    </row>
    <row r="206" spans="1:17" s="797" customFormat="1" ht="15" hidden="1" customHeight="1">
      <c r="A206" s="1220" t="str">
        <f>I206</f>
        <v>소(국)2-어천5</v>
      </c>
      <c r="B206" s="1221" t="str">
        <f>J206</f>
        <v>M2-070(3)</v>
      </c>
      <c r="C206" s="1261"/>
      <c r="D206" s="1261"/>
      <c r="E206" s="1261">
        <f t="shared" si="20"/>
        <v>0</v>
      </c>
      <c r="F206" s="1261">
        <f t="shared" si="23"/>
        <v>2.29</v>
      </c>
      <c r="G206" s="1211" t="str">
        <f>IF(M206="보  도","보 도","차 도")</f>
        <v>차 도</v>
      </c>
      <c r="I206" s="1260" t="s">
        <v>1268</v>
      </c>
      <c r="J206" s="1260" t="s">
        <v>1454</v>
      </c>
      <c r="K206" s="1260"/>
      <c r="L206" s="1260">
        <v>2.29</v>
      </c>
      <c r="M206" s="1260" t="s">
        <v>1308</v>
      </c>
      <c r="P206" s="1223"/>
      <c r="Q206" s="1223"/>
    </row>
    <row r="207" spans="1:17" s="797" customFormat="1" ht="15" hidden="1" customHeight="1">
      <c r="A207" s="1220" t="str">
        <f t="shared" si="39"/>
        <v>소(국)2-어천5</v>
      </c>
      <c r="B207" s="1221" t="str">
        <f t="shared" si="40"/>
        <v>M2-070(4)</v>
      </c>
      <c r="C207" s="1261"/>
      <c r="D207" s="1261"/>
      <c r="E207" s="1261">
        <f t="shared" si="20"/>
        <v>0</v>
      </c>
      <c r="F207" s="1261">
        <f t="shared" si="23"/>
        <v>2.16</v>
      </c>
      <c r="G207" s="1211" t="str">
        <f t="shared" si="41"/>
        <v>차 도</v>
      </c>
      <c r="I207" s="1260" t="s">
        <v>1268</v>
      </c>
      <c r="J207" s="1260" t="s">
        <v>1455</v>
      </c>
      <c r="K207" s="1260"/>
      <c r="L207" s="1260">
        <v>2.16</v>
      </c>
      <c r="M207" s="1260" t="s">
        <v>1308</v>
      </c>
      <c r="P207" s="1223"/>
      <c r="Q207" s="1223"/>
    </row>
    <row r="208" spans="1:17" s="797" customFormat="1" ht="15" customHeight="1">
      <c r="A208" s="1220" t="str">
        <f t="shared" si="39"/>
        <v>소(국)1-어천5</v>
      </c>
      <c r="B208" s="1221" t="str">
        <f t="shared" si="40"/>
        <v>M2-072(1)</v>
      </c>
      <c r="C208" s="1261"/>
      <c r="D208" s="1261"/>
      <c r="E208" s="1261">
        <f t="shared" si="20"/>
        <v>2.9</v>
      </c>
      <c r="F208" s="1261">
        <f t="shared" si="23"/>
        <v>0</v>
      </c>
      <c r="G208" s="1211" t="str">
        <f t="shared" si="41"/>
        <v>보 도</v>
      </c>
      <c r="I208" s="1260" t="s">
        <v>1270</v>
      </c>
      <c r="J208" s="1260" t="s">
        <v>1456</v>
      </c>
      <c r="K208" s="1260"/>
      <c r="L208" s="1260">
        <v>2.9</v>
      </c>
      <c r="M208" s="1260" t="s">
        <v>942</v>
      </c>
      <c r="P208" s="1223"/>
      <c r="Q208" s="1223"/>
    </row>
    <row r="209" spans="1:17" s="797" customFormat="1" ht="15" hidden="1" customHeight="1">
      <c r="A209" s="1220" t="str">
        <f t="shared" si="39"/>
        <v>소(국)2-어천5</v>
      </c>
      <c r="B209" s="1221" t="str">
        <f t="shared" si="40"/>
        <v>M2-076</v>
      </c>
      <c r="C209" s="1261"/>
      <c r="D209" s="1261"/>
      <c r="E209" s="1261">
        <f t="shared" si="20"/>
        <v>0</v>
      </c>
      <c r="F209" s="1261">
        <f t="shared" si="23"/>
        <v>2.3199999999999998</v>
      </c>
      <c r="G209" s="1211" t="str">
        <f t="shared" si="41"/>
        <v>차 도</v>
      </c>
      <c r="I209" s="1260" t="s">
        <v>1268</v>
      </c>
      <c r="J209" s="1260" t="s">
        <v>1457</v>
      </c>
      <c r="K209" s="1260"/>
      <c r="L209" s="1260">
        <v>2.3199999999999998</v>
      </c>
      <c r="M209" s="1260" t="s">
        <v>1308</v>
      </c>
      <c r="P209" s="1223"/>
      <c r="Q209" s="1223"/>
    </row>
    <row r="210" spans="1:17" s="797" customFormat="1" ht="15" hidden="1" customHeight="1">
      <c r="A210" s="1220" t="str">
        <f t="shared" si="39"/>
        <v>소(국)2-어천6</v>
      </c>
      <c r="B210" s="1221" t="str">
        <f t="shared" si="40"/>
        <v>M2-078(1)</v>
      </c>
      <c r="C210" s="1261"/>
      <c r="D210" s="1261"/>
      <c r="E210" s="1261">
        <f t="shared" si="20"/>
        <v>0</v>
      </c>
      <c r="F210" s="1261">
        <f t="shared" si="23"/>
        <v>1.42</v>
      </c>
      <c r="G210" s="1211" t="str">
        <f t="shared" si="41"/>
        <v>차 도</v>
      </c>
      <c r="I210" s="1260" t="s">
        <v>1272</v>
      </c>
      <c r="J210" s="1260" t="s">
        <v>1458</v>
      </c>
      <c r="K210" s="1260"/>
      <c r="L210" s="1260">
        <v>1.42</v>
      </c>
      <c r="M210" s="1260" t="s">
        <v>1308</v>
      </c>
      <c r="P210" s="1223"/>
      <c r="Q210" s="1223"/>
    </row>
    <row r="211" spans="1:17" s="797" customFormat="1" ht="15" hidden="1" customHeight="1">
      <c r="A211" s="1220" t="str">
        <f t="shared" si="39"/>
        <v>소(국)2-어천6</v>
      </c>
      <c r="B211" s="1221" t="str">
        <f t="shared" si="40"/>
        <v>M2-078(2)</v>
      </c>
      <c r="C211" s="1261"/>
      <c r="D211" s="1261"/>
      <c r="E211" s="1261">
        <f t="shared" si="20"/>
        <v>0</v>
      </c>
      <c r="F211" s="1261">
        <f t="shared" si="23"/>
        <v>1.63</v>
      </c>
      <c r="G211" s="1211" t="str">
        <f t="shared" si="41"/>
        <v>차 도</v>
      </c>
      <c r="I211" s="1260" t="s">
        <v>1272</v>
      </c>
      <c r="J211" s="1260" t="s">
        <v>1459</v>
      </c>
      <c r="K211" s="1260"/>
      <c r="L211" s="1260">
        <v>1.63</v>
      </c>
      <c r="M211" s="1260" t="s">
        <v>1308</v>
      </c>
      <c r="P211" s="1223"/>
      <c r="Q211" s="1223"/>
    </row>
    <row r="212" spans="1:17" s="797" customFormat="1" ht="15" hidden="1" customHeight="1">
      <c r="A212" s="1220" t="str">
        <f t="shared" si="39"/>
        <v>소(국)2-어천6</v>
      </c>
      <c r="B212" s="1221" t="str">
        <f t="shared" si="40"/>
        <v>M2-079(1)</v>
      </c>
      <c r="C212" s="1261"/>
      <c r="D212" s="1261"/>
      <c r="E212" s="1261">
        <f t="shared" si="20"/>
        <v>0</v>
      </c>
      <c r="F212" s="1261">
        <f t="shared" si="23"/>
        <v>2.42</v>
      </c>
      <c r="G212" s="1211" t="str">
        <f t="shared" si="41"/>
        <v>차 도</v>
      </c>
      <c r="I212" s="1260" t="s">
        <v>1272</v>
      </c>
      <c r="J212" s="1260" t="s">
        <v>1460</v>
      </c>
      <c r="K212" s="1260"/>
      <c r="L212" s="1260">
        <v>2.42</v>
      </c>
      <c r="M212" s="1260" t="s">
        <v>1308</v>
      </c>
      <c r="P212" s="1223"/>
      <c r="Q212" s="1223"/>
    </row>
    <row r="213" spans="1:17" s="797" customFormat="1" ht="15" hidden="1" customHeight="1">
      <c r="A213" s="1220" t="str">
        <f t="shared" si="39"/>
        <v>소(국)2-어천6</v>
      </c>
      <c r="B213" s="1221" t="str">
        <f t="shared" si="40"/>
        <v>M2-079(2)</v>
      </c>
      <c r="C213" s="1261"/>
      <c r="D213" s="1261"/>
      <c r="E213" s="1261">
        <f t="shared" si="20"/>
        <v>0</v>
      </c>
      <c r="F213" s="1261">
        <f t="shared" si="23"/>
        <v>2.5099999999999998</v>
      </c>
      <c r="G213" s="1211" t="str">
        <f t="shared" si="41"/>
        <v>차 도</v>
      </c>
      <c r="I213" s="1260" t="s">
        <v>1272</v>
      </c>
      <c r="J213" s="1260" t="s">
        <v>1461</v>
      </c>
      <c r="K213" s="1260"/>
      <c r="L213" s="1260">
        <v>2.5099999999999998</v>
      </c>
      <c r="M213" s="1260" t="s">
        <v>1308</v>
      </c>
      <c r="P213" s="1223"/>
      <c r="Q213" s="1223"/>
    </row>
    <row r="214" spans="1:17" s="797" customFormat="1" ht="15" hidden="1" customHeight="1">
      <c r="A214" s="1220" t="str">
        <f t="shared" si="39"/>
        <v>소(국)2-어천6</v>
      </c>
      <c r="B214" s="1221" t="str">
        <f t="shared" si="40"/>
        <v>M2-079(3)</v>
      </c>
      <c r="C214" s="1261"/>
      <c r="D214" s="1261"/>
      <c r="E214" s="1261">
        <f t="shared" si="20"/>
        <v>0</v>
      </c>
      <c r="F214" s="1261">
        <f t="shared" si="23"/>
        <v>2.63</v>
      </c>
      <c r="G214" s="1211" t="str">
        <f t="shared" si="41"/>
        <v>차 도</v>
      </c>
      <c r="I214" s="1260" t="s">
        <v>1272</v>
      </c>
      <c r="J214" s="1260" t="s">
        <v>1462</v>
      </c>
      <c r="K214" s="1260"/>
      <c r="L214" s="1260">
        <v>2.63</v>
      </c>
      <c r="M214" s="1260" t="s">
        <v>1308</v>
      </c>
      <c r="P214" s="1223"/>
      <c r="Q214" s="1223"/>
    </row>
    <row r="215" spans="1:17" s="797" customFormat="1" ht="15" hidden="1" customHeight="1">
      <c r="A215" s="1220" t="str">
        <f t="shared" si="39"/>
        <v>소(국)2-어천6</v>
      </c>
      <c r="B215" s="1221" t="str">
        <f t="shared" si="40"/>
        <v>M2-080</v>
      </c>
      <c r="C215" s="1261"/>
      <c r="D215" s="1261"/>
      <c r="E215" s="1261">
        <f t="shared" si="20"/>
        <v>0</v>
      </c>
      <c r="F215" s="1261">
        <f t="shared" si="23"/>
        <v>3.37</v>
      </c>
      <c r="G215" s="1211" t="str">
        <f t="shared" si="41"/>
        <v>차 도</v>
      </c>
      <c r="I215" s="1260" t="s">
        <v>1272</v>
      </c>
      <c r="J215" s="1260" t="s">
        <v>1393</v>
      </c>
      <c r="K215" s="1260"/>
      <c r="L215" s="1260">
        <v>3.37</v>
      </c>
      <c r="M215" s="1260" t="s">
        <v>1308</v>
      </c>
      <c r="P215" s="1223"/>
      <c r="Q215" s="1223"/>
    </row>
    <row r="216" spans="1:17" s="797" customFormat="1" ht="15" customHeight="1">
      <c r="A216" s="1220" t="str">
        <f t="shared" si="39"/>
        <v>가도_A095~A100</v>
      </c>
      <c r="B216" s="1221" t="str">
        <f t="shared" si="40"/>
        <v>M2-086</v>
      </c>
      <c r="C216" s="1261"/>
      <c r="D216" s="1261"/>
      <c r="E216" s="1261">
        <f t="shared" si="20"/>
        <v>5.54</v>
      </c>
      <c r="F216" s="1261">
        <f t="shared" si="23"/>
        <v>0</v>
      </c>
      <c r="G216" s="1211" t="str">
        <f t="shared" si="41"/>
        <v>보 도</v>
      </c>
      <c r="I216" s="1260" t="s">
        <v>1280</v>
      </c>
      <c r="J216" s="1260" t="s">
        <v>1227</v>
      </c>
      <c r="K216" s="1260"/>
      <c r="L216" s="1260">
        <v>5.54</v>
      </c>
      <c r="M216" s="1260" t="s">
        <v>942</v>
      </c>
      <c r="P216" s="1223"/>
      <c r="Q216" s="1223"/>
    </row>
    <row r="217" spans="1:17" s="797" customFormat="1" ht="15" customHeight="1">
      <c r="A217" s="1220" t="str">
        <f t="shared" si="39"/>
        <v>가도_A095~A100</v>
      </c>
      <c r="B217" s="1221" t="str">
        <f t="shared" si="40"/>
        <v>M2-087</v>
      </c>
      <c r="C217" s="1261"/>
      <c r="D217" s="1261"/>
      <c r="E217" s="1261">
        <f t="shared" si="20"/>
        <v>7.43</v>
      </c>
      <c r="F217" s="1261">
        <f t="shared" si="23"/>
        <v>0</v>
      </c>
      <c r="G217" s="1211" t="str">
        <f t="shared" si="41"/>
        <v>보 도</v>
      </c>
      <c r="I217" s="1260" t="s">
        <v>1280</v>
      </c>
      <c r="J217" s="1260" t="s">
        <v>1228</v>
      </c>
      <c r="K217" s="1260"/>
      <c r="L217" s="1260">
        <v>7.43</v>
      </c>
      <c r="M217" s="1260" t="s">
        <v>942</v>
      </c>
      <c r="P217" s="1223"/>
      <c r="Q217" s="1223"/>
    </row>
    <row r="218" spans="1:17" s="797" customFormat="1" ht="15" customHeight="1">
      <c r="A218" s="1220" t="str">
        <f t="shared" si="39"/>
        <v>가도_A095~A100</v>
      </c>
      <c r="B218" s="1221" t="str">
        <f t="shared" si="40"/>
        <v>M2-088</v>
      </c>
      <c r="C218" s="1261"/>
      <c r="D218" s="1261"/>
      <c r="E218" s="1261">
        <f t="shared" si="20"/>
        <v>6.11</v>
      </c>
      <c r="F218" s="1261">
        <f t="shared" si="23"/>
        <v>0</v>
      </c>
      <c r="G218" s="1211" t="str">
        <f t="shared" si="41"/>
        <v>보 도</v>
      </c>
      <c r="I218" s="1260" t="s">
        <v>1280</v>
      </c>
      <c r="J218" s="1260" t="s">
        <v>1229</v>
      </c>
      <c r="K218" s="1260"/>
      <c r="L218" s="1260">
        <v>6.11</v>
      </c>
      <c r="M218" s="1260" t="s">
        <v>942</v>
      </c>
      <c r="P218" s="1223"/>
      <c r="Q218" s="1223"/>
    </row>
    <row r="219" spans="1:17" s="797" customFormat="1" ht="15" hidden="1" customHeight="1">
      <c r="A219" s="1220" t="str">
        <f t="shared" si="39"/>
        <v>소(국)2-어천8</v>
      </c>
      <c r="B219" s="1221" t="str">
        <f t="shared" si="40"/>
        <v>M2-094</v>
      </c>
      <c r="C219" s="1261"/>
      <c r="D219" s="1261"/>
      <c r="E219" s="1261">
        <f t="shared" si="20"/>
        <v>0</v>
      </c>
      <c r="F219" s="1261">
        <f t="shared" si="23"/>
        <v>2.78</v>
      </c>
      <c r="G219" s="1211" t="str">
        <f t="shared" si="41"/>
        <v>차 도</v>
      </c>
      <c r="I219" s="1260" t="s">
        <v>1286</v>
      </c>
      <c r="J219" s="1260" t="s">
        <v>1389</v>
      </c>
      <c r="K219" s="1260"/>
      <c r="L219" s="1260">
        <v>2.78</v>
      </c>
      <c r="M219" s="1260" t="s">
        <v>1308</v>
      </c>
      <c r="P219" s="1223"/>
      <c r="Q219" s="1223"/>
    </row>
    <row r="220" spans="1:17" s="797" customFormat="1" ht="15" customHeight="1">
      <c r="A220" s="1220" t="str">
        <f t="shared" si="39"/>
        <v>소(국)2-어천10</v>
      </c>
      <c r="B220" s="1221" t="str">
        <f t="shared" si="40"/>
        <v>M2-096(1)</v>
      </c>
      <c r="C220" s="1261"/>
      <c r="D220" s="1261"/>
      <c r="E220" s="1261">
        <f t="shared" si="20"/>
        <v>2.2799999999999998</v>
      </c>
      <c r="F220" s="1261">
        <f t="shared" si="23"/>
        <v>0</v>
      </c>
      <c r="G220" s="1211" t="str">
        <f t="shared" si="41"/>
        <v>보 도</v>
      </c>
      <c r="I220" s="1260" t="s">
        <v>1287</v>
      </c>
      <c r="J220" s="1260" t="s">
        <v>1463</v>
      </c>
      <c r="K220" s="1260"/>
      <c r="L220" s="1260">
        <v>2.2799999999999998</v>
      </c>
      <c r="M220" s="1260" t="s">
        <v>942</v>
      </c>
      <c r="P220" s="1223"/>
      <c r="Q220" s="1223"/>
    </row>
    <row r="221" spans="1:17" s="797" customFormat="1" ht="15" hidden="1" customHeight="1">
      <c r="A221" s="1220" t="str">
        <f t="shared" si="39"/>
        <v>소(국)2-어천10</v>
      </c>
      <c r="B221" s="1221" t="str">
        <f t="shared" si="40"/>
        <v>M2-097(1)</v>
      </c>
      <c r="C221" s="1261"/>
      <c r="D221" s="1261"/>
      <c r="E221" s="1261">
        <f t="shared" si="20"/>
        <v>0</v>
      </c>
      <c r="F221" s="1261">
        <f t="shared" si="23"/>
        <v>1.66</v>
      </c>
      <c r="G221" s="1211" t="str">
        <f t="shared" si="41"/>
        <v>차 도</v>
      </c>
      <c r="I221" s="1260" t="s">
        <v>1287</v>
      </c>
      <c r="J221" s="1260" t="s">
        <v>1464</v>
      </c>
      <c r="K221" s="1260"/>
      <c r="L221" s="1260">
        <v>1.66</v>
      </c>
      <c r="M221" s="1260" t="s">
        <v>1308</v>
      </c>
      <c r="P221" s="1223"/>
      <c r="Q221" s="1223"/>
    </row>
    <row r="222" spans="1:17" s="797" customFormat="1" ht="15" customHeight="1">
      <c r="A222" s="1220" t="str">
        <f t="shared" si="39"/>
        <v>소(국)2-어천10</v>
      </c>
      <c r="B222" s="1221" t="str">
        <f t="shared" si="40"/>
        <v>M2-098(1)</v>
      </c>
      <c r="C222" s="1261"/>
      <c r="D222" s="1261"/>
      <c r="E222" s="1261">
        <f t="shared" si="20"/>
        <v>2.62</v>
      </c>
      <c r="F222" s="1261">
        <f t="shared" si="23"/>
        <v>0</v>
      </c>
      <c r="G222" s="1211" t="str">
        <f t="shared" si="41"/>
        <v>보 도</v>
      </c>
      <c r="I222" s="1260" t="s">
        <v>1287</v>
      </c>
      <c r="J222" s="1260" t="s">
        <v>1465</v>
      </c>
      <c r="K222" s="1260"/>
      <c r="L222" s="1260">
        <v>2.62</v>
      </c>
      <c r="M222" s="1260" t="s">
        <v>942</v>
      </c>
      <c r="P222" s="1223"/>
      <c r="Q222" s="1223"/>
    </row>
    <row r="223" spans="1:17" s="797" customFormat="1" ht="15" hidden="1" customHeight="1">
      <c r="A223" s="1220" t="str">
        <f t="shared" si="39"/>
        <v>소(국)1-어천7</v>
      </c>
      <c r="B223" s="1221" t="str">
        <f t="shared" si="40"/>
        <v>M2-099</v>
      </c>
      <c r="C223" s="1261"/>
      <c r="D223" s="1261"/>
      <c r="E223" s="1261">
        <f t="shared" si="20"/>
        <v>0</v>
      </c>
      <c r="F223" s="1261">
        <f t="shared" si="23"/>
        <v>2.3199999999999998</v>
      </c>
      <c r="G223" s="1211" t="str">
        <f t="shared" si="41"/>
        <v>차 도</v>
      </c>
      <c r="I223" s="1260" t="s">
        <v>1289</v>
      </c>
      <c r="J223" s="1260" t="s">
        <v>1390</v>
      </c>
      <c r="K223" s="1260"/>
      <c r="L223" s="1260">
        <v>2.3199999999999998</v>
      </c>
      <c r="M223" s="1260" t="s">
        <v>1308</v>
      </c>
      <c r="P223" s="1223"/>
      <c r="Q223" s="1223"/>
    </row>
    <row r="224" spans="1:17" s="797" customFormat="1" ht="15" customHeight="1">
      <c r="A224" s="1220" t="str">
        <f t="shared" si="39"/>
        <v>소(국)1-어천7</v>
      </c>
      <c r="B224" s="1221" t="str">
        <f t="shared" si="40"/>
        <v>M2-100</v>
      </c>
      <c r="C224" s="1261"/>
      <c r="D224" s="1261"/>
      <c r="E224" s="1261">
        <f t="shared" si="20"/>
        <v>1.41</v>
      </c>
      <c r="F224" s="1261">
        <f t="shared" si="23"/>
        <v>0</v>
      </c>
      <c r="G224" s="1211" t="str">
        <f t="shared" si="41"/>
        <v>보 도</v>
      </c>
      <c r="I224" s="1260" t="s">
        <v>1289</v>
      </c>
      <c r="J224" s="1260" t="s">
        <v>1408</v>
      </c>
      <c r="K224" s="1260"/>
      <c r="L224" s="1260">
        <v>1.41</v>
      </c>
      <c r="M224" s="1260" t="s">
        <v>942</v>
      </c>
      <c r="P224" s="1223"/>
      <c r="Q224" s="1223"/>
    </row>
    <row r="225" spans="1:17" s="797" customFormat="1" ht="15" customHeight="1">
      <c r="A225" s="1220" t="str">
        <f t="shared" si="39"/>
        <v>소(국)1-어천7</v>
      </c>
      <c r="B225" s="1221" t="str">
        <f t="shared" si="40"/>
        <v>M2-104</v>
      </c>
      <c r="C225" s="1261"/>
      <c r="D225" s="1261"/>
      <c r="E225" s="1261">
        <f t="shared" si="20"/>
        <v>1.1599999999999999</v>
      </c>
      <c r="F225" s="1261">
        <f t="shared" si="23"/>
        <v>0</v>
      </c>
      <c r="G225" s="1211" t="str">
        <f t="shared" si="41"/>
        <v>보 도</v>
      </c>
      <c r="I225" s="1260" t="s">
        <v>1289</v>
      </c>
      <c r="J225" s="1260" t="s">
        <v>1466</v>
      </c>
      <c r="K225" s="1260"/>
      <c r="L225" s="1260">
        <v>1.1599999999999999</v>
      </c>
      <c r="M225" s="1260" t="s">
        <v>942</v>
      </c>
      <c r="P225" s="1223"/>
      <c r="Q225" s="1223"/>
    </row>
    <row r="226" spans="1:17" s="797" customFormat="1" ht="15" hidden="1" customHeight="1">
      <c r="A226" s="1220" t="str">
        <f t="shared" si="39"/>
        <v>소(국)1-어천7</v>
      </c>
      <c r="B226" s="1221" t="str">
        <f t="shared" si="40"/>
        <v>M2-105(1)</v>
      </c>
      <c r="C226" s="1261"/>
      <c r="D226" s="1261"/>
      <c r="E226" s="1261">
        <f t="shared" si="20"/>
        <v>0</v>
      </c>
      <c r="F226" s="1261">
        <f t="shared" si="23"/>
        <v>1.46</v>
      </c>
      <c r="G226" s="1211" t="str">
        <f t="shared" si="41"/>
        <v>차 도</v>
      </c>
      <c r="I226" s="1260" t="s">
        <v>1289</v>
      </c>
      <c r="J226" s="1260" t="s">
        <v>1467</v>
      </c>
      <c r="K226" s="1260"/>
      <c r="L226" s="1260">
        <v>1.46</v>
      </c>
      <c r="M226" s="1260" t="s">
        <v>1308</v>
      </c>
      <c r="P226" s="1223"/>
      <c r="Q226" s="1223"/>
    </row>
    <row r="227" spans="1:17" s="797" customFormat="1" ht="15" hidden="1" customHeight="1">
      <c r="A227" s="1220" t="str">
        <f t="shared" ref="A227:A233" si="42">I227</f>
        <v>소(국)1-어천8</v>
      </c>
      <c r="B227" s="1221" t="str">
        <f t="shared" ref="B227:B233" si="43">J227</f>
        <v>M2-106</v>
      </c>
      <c r="C227" s="1261"/>
      <c r="D227" s="1261"/>
      <c r="E227" s="1261">
        <f t="shared" si="20"/>
        <v>0</v>
      </c>
      <c r="F227" s="1261">
        <f t="shared" si="23"/>
        <v>1.67</v>
      </c>
      <c r="G227" s="1213" t="str">
        <f t="shared" ref="G227:G233" si="44">IF(M227="보  도","보 도","차 도")</f>
        <v>차 도</v>
      </c>
      <c r="I227" s="1260" t="s">
        <v>1292</v>
      </c>
      <c r="J227" s="1260" t="s">
        <v>1391</v>
      </c>
      <c r="K227" s="1260"/>
      <c r="L227" s="1260">
        <v>1.67</v>
      </c>
      <c r="M227" s="1260" t="s">
        <v>1308</v>
      </c>
      <c r="P227" s="1223"/>
      <c r="Q227" s="1223"/>
    </row>
    <row r="228" spans="1:17" s="797" customFormat="1" ht="15" hidden="1" customHeight="1">
      <c r="A228" s="1220" t="str">
        <f t="shared" si="42"/>
        <v>소(국)1-어천7</v>
      </c>
      <c r="B228" s="1221" t="str">
        <f t="shared" si="43"/>
        <v>M2-107</v>
      </c>
      <c r="C228" s="1261"/>
      <c r="D228" s="1261"/>
      <c r="E228" s="1261">
        <f t="shared" si="20"/>
        <v>0</v>
      </c>
      <c r="F228" s="1261">
        <f t="shared" si="23"/>
        <v>2.52</v>
      </c>
      <c r="G228" s="1213" t="str">
        <f t="shared" si="44"/>
        <v>차 도</v>
      </c>
      <c r="I228" s="1260" t="s">
        <v>1289</v>
      </c>
      <c r="J228" s="1260" t="s">
        <v>1392</v>
      </c>
      <c r="K228" s="1260"/>
      <c r="L228" s="1260">
        <v>2.52</v>
      </c>
      <c r="M228" s="1260" t="s">
        <v>1308</v>
      </c>
      <c r="P228" s="1223"/>
      <c r="Q228" s="1223"/>
    </row>
    <row r="229" spans="1:17" s="797" customFormat="1" ht="15" hidden="1" customHeight="1">
      <c r="A229" s="1220" t="str">
        <f t="shared" si="42"/>
        <v>소(특)1 어천12</v>
      </c>
      <c r="B229" s="1221" t="str">
        <f t="shared" si="43"/>
        <v>M2-111(1)</v>
      </c>
      <c r="C229" s="1261"/>
      <c r="D229" s="1261"/>
      <c r="E229" s="1261">
        <f t="shared" si="20"/>
        <v>0</v>
      </c>
      <c r="F229" s="1261">
        <f t="shared" si="23"/>
        <v>1.44</v>
      </c>
      <c r="G229" s="1213" t="str">
        <f t="shared" si="44"/>
        <v>차 도</v>
      </c>
      <c r="I229" s="1260" t="s">
        <v>1468</v>
      </c>
      <c r="J229" s="1260" t="s">
        <v>1394</v>
      </c>
      <c r="K229" s="1260"/>
      <c r="L229" s="1260">
        <v>1.44</v>
      </c>
      <c r="M229" s="1260" t="s">
        <v>1308</v>
      </c>
      <c r="P229" s="1223"/>
      <c r="Q229" s="1223"/>
    </row>
    <row r="230" spans="1:17" s="797" customFormat="1" ht="15" hidden="1" customHeight="1">
      <c r="A230" s="1220" t="str">
        <f>I230</f>
        <v>중(보)매송2-4</v>
      </c>
      <c r="B230" s="1283" t="str">
        <f>J230</f>
        <v>M2-113</v>
      </c>
      <c r="C230" s="1261"/>
      <c r="D230" s="1261"/>
      <c r="E230" s="1261">
        <f t="shared" si="20"/>
        <v>0</v>
      </c>
      <c r="F230" s="1261">
        <f t="shared" si="23"/>
        <v>1.54</v>
      </c>
      <c r="G230" s="1211" t="str">
        <f>IF(M230="보  도","보 도","차 도")</f>
        <v>차 도</v>
      </c>
      <c r="I230" s="1259" t="s">
        <v>1294</v>
      </c>
      <c r="J230" s="1259" t="s">
        <v>1547</v>
      </c>
      <c r="K230" s="1259"/>
      <c r="L230" s="1264">
        <v>1.54</v>
      </c>
      <c r="M230" s="1259" t="s">
        <v>1308</v>
      </c>
      <c r="P230" s="1223"/>
      <c r="Q230" s="1223"/>
    </row>
    <row r="231" spans="1:17" s="797" customFormat="1" ht="15" hidden="1" customHeight="1">
      <c r="A231" s="1220" t="str">
        <f>I231</f>
        <v>중(보)매송2-4</v>
      </c>
      <c r="B231" s="1283" t="str">
        <f>J231</f>
        <v>M2-117</v>
      </c>
      <c r="C231" s="1261"/>
      <c r="D231" s="1261"/>
      <c r="E231" s="1261">
        <f t="shared" si="20"/>
        <v>0</v>
      </c>
      <c r="F231" s="1261">
        <f t="shared" si="23"/>
        <v>3.35</v>
      </c>
      <c r="G231" s="1211" t="str">
        <f>IF(M231="보  도","보 도","차 도")</f>
        <v>차 도</v>
      </c>
      <c r="I231" s="1259" t="s">
        <v>1294</v>
      </c>
      <c r="J231" s="1259" t="s">
        <v>1548</v>
      </c>
      <c r="K231" s="1259"/>
      <c r="L231" s="1264">
        <v>3.35</v>
      </c>
      <c r="M231" s="1259" t="s">
        <v>1308</v>
      </c>
      <c r="P231" s="1223"/>
      <c r="Q231" s="1223"/>
    </row>
    <row r="232" spans="1:17" s="797" customFormat="1" ht="15" customHeight="1">
      <c r="A232" s="1220" t="str">
        <f t="shared" si="42"/>
        <v>중(국)2-어천5</v>
      </c>
      <c r="B232" s="1221" t="str">
        <f t="shared" si="43"/>
        <v>M2-125(1)</v>
      </c>
      <c r="C232" s="1261"/>
      <c r="D232" s="1261"/>
      <c r="E232" s="1261">
        <f t="shared" si="20"/>
        <v>1.46</v>
      </c>
      <c r="F232" s="1261">
        <f t="shared" si="23"/>
        <v>0</v>
      </c>
      <c r="G232" s="1213" t="str">
        <f t="shared" si="44"/>
        <v>보 도</v>
      </c>
      <c r="I232" s="1260" t="s">
        <v>1296</v>
      </c>
      <c r="J232" s="1260" t="s">
        <v>1469</v>
      </c>
      <c r="K232" s="1260"/>
      <c r="L232" s="1260">
        <v>1.46</v>
      </c>
      <c r="M232" s="1260" t="s">
        <v>942</v>
      </c>
      <c r="P232" s="1223"/>
      <c r="Q232" s="1223"/>
    </row>
    <row r="233" spans="1:17" s="797" customFormat="1" ht="15" customHeight="1">
      <c r="A233" s="1220" t="str">
        <f t="shared" si="42"/>
        <v>중(국)2-어천5</v>
      </c>
      <c r="B233" s="1221" t="str">
        <f t="shared" si="43"/>
        <v>M2-126</v>
      </c>
      <c r="C233" s="1261"/>
      <c r="D233" s="1261"/>
      <c r="E233" s="1261">
        <f t="shared" si="20"/>
        <v>2.33</v>
      </c>
      <c r="F233" s="1261">
        <f t="shared" si="23"/>
        <v>0</v>
      </c>
      <c r="G233" s="1213" t="str">
        <f t="shared" si="44"/>
        <v>보 도</v>
      </c>
      <c r="I233" s="1260" t="s">
        <v>1296</v>
      </c>
      <c r="J233" s="1260" t="s">
        <v>1395</v>
      </c>
      <c r="K233" s="1260"/>
      <c r="L233" s="1260">
        <v>2.33</v>
      </c>
      <c r="M233" s="1260" t="s">
        <v>942</v>
      </c>
      <c r="P233" s="1223"/>
      <c r="Q233" s="1223"/>
    </row>
    <row r="234" spans="1:17" s="797" customFormat="1" ht="15" customHeight="1">
      <c r="A234" s="1220" t="str">
        <f t="shared" ref="A234:B236" si="45">I234</f>
        <v>중(국)2-어천5</v>
      </c>
      <c r="B234" s="1283" t="str">
        <f t="shared" si="45"/>
        <v>M2-127</v>
      </c>
      <c r="C234" s="1261"/>
      <c r="D234" s="1261"/>
      <c r="E234" s="1261">
        <f t="shared" si="20"/>
        <v>3.93</v>
      </c>
      <c r="F234" s="1261">
        <f t="shared" si="23"/>
        <v>0</v>
      </c>
      <c r="G234" s="1211" t="str">
        <f>IF(M234="보  도","보 도","차 도")</f>
        <v>보 도</v>
      </c>
      <c r="I234" s="1259" t="s">
        <v>1296</v>
      </c>
      <c r="J234" s="1259" t="s">
        <v>1541</v>
      </c>
      <c r="K234" s="1259"/>
      <c r="L234" s="1264">
        <v>3.93</v>
      </c>
      <c r="M234" s="1259" t="s">
        <v>942</v>
      </c>
      <c r="P234" s="1223"/>
      <c r="Q234" s="1223"/>
    </row>
    <row r="235" spans="1:17" s="797" customFormat="1" ht="15" customHeight="1">
      <c r="A235" s="1220" t="str">
        <f t="shared" si="45"/>
        <v>중(국)2-어천3</v>
      </c>
      <c r="B235" s="1283" t="str">
        <f t="shared" si="45"/>
        <v>M2-132</v>
      </c>
      <c r="C235" s="1261"/>
      <c r="D235" s="1261"/>
      <c r="E235" s="1261">
        <f t="shared" si="20"/>
        <v>3.67</v>
      </c>
      <c r="F235" s="1261">
        <f t="shared" si="23"/>
        <v>0</v>
      </c>
      <c r="G235" s="1211" t="str">
        <f>IF(M235="보  도","보 도","차 도")</f>
        <v>보 도</v>
      </c>
      <c r="I235" s="1259" t="s">
        <v>1297</v>
      </c>
      <c r="J235" s="1259" t="s">
        <v>1549</v>
      </c>
      <c r="K235" s="1259"/>
      <c r="L235" s="1264">
        <v>3.67</v>
      </c>
      <c r="M235" s="1259" t="s">
        <v>942</v>
      </c>
      <c r="P235" s="1223"/>
      <c r="Q235" s="1223"/>
    </row>
    <row r="236" spans="1:17" s="797" customFormat="1" ht="15" customHeight="1">
      <c r="A236" s="1220" t="str">
        <f t="shared" si="45"/>
        <v>중(국)3-어천5</v>
      </c>
      <c r="B236" s="1221" t="str">
        <f t="shared" si="45"/>
        <v>M2-135</v>
      </c>
      <c r="C236" s="1261"/>
      <c r="D236" s="1261"/>
      <c r="E236" s="1261">
        <f t="shared" si="20"/>
        <v>2.33</v>
      </c>
      <c r="F236" s="1261">
        <f t="shared" si="23"/>
        <v>0</v>
      </c>
      <c r="G236" s="1213" t="str">
        <f>IF(M236="보  도","보 도","차 도")</f>
        <v>보 도</v>
      </c>
      <c r="I236" s="1259" t="s">
        <v>1298</v>
      </c>
      <c r="J236" s="1281" t="s">
        <v>1507</v>
      </c>
      <c r="K236" s="1259"/>
      <c r="L236" s="1264">
        <v>2.33</v>
      </c>
      <c r="M236" s="1259" t="s">
        <v>942</v>
      </c>
    </row>
    <row r="237" spans="1:17" s="797" customFormat="1" ht="15" customHeight="1">
      <c r="A237" s="1220" t="str">
        <f t="shared" si="39"/>
        <v>중(국)3-어천6</v>
      </c>
      <c r="B237" s="1221" t="str">
        <f t="shared" si="40"/>
        <v>M2-137</v>
      </c>
      <c r="C237" s="1261"/>
      <c r="D237" s="1261"/>
      <c r="E237" s="1261">
        <f t="shared" si="20"/>
        <v>3.28</v>
      </c>
      <c r="F237" s="1261">
        <f t="shared" si="23"/>
        <v>0</v>
      </c>
      <c r="G237" s="1211" t="str">
        <f t="shared" si="41"/>
        <v>보 도</v>
      </c>
      <c r="I237" s="1260" t="s">
        <v>1299</v>
      </c>
      <c r="J237" s="1260" t="s">
        <v>1396</v>
      </c>
      <c r="K237" s="1260"/>
      <c r="L237" s="1260">
        <v>3.28</v>
      </c>
      <c r="M237" s="1260" t="s">
        <v>942</v>
      </c>
      <c r="P237" s="1223"/>
      <c r="Q237" s="1223"/>
    </row>
    <row r="238" spans="1:17" s="797" customFormat="1" ht="15" hidden="1" customHeight="1">
      <c r="A238" s="1220" t="str">
        <f t="shared" si="39"/>
        <v>중(국)3-어천6</v>
      </c>
      <c r="B238" s="1221" t="str">
        <f t="shared" si="40"/>
        <v>M2-139</v>
      </c>
      <c r="C238" s="1261"/>
      <c r="D238" s="1261"/>
      <c r="E238" s="1261">
        <f t="shared" si="20"/>
        <v>0</v>
      </c>
      <c r="F238" s="1261">
        <f t="shared" si="23"/>
        <v>3.71</v>
      </c>
      <c r="G238" s="1211" t="str">
        <f t="shared" si="41"/>
        <v>차 도</v>
      </c>
      <c r="I238" s="1260" t="s">
        <v>1299</v>
      </c>
      <c r="J238" s="1260" t="s">
        <v>1397</v>
      </c>
      <c r="K238" s="1260"/>
      <c r="L238" s="1260">
        <v>3.71</v>
      </c>
      <c r="M238" s="1260" t="s">
        <v>1308</v>
      </c>
      <c r="P238" s="1223"/>
      <c r="Q238" s="1223"/>
    </row>
    <row r="239" spans="1:17" s="797" customFormat="1" ht="15" hidden="1" customHeight="1">
      <c r="A239" s="1220" t="str">
        <f t="shared" ref="A239:B241" si="46">I239</f>
        <v>중(집)2-어천4</v>
      </c>
      <c r="B239" s="1221" t="str">
        <f t="shared" si="46"/>
        <v>M2-142</v>
      </c>
      <c r="C239" s="1261"/>
      <c r="D239" s="1261"/>
      <c r="E239" s="1261">
        <f t="shared" si="20"/>
        <v>0</v>
      </c>
      <c r="F239" s="1261">
        <f t="shared" si="23"/>
        <v>2.4700000000000002</v>
      </c>
      <c r="G239" s="1213" t="str">
        <f>IF(M239="보  도","보 도","차 도")</f>
        <v>차 도</v>
      </c>
      <c r="I239" s="1259" t="s">
        <v>1302</v>
      </c>
      <c r="J239" s="1281" t="s">
        <v>1510</v>
      </c>
      <c r="K239" s="1259"/>
      <c r="L239" s="1264">
        <v>2.4700000000000002</v>
      </c>
      <c r="M239" s="1259" t="s">
        <v>1308</v>
      </c>
    </row>
    <row r="240" spans="1:17" s="797" customFormat="1" ht="15" hidden="1" customHeight="1">
      <c r="A240" s="1220" t="str">
        <f t="shared" si="46"/>
        <v>대(집)3-어천1</v>
      </c>
      <c r="B240" s="1221" t="str">
        <f t="shared" si="46"/>
        <v>M2-144</v>
      </c>
      <c r="C240" s="1261"/>
      <c r="D240" s="1261"/>
      <c r="E240" s="1261">
        <f t="shared" si="20"/>
        <v>0</v>
      </c>
      <c r="F240" s="1261">
        <f t="shared" si="23"/>
        <v>2</v>
      </c>
      <c r="G240" s="1213" t="str">
        <f>IF(M240="보  도","보 도","차 도")</f>
        <v>차 도</v>
      </c>
      <c r="I240" s="1259" t="s">
        <v>1304</v>
      </c>
      <c r="J240" s="1281" t="s">
        <v>1517</v>
      </c>
      <c r="K240" s="1259"/>
      <c r="L240" s="1264">
        <v>2</v>
      </c>
      <c r="M240" s="1259" t="s">
        <v>1308</v>
      </c>
    </row>
    <row r="241" spans="1:13" s="797" customFormat="1" ht="15" hidden="1" customHeight="1">
      <c r="A241" s="1220" t="str">
        <f t="shared" si="46"/>
        <v>중(국)3-어천4</v>
      </c>
      <c r="B241" s="1221" t="str">
        <f t="shared" si="46"/>
        <v>M2-149</v>
      </c>
      <c r="C241" s="1261"/>
      <c r="D241" s="1261"/>
      <c r="E241" s="1261">
        <f t="shared" si="20"/>
        <v>0</v>
      </c>
      <c r="F241" s="1261">
        <f t="shared" si="23"/>
        <v>6.45</v>
      </c>
      <c r="G241" s="1213" t="str">
        <f>IF(M241="보  도","보 도","차 도")</f>
        <v>차 도</v>
      </c>
      <c r="I241" s="1259" t="s">
        <v>1295</v>
      </c>
      <c r="J241" s="1281" t="s">
        <v>1528</v>
      </c>
      <c r="K241" s="1259"/>
      <c r="L241" s="1264">
        <v>6.45</v>
      </c>
      <c r="M241" s="1259" t="s">
        <v>1308</v>
      </c>
    </row>
    <row r="242" spans="1:13" s="797" customFormat="1" ht="15" hidden="1" customHeight="1">
      <c r="A242" s="1220" t="str">
        <f t="shared" si="39"/>
        <v>대(집)3-어천1</v>
      </c>
      <c r="B242" s="1239" t="str">
        <f t="shared" ref="B242" si="47">J242</f>
        <v>M2-147</v>
      </c>
      <c r="C242" s="1261"/>
      <c r="D242" s="1261"/>
      <c r="E242" s="1261">
        <f t="shared" si="20"/>
        <v>0</v>
      </c>
      <c r="F242" s="1261">
        <f t="shared" si="23"/>
        <v>2.4700000000000002</v>
      </c>
      <c r="G242" s="1213" t="str">
        <f t="shared" si="41"/>
        <v>차 도</v>
      </c>
      <c r="I242" s="1260" t="s">
        <v>1304</v>
      </c>
      <c r="J242" s="1260" t="s">
        <v>1398</v>
      </c>
      <c r="K242" s="1260"/>
      <c r="L242" s="1260">
        <v>2.4700000000000002</v>
      </c>
      <c r="M242" s="1260" t="s">
        <v>1308</v>
      </c>
    </row>
    <row r="243" spans="1:13" s="797" customFormat="1" ht="15" customHeight="1">
      <c r="A243" s="1220" t="str">
        <f>I243</f>
        <v>중(국)2-어천5</v>
      </c>
      <c r="B243" s="1221" t="str">
        <f>J243</f>
        <v>M2-150</v>
      </c>
      <c r="C243" s="1261"/>
      <c r="D243" s="1261"/>
      <c r="E243" s="1261">
        <f t="shared" si="20"/>
        <v>6.47</v>
      </c>
      <c r="F243" s="1261">
        <f t="shared" si="23"/>
        <v>0</v>
      </c>
      <c r="G243" s="1213" t="str">
        <f>IF(M243="보  도","보 도","차 도")</f>
        <v>보 도</v>
      </c>
      <c r="I243" s="1259" t="s">
        <v>1296</v>
      </c>
      <c r="J243" s="1281" t="s">
        <v>1518</v>
      </c>
      <c r="K243" s="1259"/>
      <c r="L243" s="1264">
        <v>6.47</v>
      </c>
      <c r="M243" s="1259" t="s">
        <v>942</v>
      </c>
    </row>
    <row r="244" spans="1:13" s="797" customFormat="1" ht="15" customHeight="1">
      <c r="A244" s="1220" t="str">
        <f>I244</f>
        <v>중(국)3-어천4</v>
      </c>
      <c r="B244" s="1221" t="str">
        <f>J244</f>
        <v>M2-152</v>
      </c>
      <c r="C244" s="1261"/>
      <c r="D244" s="1261"/>
      <c r="E244" s="1261">
        <f t="shared" si="20"/>
        <v>6.04</v>
      </c>
      <c r="F244" s="1261">
        <f t="shared" si="23"/>
        <v>0</v>
      </c>
      <c r="G244" s="1213" t="str">
        <f>IF(M244="보  도","보 도","차 도")</f>
        <v>보 도</v>
      </c>
      <c r="I244" s="1259" t="s">
        <v>1295</v>
      </c>
      <c r="J244" s="1281" t="s">
        <v>1519</v>
      </c>
      <c r="K244" s="1259"/>
      <c r="L244" s="1264">
        <v>6.04</v>
      </c>
      <c r="M244" s="1259" t="s">
        <v>942</v>
      </c>
    </row>
    <row r="245" spans="1:13" s="797" customFormat="1" ht="15" hidden="1" customHeight="1">
      <c r="A245" s="1220"/>
      <c r="B245" s="1239"/>
      <c r="C245" s="1222"/>
      <c r="D245" s="1222"/>
      <c r="E245" s="1222"/>
      <c r="F245" s="1222"/>
      <c r="G245" s="1213"/>
      <c r="I245" s="1243"/>
      <c r="J245" s="1243"/>
      <c r="K245" s="1243"/>
      <c r="L245" s="1243"/>
      <c r="M245" s="1243"/>
    </row>
    <row r="246" spans="1:13" s="797" customFormat="1" ht="15" hidden="1" customHeight="1">
      <c r="A246" s="1220"/>
      <c r="B246" s="1239"/>
      <c r="C246" s="1222"/>
      <c r="D246" s="1222"/>
      <c r="E246" s="1222"/>
      <c r="F246" s="1222"/>
      <c r="G246" s="1213"/>
      <c r="I246" s="1243"/>
      <c r="J246" s="1243"/>
      <c r="K246" s="1243"/>
      <c r="L246" s="1243"/>
      <c r="M246" s="1243"/>
    </row>
    <row r="247" spans="1:13" s="797" customFormat="1" ht="15" hidden="1" customHeight="1">
      <c r="A247" s="1220"/>
      <c r="B247" s="1239"/>
      <c r="C247" s="1222"/>
      <c r="D247" s="1222"/>
      <c r="E247" s="1222"/>
      <c r="F247" s="1222"/>
      <c r="G247" s="1213"/>
      <c r="I247" s="1243"/>
      <c r="J247" s="1243"/>
      <c r="K247" s="1243"/>
      <c r="L247" s="1243"/>
      <c r="M247" s="1243"/>
    </row>
    <row r="248" spans="1:13" s="797" customFormat="1" ht="15" hidden="1" customHeight="1">
      <c r="A248" s="1220"/>
      <c r="B248" s="1239"/>
      <c r="C248" s="1222"/>
      <c r="D248" s="1222"/>
      <c r="E248" s="1222"/>
      <c r="F248" s="1222"/>
      <c r="G248" s="1213"/>
      <c r="I248" s="1243"/>
      <c r="J248" s="1243"/>
      <c r="K248" s="1243"/>
      <c r="L248" s="1243"/>
      <c r="M248" s="1243"/>
    </row>
    <row r="249" spans="1:13" s="797" customFormat="1" ht="15" hidden="1" customHeight="1">
      <c r="A249" s="1220"/>
      <c r="B249" s="1239"/>
      <c r="C249" s="1222"/>
      <c r="D249" s="1222"/>
      <c r="E249" s="1222"/>
      <c r="F249" s="1222"/>
      <c r="G249" s="1213"/>
      <c r="I249" s="1243"/>
      <c r="J249" s="1243"/>
      <c r="K249" s="1243"/>
      <c r="L249" s="1243"/>
      <c r="M249" s="1243"/>
    </row>
    <row r="250" spans="1:13" s="797" customFormat="1" ht="15" hidden="1" customHeight="1">
      <c r="A250" s="1220"/>
      <c r="B250" s="1239"/>
      <c r="C250" s="1222"/>
      <c r="D250" s="1222"/>
      <c r="E250" s="1222"/>
      <c r="F250" s="1222"/>
      <c r="G250" s="1213"/>
      <c r="I250" s="1243"/>
      <c r="J250" s="1243"/>
      <c r="K250" s="1243"/>
      <c r="L250" s="1243"/>
      <c r="M250" s="1243"/>
    </row>
    <row r="251" spans="1:13" s="797" customFormat="1" ht="15" hidden="1" customHeight="1">
      <c r="A251" s="1220"/>
      <c r="B251" s="1239"/>
      <c r="C251" s="1222"/>
      <c r="D251" s="1222"/>
      <c r="E251" s="1222"/>
      <c r="F251" s="1222"/>
      <c r="G251" s="1213"/>
      <c r="I251" s="1243"/>
      <c r="J251" s="1243"/>
      <c r="K251" s="1243"/>
      <c r="L251" s="1243"/>
      <c r="M251" s="1243"/>
    </row>
    <row r="252" spans="1:13" s="797" customFormat="1" ht="15" hidden="1" customHeight="1">
      <c r="A252" s="1220"/>
      <c r="B252" s="1239"/>
      <c r="C252" s="1222"/>
      <c r="D252" s="1222"/>
      <c r="E252" s="1222"/>
      <c r="F252" s="1222"/>
      <c r="G252" s="1213"/>
      <c r="I252" s="1243"/>
      <c r="J252" s="1243"/>
      <c r="K252" s="1243"/>
      <c r="L252" s="1243"/>
      <c r="M252" s="1243"/>
    </row>
    <row r="253" spans="1:13" s="797" customFormat="1" ht="15" hidden="1" customHeight="1">
      <c r="A253" s="1220"/>
      <c r="B253" s="1239"/>
      <c r="C253" s="1222"/>
      <c r="D253" s="1222"/>
      <c r="E253" s="1222"/>
      <c r="F253" s="1222"/>
      <c r="G253" s="1213"/>
      <c r="I253" s="1243"/>
      <c r="J253" s="1243"/>
      <c r="K253" s="1243"/>
      <c r="L253" s="1243"/>
      <c r="M253" s="1243"/>
    </row>
    <row r="254" spans="1:13" s="797" customFormat="1" ht="15" hidden="1" customHeight="1">
      <c r="A254" s="1220"/>
      <c r="B254" s="1239"/>
      <c r="C254" s="1222"/>
      <c r="D254" s="1222"/>
      <c r="E254" s="1222"/>
      <c r="F254" s="1222"/>
      <c r="G254" s="1213"/>
      <c r="I254" s="1243"/>
      <c r="J254" s="1243"/>
      <c r="K254" s="1243"/>
      <c r="L254" s="1243"/>
      <c r="M254" s="1243"/>
    </row>
    <row r="255" spans="1:13" s="797" customFormat="1" ht="15" hidden="1" customHeight="1">
      <c r="A255" s="1220"/>
      <c r="B255" s="1239"/>
      <c r="C255" s="1222"/>
      <c r="D255" s="1222"/>
      <c r="E255" s="1222"/>
      <c r="F255" s="1222"/>
      <c r="G255" s="1213"/>
      <c r="I255" s="1243"/>
      <c r="J255" s="1243"/>
      <c r="K255" s="1243"/>
      <c r="L255" s="1243"/>
      <c r="M255" s="1243"/>
    </row>
    <row r="256" spans="1:13" s="797" customFormat="1" ht="15" hidden="1" customHeight="1">
      <c r="A256" s="1220"/>
      <c r="B256" s="1239"/>
      <c r="C256" s="1222"/>
      <c r="D256" s="1222"/>
      <c r="E256" s="1222"/>
      <c r="F256" s="1222"/>
      <c r="G256" s="1213"/>
      <c r="I256" s="1243"/>
      <c r="J256" s="1243"/>
      <c r="K256" s="1243"/>
      <c r="L256" s="1243"/>
      <c r="M256" s="1243"/>
    </row>
    <row r="257" spans="1:13" s="797" customFormat="1" ht="15" hidden="1" customHeight="1">
      <c r="A257" s="1220"/>
      <c r="B257" s="1239"/>
      <c r="C257" s="1222"/>
      <c r="D257" s="1222"/>
      <c r="E257" s="1222"/>
      <c r="F257" s="1222"/>
      <c r="G257" s="1213"/>
      <c r="I257" s="1243"/>
      <c r="J257" s="1243"/>
      <c r="K257" s="1243"/>
      <c r="L257" s="1243"/>
      <c r="M257" s="1243"/>
    </row>
    <row r="258" spans="1:13" s="797" customFormat="1" ht="15" hidden="1" customHeight="1">
      <c r="A258" s="1220"/>
      <c r="B258" s="1239"/>
      <c r="C258" s="1222"/>
      <c r="D258" s="1222"/>
      <c r="E258" s="1222"/>
      <c r="F258" s="1222"/>
      <c r="G258" s="1213"/>
      <c r="I258" s="1243"/>
      <c r="J258" s="1243"/>
      <c r="K258" s="1243"/>
      <c r="L258" s="1243"/>
      <c r="M258" s="1243"/>
    </row>
    <row r="259" spans="1:13" s="797" customFormat="1" ht="15" hidden="1" customHeight="1">
      <c r="A259" s="1220"/>
      <c r="B259" s="1239"/>
      <c r="C259" s="1222"/>
      <c r="D259" s="1222"/>
      <c r="E259" s="1222"/>
      <c r="F259" s="1222"/>
      <c r="G259" s="1213"/>
      <c r="I259" s="1243"/>
      <c r="J259" s="1243"/>
      <c r="K259" s="1243"/>
      <c r="L259" s="1243"/>
      <c r="M259" s="1243"/>
    </row>
    <row r="260" spans="1:13" s="797" customFormat="1" ht="15" hidden="1" customHeight="1">
      <c r="A260" s="1220"/>
      <c r="B260" s="1239"/>
      <c r="C260" s="1222"/>
      <c r="D260" s="1222"/>
      <c r="E260" s="1222"/>
      <c r="F260" s="1222"/>
      <c r="G260" s="1213"/>
      <c r="I260" s="1243"/>
      <c r="J260" s="1243"/>
      <c r="K260" s="1243"/>
      <c r="L260" s="1243"/>
      <c r="M260" s="1243"/>
    </row>
    <row r="261" spans="1:13" s="797" customFormat="1" ht="15" hidden="1" customHeight="1">
      <c r="A261" s="1220"/>
      <c r="B261" s="1239"/>
      <c r="C261" s="1222"/>
      <c r="D261" s="1222"/>
      <c r="E261" s="1222"/>
      <c r="F261" s="1222"/>
      <c r="G261" s="1213"/>
      <c r="I261" s="1243"/>
      <c r="J261" s="1243"/>
      <c r="K261" s="1243"/>
      <c r="L261" s="1243"/>
      <c r="M261" s="1243"/>
    </row>
    <row r="262" spans="1:13" s="797" customFormat="1" ht="15" hidden="1" customHeight="1">
      <c r="A262" s="1220"/>
      <c r="B262" s="1239"/>
      <c r="C262" s="1222"/>
      <c r="D262" s="1222"/>
      <c r="E262" s="1222"/>
      <c r="F262" s="1222"/>
      <c r="G262" s="1213"/>
      <c r="I262" s="1243"/>
      <c r="J262" s="1243"/>
      <c r="K262" s="1243"/>
      <c r="L262" s="1243"/>
      <c r="M262" s="1243"/>
    </row>
    <row r="263" spans="1:13" s="797" customFormat="1" ht="15" hidden="1" customHeight="1">
      <c r="A263" s="1220"/>
      <c r="B263" s="1239"/>
      <c r="C263" s="1222"/>
      <c r="D263" s="1222"/>
      <c r="E263" s="1222"/>
      <c r="F263" s="1222"/>
      <c r="G263" s="1213"/>
      <c r="I263" s="1243"/>
      <c r="J263" s="1243"/>
      <c r="K263" s="1243"/>
      <c r="L263" s="1243"/>
      <c r="M263" s="1243"/>
    </row>
    <row r="264" spans="1:13" s="797" customFormat="1" ht="15" hidden="1" customHeight="1">
      <c r="A264" s="1220"/>
      <c r="B264" s="1239"/>
      <c r="C264" s="1222"/>
      <c r="D264" s="1222"/>
      <c r="E264" s="1222"/>
      <c r="F264" s="1222"/>
      <c r="G264" s="1213"/>
      <c r="I264" s="1243"/>
      <c r="J264" s="1243"/>
      <c r="K264" s="1243"/>
      <c r="L264" s="1243"/>
      <c r="M264" s="1243"/>
    </row>
    <row r="265" spans="1:13" s="797" customFormat="1" ht="15" hidden="1" customHeight="1">
      <c r="A265" s="1220"/>
      <c r="B265" s="1239"/>
      <c r="C265" s="1222"/>
      <c r="D265" s="1222"/>
      <c r="E265" s="1222"/>
      <c r="F265" s="1222"/>
      <c r="G265" s="1213"/>
      <c r="I265" s="1243"/>
      <c r="J265" s="1243"/>
      <c r="K265" s="1243"/>
      <c r="L265" s="1243"/>
      <c r="M265" s="1243"/>
    </row>
    <row r="266" spans="1:13" s="797" customFormat="1" ht="15" hidden="1" customHeight="1">
      <c r="A266" s="1220"/>
      <c r="B266" s="1239"/>
      <c r="C266" s="1222"/>
      <c r="D266" s="1222"/>
      <c r="E266" s="1222"/>
      <c r="F266" s="1222"/>
      <c r="G266" s="1213"/>
      <c r="I266" s="1243"/>
      <c r="J266" s="1243"/>
      <c r="K266" s="1243"/>
      <c r="L266" s="1243"/>
      <c r="M266" s="1243"/>
    </row>
    <row r="267" spans="1:13" s="797" customFormat="1" ht="15" hidden="1" customHeight="1">
      <c r="A267" s="1220"/>
      <c r="B267" s="1239"/>
      <c r="C267" s="1222"/>
      <c r="D267" s="1222"/>
      <c r="E267" s="1222"/>
      <c r="F267" s="1222"/>
      <c r="G267" s="1213"/>
      <c r="I267" s="1243"/>
      <c r="J267" s="1243"/>
      <c r="K267" s="1243"/>
      <c r="L267" s="1243"/>
      <c r="M267" s="1243"/>
    </row>
    <row r="268" spans="1:13" s="797" customFormat="1" ht="15" hidden="1" customHeight="1">
      <c r="A268" s="1220"/>
      <c r="B268" s="1239"/>
      <c r="C268" s="1222"/>
      <c r="D268" s="1222"/>
      <c r="E268" s="1222"/>
      <c r="F268" s="1222"/>
      <c r="G268" s="1213"/>
      <c r="I268" s="1243"/>
      <c r="J268" s="1243"/>
      <c r="K268" s="1243"/>
      <c r="L268" s="1243"/>
      <c r="M268" s="1243"/>
    </row>
    <row r="269" spans="1:13" s="797" customFormat="1" ht="15" hidden="1" customHeight="1">
      <c r="A269" s="1220"/>
      <c r="B269" s="1239"/>
      <c r="C269" s="1222"/>
      <c r="D269" s="1222"/>
      <c r="E269" s="1222"/>
      <c r="F269" s="1222"/>
      <c r="G269" s="1213"/>
      <c r="I269" s="1243"/>
      <c r="J269" s="1243"/>
      <c r="K269" s="1243"/>
      <c r="L269" s="1243"/>
      <c r="M269" s="1243"/>
    </row>
    <row r="270" spans="1:13" s="797" customFormat="1" ht="15" hidden="1" customHeight="1">
      <c r="A270" s="1220"/>
      <c r="B270" s="1239"/>
      <c r="C270" s="1222"/>
      <c r="D270" s="1222"/>
      <c r="E270" s="1222"/>
      <c r="F270" s="1222"/>
      <c r="G270" s="1211"/>
      <c r="I270" s="917"/>
      <c r="J270" s="917"/>
      <c r="K270" s="917"/>
      <c r="L270" s="917"/>
      <c r="M270" s="1218"/>
    </row>
    <row r="271" spans="1:13" s="797" customFormat="1" ht="15" hidden="1" customHeight="1">
      <c r="A271" s="1220"/>
      <c r="B271" s="1239"/>
      <c r="C271" s="1222"/>
      <c r="D271" s="1222"/>
      <c r="E271" s="1222"/>
      <c r="F271" s="1222"/>
      <c r="G271" s="1211"/>
      <c r="I271" s="917"/>
      <c r="J271" s="917"/>
      <c r="K271" s="917"/>
      <c r="L271" s="917"/>
      <c r="M271" s="1218"/>
    </row>
    <row r="272" spans="1:13" s="797" customFormat="1" ht="15" hidden="1" customHeight="1">
      <c r="A272" s="1220"/>
      <c r="B272" s="1239"/>
      <c r="C272" s="1222"/>
      <c r="D272" s="1222"/>
      <c r="E272" s="1222"/>
      <c r="F272" s="1222"/>
      <c r="G272" s="1211"/>
      <c r="I272" s="917"/>
      <c r="J272" s="917"/>
      <c r="K272" s="917"/>
      <c r="L272" s="917"/>
      <c r="M272" s="1218"/>
    </row>
    <row r="273" spans="1:13" s="797" customFormat="1" ht="15" hidden="1" customHeight="1">
      <c r="A273" s="1948" t="s">
        <v>886</v>
      </c>
      <c r="B273" s="1225" t="s">
        <v>655</v>
      </c>
      <c r="C273" s="1226">
        <f>COUNTIF(C$161:C$272,"&gt;0")</f>
        <v>0</v>
      </c>
      <c r="D273" s="1226">
        <f>COUNTIF(D$161:D$272,"&gt;0")</f>
        <v>0</v>
      </c>
      <c r="E273" s="1226">
        <f>COUNTIF(E$161:E$272,"&gt;0")</f>
        <v>38</v>
      </c>
      <c r="F273" s="1226">
        <f>COUNTIF(F$161:F$272,"&gt;0")</f>
        <v>46</v>
      </c>
      <c r="G273" s="1227"/>
      <c r="H273" s="1240">
        <f>C273+D273+E273+F273</f>
        <v>84</v>
      </c>
      <c r="I273" s="917"/>
      <c r="J273" s="917"/>
      <c r="K273" s="917"/>
      <c r="L273" s="917"/>
      <c r="M273" s="1218"/>
    </row>
    <row r="274" spans="1:13" s="797" customFormat="1" ht="15" hidden="1" customHeight="1">
      <c r="A274" s="1952"/>
      <c r="B274" s="1231" t="s">
        <v>221</v>
      </c>
      <c r="C274" s="1232">
        <f>SUM(C$161:C$272)</f>
        <v>0</v>
      </c>
      <c r="D274" s="1232">
        <f>SUM(D$161:D$272)</f>
        <v>0</v>
      </c>
      <c r="E274" s="1232">
        <f>SUM(E$161:E$272)</f>
        <v>147.37000000000003</v>
      </c>
      <c r="F274" s="1232">
        <f>SUM(F$161:F$272)</f>
        <v>139.66999999999999</v>
      </c>
      <c r="G274" s="1233"/>
      <c r="I274" s="917"/>
      <c r="J274" s="917"/>
      <c r="K274" s="917"/>
      <c r="L274" s="917"/>
      <c r="M274" s="1217"/>
    </row>
    <row r="275" spans="1:13" s="797" customFormat="1" ht="15" hidden="1" customHeight="1">
      <c r="A275" s="1953"/>
      <c r="B275" s="1234" t="s">
        <v>654</v>
      </c>
      <c r="C275" s="1235"/>
      <c r="D275" s="1235"/>
      <c r="E275" s="1235">
        <f>ROUND(E274/E273,2)</f>
        <v>3.88</v>
      </c>
      <c r="F275" s="1235">
        <f>ROUND(F274/F273,2)</f>
        <v>3.04</v>
      </c>
      <c r="G275" s="1236"/>
    </row>
    <row r="276" spans="1:13" ht="15" customHeight="1">
      <c r="J276" s="797"/>
      <c r="K276" s="797"/>
      <c r="L276" s="797"/>
    </row>
    <row r="278" spans="1:13" ht="15" customHeight="1">
      <c r="J278" s="1242"/>
    </row>
  </sheetData>
  <autoFilter ref="A1:M275" xr:uid="{00000000-0009-0000-0000-000026000000}">
    <filterColumn colId="12">
      <filters>
        <filter val="보  도"/>
      </filters>
    </filterColumn>
  </autoFilter>
  <mergeCells count="11">
    <mergeCell ref="A273:A275"/>
    <mergeCell ref="I2:I3"/>
    <mergeCell ref="J2:J3"/>
    <mergeCell ref="K2:L2"/>
    <mergeCell ref="B1:B3"/>
    <mergeCell ref="A158:A160"/>
    <mergeCell ref="M2:M3"/>
    <mergeCell ref="E2:F2"/>
    <mergeCell ref="G1:G2"/>
    <mergeCell ref="C2:D2"/>
    <mergeCell ref="A1:A3"/>
  </mergeCells>
  <phoneticPr fontId="13" type="noConversion"/>
  <printOptions horizontalCentered="1" gridLines="1"/>
  <pageMargins left="0.70866141732283472" right="0.70866141732283472" top="1.1811023622047245" bottom="0.78740157480314965" header="0.9055118110236221" footer="0.51181102362204722"/>
  <pageSetup paperSize="9" orientation="portrait" r:id="rId1"/>
  <headerFooter>
    <oddHeader>&amp;C&amp;"돋움체,굵게"&amp;14맨홀&amp;"돋움,굵게" 평균높이 산출(&amp;P/&amp;N)</oddHead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9">
    <tabColor rgb="FFFFC000"/>
  </sheetPr>
  <dimension ref="A1:Q13"/>
  <sheetViews>
    <sheetView workbookViewId="0">
      <selection activeCell="L74" sqref="L74"/>
    </sheetView>
  </sheetViews>
  <sheetFormatPr defaultColWidth="8.33203125" defaultRowHeight="30" customHeight="1"/>
  <cols>
    <col min="1" max="16" width="8.33203125" style="880"/>
    <col min="17" max="17" width="5.77734375" style="880" customWidth="1"/>
    <col min="18" max="16384" width="8.33203125" style="880"/>
  </cols>
  <sheetData>
    <row r="1" spans="1:17" ht="30" customHeight="1">
      <c r="A1" s="1955" t="s">
        <v>854</v>
      </c>
      <c r="B1" s="1955"/>
      <c r="C1" s="1955"/>
      <c r="D1" s="1955"/>
      <c r="E1" s="1955"/>
      <c r="F1" s="1955"/>
      <c r="G1" s="1955"/>
      <c r="H1" s="1955"/>
      <c r="I1" s="1955"/>
      <c r="J1" s="1955"/>
      <c r="K1" s="1955"/>
      <c r="L1" s="1955"/>
      <c r="M1" s="1955"/>
      <c r="N1" s="1955"/>
      <c r="O1" s="1955"/>
      <c r="P1" s="1955"/>
      <c r="Q1" s="1955"/>
    </row>
    <row r="2" spans="1:17" ht="30" customHeight="1">
      <c r="A2" s="1888" t="s">
        <v>853</v>
      </c>
      <c r="B2" s="1957" t="s">
        <v>852</v>
      </c>
      <c r="C2" s="1957" t="s">
        <v>851</v>
      </c>
      <c r="D2" s="1962" t="s">
        <v>850</v>
      </c>
      <c r="E2" s="1963"/>
      <c r="F2" s="1962" t="s">
        <v>849</v>
      </c>
      <c r="G2" s="1964"/>
      <c r="H2" s="1962" t="s">
        <v>848</v>
      </c>
      <c r="I2" s="1963"/>
      <c r="J2" s="1962" t="s">
        <v>466</v>
      </c>
      <c r="K2" s="1963"/>
      <c r="L2" s="1962" t="s">
        <v>467</v>
      </c>
      <c r="M2" s="1963"/>
      <c r="N2" s="1962" t="s">
        <v>847</v>
      </c>
      <c r="O2" s="1963"/>
      <c r="P2" s="881" t="s">
        <v>846</v>
      </c>
      <c r="Q2" s="1959" t="s">
        <v>845</v>
      </c>
    </row>
    <row r="3" spans="1:17" ht="30" customHeight="1">
      <c r="A3" s="1951"/>
      <c r="B3" s="1946"/>
      <c r="C3" s="1946"/>
      <c r="D3" s="882" t="s">
        <v>844</v>
      </c>
      <c r="E3" s="882" t="s">
        <v>833</v>
      </c>
      <c r="F3" s="882" t="s">
        <v>1409</v>
      </c>
      <c r="G3" s="882" t="s">
        <v>843</v>
      </c>
      <c r="H3" s="882" t="s">
        <v>842</v>
      </c>
      <c r="I3" s="882" t="s">
        <v>841</v>
      </c>
      <c r="J3" s="882" t="s">
        <v>37</v>
      </c>
      <c r="K3" s="882" t="s">
        <v>38</v>
      </c>
      <c r="L3" s="882" t="s">
        <v>37</v>
      </c>
      <c r="M3" s="882" t="s">
        <v>38</v>
      </c>
      <c r="N3" s="883" t="s">
        <v>840</v>
      </c>
      <c r="O3" s="883" t="s">
        <v>839</v>
      </c>
      <c r="P3" s="883" t="s">
        <v>838</v>
      </c>
      <c r="Q3" s="1960"/>
    </row>
    <row r="4" spans="1:17" ht="30" customHeight="1">
      <c r="A4" s="1956"/>
      <c r="B4" s="1958"/>
      <c r="C4" s="1958"/>
      <c r="D4" s="884" t="s">
        <v>837</v>
      </c>
      <c r="E4" s="884" t="s">
        <v>836</v>
      </c>
      <c r="F4" s="884" t="s">
        <v>834</v>
      </c>
      <c r="G4" s="884" t="s">
        <v>834</v>
      </c>
      <c r="H4" s="884" t="s">
        <v>834</v>
      </c>
      <c r="I4" s="884" t="s">
        <v>834</v>
      </c>
      <c r="J4" s="884" t="s">
        <v>5</v>
      </c>
      <c r="K4" s="884" t="s">
        <v>5</v>
      </c>
      <c r="L4" s="884" t="s">
        <v>5</v>
      </c>
      <c r="M4" s="884" t="s">
        <v>5</v>
      </c>
      <c r="N4" s="884" t="s">
        <v>834</v>
      </c>
      <c r="O4" s="884" t="s">
        <v>835</v>
      </c>
      <c r="P4" s="884" t="s">
        <v>834</v>
      </c>
      <c r="Q4" s="1961"/>
    </row>
    <row r="5" spans="1:17" ht="30" customHeight="1">
      <c r="A5" s="1965" t="s">
        <v>844</v>
      </c>
      <c r="B5" s="1967">
        <f>'부관맨홀 산출근거'!H36</f>
        <v>1.06</v>
      </c>
      <c r="C5" s="1911">
        <f>'부관맨홀 산출근거'!F36</f>
        <v>5</v>
      </c>
      <c r="D5" s="885">
        <f>D7</f>
        <v>1.34</v>
      </c>
      <c r="E5" s="885"/>
      <c r="F5" s="886">
        <f>부관맨홀단위수량!D20</f>
        <v>1</v>
      </c>
      <c r="G5" s="886"/>
      <c r="H5" s="886">
        <f>H7</f>
        <v>1</v>
      </c>
      <c r="I5" s="886"/>
      <c r="J5" s="886">
        <f>J7</f>
        <v>1</v>
      </c>
      <c r="K5" s="886"/>
      <c r="L5" s="886">
        <f>L7</f>
        <v>2</v>
      </c>
      <c r="M5" s="886"/>
      <c r="N5" s="886">
        <f>N7</f>
        <v>2</v>
      </c>
      <c r="O5" s="886"/>
      <c r="P5" s="886">
        <f>P7</f>
        <v>4</v>
      </c>
      <c r="Q5" s="887"/>
    </row>
    <row r="6" spans="1:17" ht="30" customHeight="1">
      <c r="A6" s="1966"/>
      <c r="B6" s="1290"/>
      <c r="C6" s="1290"/>
      <c r="D6" s="888">
        <f>D5*$C$5</f>
        <v>6.7</v>
      </c>
      <c r="E6" s="888"/>
      <c r="F6" s="889">
        <f>F5*$C$5</f>
        <v>5</v>
      </c>
      <c r="G6" s="889"/>
      <c r="H6" s="889">
        <f>H5*$C$5</f>
        <v>5</v>
      </c>
      <c r="I6" s="889"/>
      <c r="J6" s="889">
        <f>J5*$C$5</f>
        <v>5</v>
      </c>
      <c r="K6" s="889"/>
      <c r="L6" s="889">
        <f>L5*$C$5</f>
        <v>10</v>
      </c>
      <c r="M6" s="889"/>
      <c r="N6" s="889">
        <f>N5*$C$5</f>
        <v>10</v>
      </c>
      <c r="O6" s="889"/>
      <c r="P6" s="889">
        <f>P5*$C$5</f>
        <v>20</v>
      </c>
      <c r="Q6" s="890"/>
    </row>
    <row r="7" spans="1:17" ht="30" customHeight="1">
      <c r="A7" s="1970" t="s">
        <v>941</v>
      </c>
      <c r="B7" s="1972">
        <f>'부관맨홀 산출근거'!H37</f>
        <v>1.34</v>
      </c>
      <c r="C7" s="1290">
        <f>'부관맨홀 산출근거'!F37</f>
        <v>21</v>
      </c>
      <c r="D7" s="891">
        <f>B7</f>
        <v>1.34</v>
      </c>
      <c r="E7" s="891"/>
      <c r="F7" s="892"/>
      <c r="G7" s="892">
        <f>부관맨홀단위수량!D20</f>
        <v>1</v>
      </c>
      <c r="H7" s="892">
        <f>부관맨홀단위수량!D23</f>
        <v>1</v>
      </c>
      <c r="I7" s="892"/>
      <c r="J7" s="892">
        <f>부관맨홀단위수량!D21</f>
        <v>1</v>
      </c>
      <c r="K7" s="892"/>
      <c r="L7" s="892">
        <f>부관맨홀단위수량!D22</f>
        <v>2</v>
      </c>
      <c r="M7" s="892"/>
      <c r="N7" s="892">
        <f>부관맨홀단위수량!D24</f>
        <v>2</v>
      </c>
      <c r="O7" s="892"/>
      <c r="P7" s="892">
        <f>부관맨홀단위수량!D25</f>
        <v>4</v>
      </c>
      <c r="Q7" s="890"/>
    </row>
    <row r="8" spans="1:17" ht="30" customHeight="1">
      <c r="A8" s="1971"/>
      <c r="B8" s="1973"/>
      <c r="C8" s="1973"/>
      <c r="D8" s="893">
        <f>D7*$C$7</f>
        <v>28.14</v>
      </c>
      <c r="E8" s="893"/>
      <c r="F8" s="894"/>
      <c r="G8" s="894">
        <f>G7*$C$7</f>
        <v>21</v>
      </c>
      <c r="H8" s="894">
        <f>H7*$C$7</f>
        <v>21</v>
      </c>
      <c r="I8" s="894"/>
      <c r="J8" s="894">
        <f>J7*$C$7</f>
        <v>21</v>
      </c>
      <c r="K8" s="894"/>
      <c r="L8" s="894">
        <f>L7*$C$7</f>
        <v>42</v>
      </c>
      <c r="M8" s="894"/>
      <c r="N8" s="894">
        <f>N7*$C$7</f>
        <v>42</v>
      </c>
      <c r="O8" s="894"/>
      <c r="P8" s="894">
        <f>P7*$C$7</f>
        <v>84</v>
      </c>
      <c r="Q8" s="895"/>
    </row>
    <row r="9" spans="1:17" ht="30" hidden="1" customHeight="1">
      <c r="A9" s="1974" t="s">
        <v>832</v>
      </c>
      <c r="B9" s="1975"/>
      <c r="C9" s="1946">
        <f>'부관맨홀 산출근거'!F38</f>
        <v>0</v>
      </c>
      <c r="D9" s="896"/>
      <c r="E9" s="896">
        <f>B9</f>
        <v>0</v>
      </c>
      <c r="F9" s="897"/>
      <c r="G9" s="897">
        <f>부관맨홀단위수량!I20</f>
        <v>1</v>
      </c>
      <c r="H9" s="897"/>
      <c r="I9" s="897">
        <f>부관맨홀단위수량!I23</f>
        <v>1</v>
      </c>
      <c r="J9" s="897"/>
      <c r="K9" s="897">
        <f>부관맨홀단위수량!I21</f>
        <v>1</v>
      </c>
      <c r="L9" s="897"/>
      <c r="M9" s="897">
        <f>부관맨홀단위수량!I22</f>
        <v>2</v>
      </c>
      <c r="N9" s="897"/>
      <c r="O9" s="897">
        <f>부관맨홀단위수량!I24</f>
        <v>2</v>
      </c>
      <c r="P9" s="897">
        <f>부관맨홀단위수량!I25</f>
        <v>4</v>
      </c>
      <c r="Q9" s="898"/>
    </row>
    <row r="10" spans="1:17" ht="30" hidden="1" customHeight="1">
      <c r="A10" s="1956"/>
      <c r="B10" s="1958"/>
      <c r="C10" s="1958"/>
      <c r="D10" s="899"/>
      <c r="E10" s="899">
        <f>ROUND(E9*$C$9,2)</f>
        <v>0</v>
      </c>
      <c r="F10" s="900"/>
      <c r="G10" s="901">
        <f>G9*$C$9</f>
        <v>0</v>
      </c>
      <c r="H10" s="900"/>
      <c r="I10" s="900">
        <f>ROUND(I9*$C$9,2)</f>
        <v>0</v>
      </c>
      <c r="J10" s="900"/>
      <c r="K10" s="900">
        <f>ROUND(K9*$C$9,2)</f>
        <v>0</v>
      </c>
      <c r="L10" s="900"/>
      <c r="M10" s="900">
        <f>ROUND(M9*$C$9,2)</f>
        <v>0</v>
      </c>
      <c r="N10" s="900"/>
      <c r="O10" s="900">
        <f>ROUND(O9*$C$9,2)</f>
        <v>0</v>
      </c>
      <c r="P10" s="900">
        <f>ROUND(P9*$C$9,2)</f>
        <v>0</v>
      </c>
      <c r="Q10" s="902"/>
    </row>
    <row r="11" spans="1:17" ht="30" hidden="1" customHeight="1">
      <c r="A11" s="1974" t="s">
        <v>831</v>
      </c>
      <c r="B11" s="1975"/>
      <c r="C11" s="1946"/>
      <c r="D11" s="896"/>
      <c r="E11" s="896">
        <f>B11</f>
        <v>0</v>
      </c>
      <c r="F11" s="897"/>
      <c r="G11" s="897"/>
      <c r="H11" s="897"/>
      <c r="I11" s="897">
        <f>부관맨홀단위수량!I23</f>
        <v>1</v>
      </c>
      <c r="J11" s="897"/>
      <c r="K11" s="897">
        <f>부관맨홀단위수량!K23</f>
        <v>0</v>
      </c>
      <c r="L11" s="897"/>
      <c r="M11" s="897">
        <f>부관맨홀단위수량!M23</f>
        <v>0</v>
      </c>
      <c r="N11" s="897"/>
      <c r="O11" s="897">
        <f>부관맨홀단위수량!I24</f>
        <v>2</v>
      </c>
      <c r="P11" s="897">
        <f>부관맨홀단위수량!I25</f>
        <v>4</v>
      </c>
      <c r="Q11" s="898"/>
    </row>
    <row r="12" spans="1:17" ht="30" hidden="1" customHeight="1">
      <c r="A12" s="1956"/>
      <c r="B12" s="1958"/>
      <c r="C12" s="1958"/>
      <c r="D12" s="899"/>
      <c r="E12" s="899">
        <f>ROUND(E11*$C$11,2)</f>
        <v>0</v>
      </c>
      <c r="F12" s="900"/>
      <c r="G12" s="901"/>
      <c r="H12" s="900"/>
      <c r="I12" s="900">
        <f>ROUND(I11*$C$11,2)</f>
        <v>0</v>
      </c>
      <c r="J12" s="900"/>
      <c r="K12" s="900">
        <f>ROUND(K11*$C$11,2)</f>
        <v>0</v>
      </c>
      <c r="L12" s="900"/>
      <c r="M12" s="900">
        <f>ROUND(M11*$C$11,2)</f>
        <v>0</v>
      </c>
      <c r="N12" s="900"/>
      <c r="O12" s="900">
        <f>ROUND(O11*$C$11,2)</f>
        <v>0</v>
      </c>
      <c r="P12" s="900">
        <f>ROUND(P11*$C$11,2)</f>
        <v>0</v>
      </c>
      <c r="Q12" s="902"/>
    </row>
    <row r="13" spans="1:17" ht="30" customHeight="1">
      <c r="A13" s="1968" t="s">
        <v>830</v>
      </c>
      <c r="B13" s="1969"/>
      <c r="C13" s="903">
        <f>C5+C7+C9+C11</f>
        <v>26</v>
      </c>
      <c r="D13" s="904">
        <f t="shared" ref="D13:P13" si="0">D6+D8+D10+D12</f>
        <v>34.840000000000003</v>
      </c>
      <c r="E13" s="904">
        <f t="shared" si="0"/>
        <v>0</v>
      </c>
      <c r="F13" s="905">
        <f t="shared" si="0"/>
        <v>5</v>
      </c>
      <c r="G13" s="905">
        <f t="shared" si="0"/>
        <v>21</v>
      </c>
      <c r="H13" s="905">
        <f t="shared" si="0"/>
        <v>26</v>
      </c>
      <c r="I13" s="905">
        <f t="shared" si="0"/>
        <v>0</v>
      </c>
      <c r="J13" s="905">
        <f t="shared" si="0"/>
        <v>26</v>
      </c>
      <c r="K13" s="905">
        <f t="shared" si="0"/>
        <v>0</v>
      </c>
      <c r="L13" s="905">
        <f t="shared" si="0"/>
        <v>52</v>
      </c>
      <c r="M13" s="905">
        <f t="shared" si="0"/>
        <v>0</v>
      </c>
      <c r="N13" s="905">
        <f t="shared" si="0"/>
        <v>52</v>
      </c>
      <c r="O13" s="905">
        <f t="shared" si="0"/>
        <v>0</v>
      </c>
      <c r="P13" s="905">
        <f t="shared" si="0"/>
        <v>104</v>
      </c>
      <c r="Q13" s="902"/>
    </row>
  </sheetData>
  <mergeCells count="24">
    <mergeCell ref="A5:A6"/>
    <mergeCell ref="B5:B6"/>
    <mergeCell ref="C5:C6"/>
    <mergeCell ref="A13:B13"/>
    <mergeCell ref="A7:A8"/>
    <mergeCell ref="B7:B8"/>
    <mergeCell ref="C7:C8"/>
    <mergeCell ref="A9:A10"/>
    <mergeCell ref="B9:B10"/>
    <mergeCell ref="C9:C10"/>
    <mergeCell ref="A11:A12"/>
    <mergeCell ref="B11:B12"/>
    <mergeCell ref="C11:C12"/>
    <mergeCell ref="A1:Q1"/>
    <mergeCell ref="A2:A4"/>
    <mergeCell ref="B2:B4"/>
    <mergeCell ref="C2:C4"/>
    <mergeCell ref="Q2:Q4"/>
    <mergeCell ref="D2:E2"/>
    <mergeCell ref="F2:G2"/>
    <mergeCell ref="H2:I2"/>
    <mergeCell ref="N2:O2"/>
    <mergeCell ref="J2:K2"/>
    <mergeCell ref="L2:M2"/>
  </mergeCells>
  <phoneticPr fontId="13" type="noConversion"/>
  <printOptions horizontalCentered="1"/>
  <pageMargins left="0.59055118110236227" right="0.59055118110236227" top="0.78740157480314965" bottom="0.78740157480314965" header="0.31496062992125984" footer="0.31496062992125984"/>
  <pageSetup paperSize="9" scale="83" orientation="landscape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0">
    <tabColor rgb="FF92D050"/>
  </sheetPr>
  <dimension ref="A1:J25"/>
  <sheetViews>
    <sheetView workbookViewId="0">
      <selection activeCell="L74" sqref="L74"/>
    </sheetView>
  </sheetViews>
  <sheetFormatPr defaultRowHeight="14.25"/>
  <cols>
    <col min="1" max="1" width="16.5546875" style="857" customWidth="1"/>
    <col min="2" max="2" width="14.77734375" style="857" customWidth="1"/>
    <col min="3" max="3" width="8.77734375" style="857" customWidth="1"/>
    <col min="4" max="4" width="17.33203125" style="857" customWidth="1"/>
    <col min="5" max="5" width="19.21875" style="857" customWidth="1"/>
    <col min="6" max="6" width="16.5546875" style="857" customWidth="1"/>
    <col min="7" max="7" width="14.77734375" style="857" customWidth="1"/>
    <col min="8" max="8" width="8.77734375" style="857" customWidth="1"/>
    <col min="9" max="9" width="17.33203125" style="857" customWidth="1"/>
    <col min="10" max="10" width="19.21875" style="857" customWidth="1"/>
    <col min="11" max="256" width="8.88671875" style="857"/>
    <col min="257" max="261" width="14.77734375" style="857" customWidth="1"/>
    <col min="262" max="512" width="8.88671875" style="857"/>
    <col min="513" max="517" width="14.77734375" style="857" customWidth="1"/>
    <col min="518" max="768" width="8.88671875" style="857"/>
    <col min="769" max="773" width="14.77734375" style="857" customWidth="1"/>
    <col min="774" max="1024" width="8.88671875" style="857"/>
    <col min="1025" max="1029" width="14.77734375" style="857" customWidth="1"/>
    <col min="1030" max="1280" width="8.88671875" style="857"/>
    <col min="1281" max="1285" width="14.77734375" style="857" customWidth="1"/>
    <col min="1286" max="1536" width="8.88671875" style="857"/>
    <col min="1537" max="1541" width="14.77734375" style="857" customWidth="1"/>
    <col min="1542" max="1792" width="8.88671875" style="857"/>
    <col min="1793" max="1797" width="14.77734375" style="857" customWidth="1"/>
    <col min="1798" max="2048" width="8.88671875" style="857"/>
    <col min="2049" max="2053" width="14.77734375" style="857" customWidth="1"/>
    <col min="2054" max="2304" width="8.88671875" style="857"/>
    <col min="2305" max="2309" width="14.77734375" style="857" customWidth="1"/>
    <col min="2310" max="2560" width="8.88671875" style="857"/>
    <col min="2561" max="2565" width="14.77734375" style="857" customWidth="1"/>
    <col min="2566" max="2816" width="8.88671875" style="857"/>
    <col min="2817" max="2821" width="14.77734375" style="857" customWidth="1"/>
    <col min="2822" max="3072" width="8.88671875" style="857"/>
    <col min="3073" max="3077" width="14.77734375" style="857" customWidth="1"/>
    <col min="3078" max="3328" width="8.88671875" style="857"/>
    <col min="3329" max="3333" width="14.77734375" style="857" customWidth="1"/>
    <col min="3334" max="3584" width="8.88671875" style="857"/>
    <col min="3585" max="3589" width="14.77734375" style="857" customWidth="1"/>
    <col min="3590" max="3840" width="8.88671875" style="857"/>
    <col min="3841" max="3845" width="14.77734375" style="857" customWidth="1"/>
    <col min="3846" max="4096" width="8.88671875" style="857"/>
    <col min="4097" max="4101" width="14.77734375" style="857" customWidth="1"/>
    <col min="4102" max="4352" width="8.88671875" style="857"/>
    <col min="4353" max="4357" width="14.77734375" style="857" customWidth="1"/>
    <col min="4358" max="4608" width="8.88671875" style="857"/>
    <col min="4609" max="4613" width="14.77734375" style="857" customWidth="1"/>
    <col min="4614" max="4864" width="8.88671875" style="857"/>
    <col min="4865" max="4869" width="14.77734375" style="857" customWidth="1"/>
    <col min="4870" max="5120" width="8.88671875" style="857"/>
    <col min="5121" max="5125" width="14.77734375" style="857" customWidth="1"/>
    <col min="5126" max="5376" width="8.88671875" style="857"/>
    <col min="5377" max="5381" width="14.77734375" style="857" customWidth="1"/>
    <col min="5382" max="5632" width="8.88671875" style="857"/>
    <col min="5633" max="5637" width="14.77734375" style="857" customWidth="1"/>
    <col min="5638" max="5888" width="8.88671875" style="857"/>
    <col min="5889" max="5893" width="14.77734375" style="857" customWidth="1"/>
    <col min="5894" max="6144" width="8.88671875" style="857"/>
    <col min="6145" max="6149" width="14.77734375" style="857" customWidth="1"/>
    <col min="6150" max="6400" width="8.88671875" style="857"/>
    <col min="6401" max="6405" width="14.77734375" style="857" customWidth="1"/>
    <col min="6406" max="6656" width="8.88671875" style="857"/>
    <col min="6657" max="6661" width="14.77734375" style="857" customWidth="1"/>
    <col min="6662" max="6912" width="8.88671875" style="857"/>
    <col min="6913" max="6917" width="14.77734375" style="857" customWidth="1"/>
    <col min="6918" max="7168" width="8.88671875" style="857"/>
    <col min="7169" max="7173" width="14.77734375" style="857" customWidth="1"/>
    <col min="7174" max="7424" width="8.88671875" style="857"/>
    <col min="7425" max="7429" width="14.77734375" style="857" customWidth="1"/>
    <col min="7430" max="7680" width="8.88671875" style="857"/>
    <col min="7681" max="7685" width="14.77734375" style="857" customWidth="1"/>
    <col min="7686" max="7936" width="8.88671875" style="857"/>
    <col min="7937" max="7941" width="14.77734375" style="857" customWidth="1"/>
    <col min="7942" max="8192" width="8.88671875" style="857"/>
    <col min="8193" max="8197" width="14.77734375" style="857" customWidth="1"/>
    <col min="8198" max="8448" width="8.88671875" style="857"/>
    <col min="8449" max="8453" width="14.77734375" style="857" customWidth="1"/>
    <col min="8454" max="8704" width="8.88671875" style="857"/>
    <col min="8705" max="8709" width="14.77734375" style="857" customWidth="1"/>
    <col min="8710" max="8960" width="8.88671875" style="857"/>
    <col min="8961" max="8965" width="14.77734375" style="857" customWidth="1"/>
    <col min="8966" max="9216" width="8.88671875" style="857"/>
    <col min="9217" max="9221" width="14.77734375" style="857" customWidth="1"/>
    <col min="9222" max="9472" width="8.88671875" style="857"/>
    <col min="9473" max="9477" width="14.77734375" style="857" customWidth="1"/>
    <col min="9478" max="9728" width="8.88671875" style="857"/>
    <col min="9729" max="9733" width="14.77734375" style="857" customWidth="1"/>
    <col min="9734" max="9984" width="8.88671875" style="857"/>
    <col min="9985" max="9989" width="14.77734375" style="857" customWidth="1"/>
    <col min="9990" max="10240" width="8.88671875" style="857"/>
    <col min="10241" max="10245" width="14.77734375" style="857" customWidth="1"/>
    <col min="10246" max="10496" width="8.88671875" style="857"/>
    <col min="10497" max="10501" width="14.77734375" style="857" customWidth="1"/>
    <col min="10502" max="10752" width="8.88671875" style="857"/>
    <col min="10753" max="10757" width="14.77734375" style="857" customWidth="1"/>
    <col min="10758" max="11008" width="8.88671875" style="857"/>
    <col min="11009" max="11013" width="14.77734375" style="857" customWidth="1"/>
    <col min="11014" max="11264" width="8.88671875" style="857"/>
    <col min="11265" max="11269" width="14.77734375" style="857" customWidth="1"/>
    <col min="11270" max="11520" width="8.88671875" style="857"/>
    <col min="11521" max="11525" width="14.77734375" style="857" customWidth="1"/>
    <col min="11526" max="11776" width="8.88671875" style="857"/>
    <col min="11777" max="11781" width="14.77734375" style="857" customWidth="1"/>
    <col min="11782" max="12032" width="8.88671875" style="857"/>
    <col min="12033" max="12037" width="14.77734375" style="857" customWidth="1"/>
    <col min="12038" max="12288" width="8.88671875" style="857"/>
    <col min="12289" max="12293" width="14.77734375" style="857" customWidth="1"/>
    <col min="12294" max="12544" width="8.88671875" style="857"/>
    <col min="12545" max="12549" width="14.77734375" style="857" customWidth="1"/>
    <col min="12550" max="12800" width="8.88671875" style="857"/>
    <col min="12801" max="12805" width="14.77734375" style="857" customWidth="1"/>
    <col min="12806" max="13056" width="8.88671875" style="857"/>
    <col min="13057" max="13061" width="14.77734375" style="857" customWidth="1"/>
    <col min="13062" max="13312" width="8.88671875" style="857"/>
    <col min="13313" max="13317" width="14.77734375" style="857" customWidth="1"/>
    <col min="13318" max="13568" width="8.88671875" style="857"/>
    <col min="13569" max="13573" width="14.77734375" style="857" customWidth="1"/>
    <col min="13574" max="13824" width="8.88671875" style="857"/>
    <col min="13825" max="13829" width="14.77734375" style="857" customWidth="1"/>
    <col min="13830" max="14080" width="8.88671875" style="857"/>
    <col min="14081" max="14085" width="14.77734375" style="857" customWidth="1"/>
    <col min="14086" max="14336" width="8.88671875" style="857"/>
    <col min="14337" max="14341" width="14.77734375" style="857" customWidth="1"/>
    <col min="14342" max="14592" width="8.88671875" style="857"/>
    <col min="14593" max="14597" width="14.77734375" style="857" customWidth="1"/>
    <col min="14598" max="14848" width="8.88671875" style="857"/>
    <col min="14849" max="14853" width="14.77734375" style="857" customWidth="1"/>
    <col min="14854" max="15104" width="8.88671875" style="857"/>
    <col min="15105" max="15109" width="14.77734375" style="857" customWidth="1"/>
    <col min="15110" max="15360" width="8.88671875" style="857"/>
    <col min="15361" max="15365" width="14.77734375" style="857" customWidth="1"/>
    <col min="15366" max="15616" width="8.88671875" style="857"/>
    <col min="15617" max="15621" width="14.77734375" style="857" customWidth="1"/>
    <col min="15622" max="15872" width="8.88671875" style="857"/>
    <col min="15873" max="15877" width="14.77734375" style="857" customWidth="1"/>
    <col min="15878" max="16128" width="8.88671875" style="857"/>
    <col min="16129" max="16133" width="14.77734375" style="857" customWidth="1"/>
    <col min="16134" max="16384" width="8.88671875" style="857"/>
  </cols>
  <sheetData>
    <row r="1" spans="1:10" ht="39.950000000000003" customHeight="1">
      <c r="A1" s="1898" t="s">
        <v>880</v>
      </c>
      <c r="B1" s="1898"/>
      <c r="C1" s="1898"/>
      <c r="D1" s="1898"/>
      <c r="E1" s="1898"/>
      <c r="F1" s="1898" t="s">
        <v>879</v>
      </c>
      <c r="G1" s="1898"/>
      <c r="H1" s="1898"/>
      <c r="I1" s="1898"/>
      <c r="J1" s="1898"/>
    </row>
    <row r="2" spans="1:10" ht="30" customHeight="1">
      <c r="A2" s="858"/>
      <c r="B2" s="859"/>
      <c r="C2" s="859"/>
      <c r="D2" s="859"/>
      <c r="E2" s="860"/>
      <c r="F2" s="858"/>
      <c r="G2" s="859"/>
      <c r="H2" s="859"/>
      <c r="I2" s="859"/>
      <c r="J2" s="860"/>
    </row>
    <row r="3" spans="1:10" ht="30" customHeight="1">
      <c r="A3" s="861"/>
      <c r="B3" s="862"/>
      <c r="C3" s="862"/>
      <c r="D3" s="862"/>
      <c r="E3" s="863"/>
      <c r="F3" s="861"/>
      <c r="G3" s="862"/>
      <c r="H3" s="862"/>
      <c r="I3" s="862"/>
      <c r="J3" s="863"/>
    </row>
    <row r="4" spans="1:10" ht="30" customHeight="1">
      <c r="A4" s="861"/>
      <c r="B4" s="862"/>
      <c r="C4" s="862"/>
      <c r="D4" s="862"/>
      <c r="E4" s="863"/>
      <c r="F4" s="861"/>
      <c r="G4" s="862"/>
      <c r="H4" s="862"/>
      <c r="I4" s="862"/>
      <c r="J4" s="863"/>
    </row>
    <row r="5" spans="1:10" ht="30" customHeight="1">
      <c r="A5" s="861"/>
      <c r="B5" s="862"/>
      <c r="C5" s="862"/>
      <c r="D5" s="862"/>
      <c r="E5" s="863"/>
      <c r="F5" s="861"/>
      <c r="G5" s="862"/>
      <c r="H5" s="862"/>
      <c r="I5" s="862"/>
      <c r="J5" s="863"/>
    </row>
    <row r="6" spans="1:10" ht="30" customHeight="1">
      <c r="A6" s="861"/>
      <c r="B6" s="862"/>
      <c r="C6" s="862"/>
      <c r="D6" s="862"/>
      <c r="E6" s="863"/>
      <c r="F6" s="861"/>
      <c r="G6" s="862"/>
      <c r="H6" s="862"/>
      <c r="I6" s="862"/>
      <c r="J6" s="863"/>
    </row>
    <row r="7" spans="1:10" ht="30" customHeight="1">
      <c r="A7" s="861"/>
      <c r="B7" s="862"/>
      <c r="C7" s="862"/>
      <c r="D7" s="862"/>
      <c r="E7" s="863"/>
      <c r="F7" s="861"/>
      <c r="G7" s="862"/>
      <c r="H7" s="862"/>
      <c r="I7" s="862"/>
      <c r="J7" s="863"/>
    </row>
    <row r="8" spans="1:10" ht="30" customHeight="1">
      <c r="A8" s="861"/>
      <c r="B8" s="862"/>
      <c r="C8" s="862"/>
      <c r="D8" s="862"/>
      <c r="E8" s="863"/>
      <c r="F8" s="861"/>
      <c r="G8" s="862"/>
      <c r="H8" s="862"/>
      <c r="I8" s="862"/>
      <c r="J8" s="863"/>
    </row>
    <row r="9" spans="1:10" ht="30" customHeight="1">
      <c r="A9" s="861"/>
      <c r="B9" s="862"/>
      <c r="C9" s="862"/>
      <c r="D9" s="862"/>
      <c r="E9" s="863"/>
      <c r="F9" s="861"/>
      <c r="G9" s="862"/>
      <c r="H9" s="862"/>
      <c r="I9" s="862"/>
      <c r="J9" s="863"/>
    </row>
    <row r="10" spans="1:10" ht="30" customHeight="1">
      <c r="A10" s="861"/>
      <c r="B10" s="862"/>
      <c r="C10" s="862"/>
      <c r="D10" s="862"/>
      <c r="E10" s="863"/>
      <c r="F10" s="861"/>
      <c r="G10" s="862"/>
      <c r="H10" s="862"/>
      <c r="I10" s="862"/>
      <c r="J10" s="863"/>
    </row>
    <row r="11" spans="1:10" ht="30" customHeight="1">
      <c r="A11" s="861"/>
      <c r="B11" s="862"/>
      <c r="C11" s="862"/>
      <c r="D11" s="862"/>
      <c r="E11" s="863"/>
      <c r="F11" s="861"/>
      <c r="G11" s="862"/>
      <c r="H11" s="862"/>
      <c r="I11" s="862"/>
      <c r="J11" s="863"/>
    </row>
    <row r="12" spans="1:10" ht="30" customHeight="1">
      <c r="A12" s="861"/>
      <c r="B12" s="862"/>
      <c r="C12" s="862"/>
      <c r="D12" s="862"/>
      <c r="E12" s="863"/>
      <c r="F12" s="861"/>
      <c r="G12" s="862"/>
      <c r="H12" s="862"/>
      <c r="I12" s="862"/>
      <c r="J12" s="863"/>
    </row>
    <row r="13" spans="1:10" ht="30" customHeight="1">
      <c r="A13" s="861"/>
      <c r="B13" s="862"/>
      <c r="C13" s="862"/>
      <c r="D13" s="862"/>
      <c r="E13" s="863"/>
      <c r="F13" s="861"/>
      <c r="G13" s="862"/>
      <c r="H13" s="862"/>
      <c r="I13" s="862"/>
      <c r="J13" s="863"/>
    </row>
    <row r="14" spans="1:10" ht="30" customHeight="1">
      <c r="A14" s="861"/>
      <c r="B14" s="862"/>
      <c r="C14" s="862"/>
      <c r="D14" s="862"/>
      <c r="E14" s="863"/>
      <c r="F14" s="861"/>
      <c r="G14" s="862"/>
      <c r="H14" s="862"/>
      <c r="I14" s="862"/>
      <c r="J14" s="863"/>
    </row>
    <row r="15" spans="1:10" ht="30" customHeight="1">
      <c r="A15" s="861"/>
      <c r="B15" s="862"/>
      <c r="C15" s="862"/>
      <c r="D15" s="862"/>
      <c r="E15" s="863"/>
      <c r="F15" s="861"/>
      <c r="G15" s="862"/>
      <c r="H15" s="862"/>
      <c r="I15" s="862"/>
      <c r="J15" s="863"/>
    </row>
    <row r="16" spans="1:10" ht="30" customHeight="1">
      <c r="A16" s="861"/>
      <c r="B16" s="862"/>
      <c r="C16" s="862"/>
      <c r="D16" s="862"/>
      <c r="E16" s="863"/>
      <c r="F16" s="861"/>
      <c r="G16" s="862"/>
      <c r="H16" s="862"/>
      <c r="I16" s="862"/>
      <c r="J16" s="863"/>
    </row>
    <row r="17" spans="1:10" ht="30" customHeight="1">
      <c r="A17" s="861"/>
      <c r="B17" s="862"/>
      <c r="C17" s="862"/>
      <c r="D17" s="862"/>
      <c r="E17" s="864" t="s">
        <v>878</v>
      </c>
      <c r="F17" s="861"/>
      <c r="G17" s="862"/>
      <c r="H17" s="862"/>
      <c r="I17" s="862"/>
      <c r="J17" s="864" t="s">
        <v>878</v>
      </c>
    </row>
    <row r="18" spans="1:10" ht="30" customHeight="1">
      <c r="A18" s="865" t="s">
        <v>875</v>
      </c>
      <c r="B18" s="866" t="s">
        <v>877</v>
      </c>
      <c r="C18" s="866" t="s">
        <v>876</v>
      </c>
      <c r="D18" s="866" t="s">
        <v>872</v>
      </c>
      <c r="E18" s="867" t="s">
        <v>871</v>
      </c>
      <c r="F18" s="865" t="s">
        <v>875</v>
      </c>
      <c r="G18" s="866" t="s">
        <v>874</v>
      </c>
      <c r="H18" s="866" t="s">
        <v>873</v>
      </c>
      <c r="I18" s="866" t="s">
        <v>872</v>
      </c>
      <c r="J18" s="867" t="s">
        <v>871</v>
      </c>
    </row>
    <row r="19" spans="1:10" ht="30" customHeight="1">
      <c r="A19" s="868" t="s">
        <v>868</v>
      </c>
      <c r="B19" s="869" t="s">
        <v>924</v>
      </c>
      <c r="C19" s="869" t="s">
        <v>867</v>
      </c>
      <c r="D19" s="870" t="s">
        <v>870</v>
      </c>
      <c r="E19" s="871" t="s">
        <v>869</v>
      </c>
      <c r="F19" s="868" t="s">
        <v>868</v>
      </c>
      <c r="G19" s="869" t="s">
        <v>833</v>
      </c>
      <c r="H19" s="869" t="s">
        <v>867</v>
      </c>
      <c r="I19" s="870" t="s">
        <v>866</v>
      </c>
      <c r="J19" s="871" t="s">
        <v>865</v>
      </c>
    </row>
    <row r="20" spans="1:10" ht="30" customHeight="1">
      <c r="A20" s="872" t="s">
        <v>849</v>
      </c>
      <c r="B20" s="873" t="s">
        <v>864</v>
      </c>
      <c r="C20" s="873" t="s">
        <v>363</v>
      </c>
      <c r="D20" s="873">
        <v>1</v>
      </c>
      <c r="E20" s="874"/>
      <c r="F20" s="872" t="s">
        <v>849</v>
      </c>
      <c r="G20" s="875" t="s">
        <v>999</v>
      </c>
      <c r="H20" s="873" t="s">
        <v>834</v>
      </c>
      <c r="I20" s="873">
        <v>1</v>
      </c>
      <c r="J20" s="874"/>
    </row>
    <row r="21" spans="1:10" ht="30" customHeight="1">
      <c r="A21" s="872" t="s">
        <v>922</v>
      </c>
      <c r="B21" s="873" t="s">
        <v>925</v>
      </c>
      <c r="C21" s="873" t="s">
        <v>5</v>
      </c>
      <c r="D21" s="873">
        <v>1</v>
      </c>
      <c r="E21" s="874"/>
      <c r="F21" s="872" t="s">
        <v>922</v>
      </c>
      <c r="G21" s="869" t="s">
        <v>38</v>
      </c>
      <c r="H21" s="873" t="s">
        <v>5</v>
      </c>
      <c r="I21" s="873">
        <v>1</v>
      </c>
      <c r="J21" s="874"/>
    </row>
    <row r="22" spans="1:10" ht="30" customHeight="1">
      <c r="A22" s="876" t="s">
        <v>923</v>
      </c>
      <c r="B22" s="875" t="s">
        <v>925</v>
      </c>
      <c r="C22" s="873" t="s">
        <v>5</v>
      </c>
      <c r="D22" s="873">
        <v>2</v>
      </c>
      <c r="E22" s="874"/>
      <c r="F22" s="876" t="s">
        <v>923</v>
      </c>
      <c r="G22" s="869" t="s">
        <v>38</v>
      </c>
      <c r="H22" s="873" t="s">
        <v>5</v>
      </c>
      <c r="I22" s="873">
        <v>2</v>
      </c>
      <c r="J22" s="874"/>
    </row>
    <row r="23" spans="1:10" ht="30" customHeight="1">
      <c r="A23" s="872" t="s">
        <v>863</v>
      </c>
      <c r="B23" s="873" t="s">
        <v>842</v>
      </c>
      <c r="C23" s="873" t="s">
        <v>363</v>
      </c>
      <c r="D23" s="873">
        <v>1</v>
      </c>
      <c r="E23" s="874"/>
      <c r="F23" s="872" t="s">
        <v>862</v>
      </c>
      <c r="G23" s="873" t="s">
        <v>841</v>
      </c>
      <c r="H23" s="873" t="s">
        <v>834</v>
      </c>
      <c r="I23" s="873">
        <v>1</v>
      </c>
      <c r="J23" s="874"/>
    </row>
    <row r="24" spans="1:10" ht="30" customHeight="1">
      <c r="A24" s="876" t="s">
        <v>861</v>
      </c>
      <c r="B24" s="875" t="s">
        <v>860</v>
      </c>
      <c r="C24" s="873" t="s">
        <v>363</v>
      </c>
      <c r="D24" s="873">
        <v>2</v>
      </c>
      <c r="E24" s="874"/>
      <c r="F24" s="876" t="s">
        <v>859</v>
      </c>
      <c r="G24" s="875" t="s">
        <v>839</v>
      </c>
      <c r="H24" s="873" t="s">
        <v>834</v>
      </c>
      <c r="I24" s="873">
        <v>2</v>
      </c>
      <c r="J24" s="874"/>
    </row>
    <row r="25" spans="1:10" ht="30" customHeight="1">
      <c r="A25" s="877" t="s">
        <v>858</v>
      </c>
      <c r="B25" s="878" t="s">
        <v>857</v>
      </c>
      <c r="C25" s="878" t="s">
        <v>834</v>
      </c>
      <c r="D25" s="878">
        <v>4</v>
      </c>
      <c r="E25" s="879"/>
      <c r="F25" s="877" t="s">
        <v>856</v>
      </c>
      <c r="G25" s="878" t="s">
        <v>855</v>
      </c>
      <c r="H25" s="878" t="s">
        <v>834</v>
      </c>
      <c r="I25" s="878">
        <v>4</v>
      </c>
      <c r="J25" s="879"/>
    </row>
  </sheetData>
  <mergeCells count="2">
    <mergeCell ref="A1:E1"/>
    <mergeCell ref="F1:J1"/>
  </mergeCells>
  <phoneticPr fontId="13" type="noConversion"/>
  <printOptions horizontalCentered="1"/>
  <pageMargins left="0.59055118110236227" right="0.59055118110236227" top="0.78740157480314965" bottom="0.78740157480314965" header="0.31496062992125984" footer="0.31496062992125984"/>
  <pageSetup paperSize="9" scale="95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1">
    <tabColor rgb="FFFF0000"/>
  </sheetPr>
  <dimension ref="A1:E4"/>
  <sheetViews>
    <sheetView workbookViewId="0">
      <selection sqref="A1:E1"/>
    </sheetView>
  </sheetViews>
  <sheetFormatPr defaultRowHeight="13.5"/>
  <cols>
    <col min="1" max="1" width="15.88671875" style="200" customWidth="1"/>
    <col min="2" max="2" width="13.109375" style="200" customWidth="1"/>
    <col min="3" max="3" width="14" style="200" customWidth="1"/>
    <col min="4" max="4" width="15.33203125" style="200" customWidth="1"/>
    <col min="5" max="5" width="13" style="200" customWidth="1"/>
    <col min="6" max="256" width="8.88671875" style="200"/>
    <col min="257" max="257" width="15.88671875" style="200" customWidth="1"/>
    <col min="258" max="258" width="13.109375" style="200" customWidth="1"/>
    <col min="259" max="259" width="14" style="200" customWidth="1"/>
    <col min="260" max="260" width="15.33203125" style="200" customWidth="1"/>
    <col min="261" max="261" width="13" style="200" customWidth="1"/>
    <col min="262" max="512" width="8.88671875" style="200"/>
    <col min="513" max="513" width="15.88671875" style="200" customWidth="1"/>
    <col min="514" max="514" width="13.109375" style="200" customWidth="1"/>
    <col min="515" max="515" width="14" style="200" customWidth="1"/>
    <col min="516" max="516" width="15.33203125" style="200" customWidth="1"/>
    <col min="517" max="517" width="13" style="200" customWidth="1"/>
    <col min="518" max="768" width="8.88671875" style="200"/>
    <col min="769" max="769" width="15.88671875" style="200" customWidth="1"/>
    <col min="770" max="770" width="13.109375" style="200" customWidth="1"/>
    <col min="771" max="771" width="14" style="200" customWidth="1"/>
    <col min="772" max="772" width="15.33203125" style="200" customWidth="1"/>
    <col min="773" max="773" width="13" style="200" customWidth="1"/>
    <col min="774" max="1024" width="8.88671875" style="200"/>
    <col min="1025" max="1025" width="15.88671875" style="200" customWidth="1"/>
    <col min="1026" max="1026" width="13.109375" style="200" customWidth="1"/>
    <col min="1027" max="1027" width="14" style="200" customWidth="1"/>
    <col min="1028" max="1028" width="15.33203125" style="200" customWidth="1"/>
    <col min="1029" max="1029" width="13" style="200" customWidth="1"/>
    <col min="1030" max="1280" width="8.88671875" style="200"/>
    <col min="1281" max="1281" width="15.88671875" style="200" customWidth="1"/>
    <col min="1282" max="1282" width="13.109375" style="200" customWidth="1"/>
    <col min="1283" max="1283" width="14" style="200" customWidth="1"/>
    <col min="1284" max="1284" width="15.33203125" style="200" customWidth="1"/>
    <col min="1285" max="1285" width="13" style="200" customWidth="1"/>
    <col min="1286" max="1536" width="8.88671875" style="200"/>
    <col min="1537" max="1537" width="15.88671875" style="200" customWidth="1"/>
    <col min="1538" max="1538" width="13.109375" style="200" customWidth="1"/>
    <col min="1539" max="1539" width="14" style="200" customWidth="1"/>
    <col min="1540" max="1540" width="15.33203125" style="200" customWidth="1"/>
    <col min="1541" max="1541" width="13" style="200" customWidth="1"/>
    <col min="1542" max="1792" width="8.88671875" style="200"/>
    <col min="1793" max="1793" width="15.88671875" style="200" customWidth="1"/>
    <col min="1794" max="1794" width="13.109375" style="200" customWidth="1"/>
    <col min="1795" max="1795" width="14" style="200" customWidth="1"/>
    <col min="1796" max="1796" width="15.33203125" style="200" customWidth="1"/>
    <col min="1797" max="1797" width="13" style="200" customWidth="1"/>
    <col min="1798" max="2048" width="8.88671875" style="200"/>
    <col min="2049" max="2049" width="15.88671875" style="200" customWidth="1"/>
    <col min="2050" max="2050" width="13.109375" style="200" customWidth="1"/>
    <col min="2051" max="2051" width="14" style="200" customWidth="1"/>
    <col min="2052" max="2052" width="15.33203125" style="200" customWidth="1"/>
    <col min="2053" max="2053" width="13" style="200" customWidth="1"/>
    <col min="2054" max="2304" width="8.88671875" style="200"/>
    <col min="2305" max="2305" width="15.88671875" style="200" customWidth="1"/>
    <col min="2306" max="2306" width="13.109375" style="200" customWidth="1"/>
    <col min="2307" max="2307" width="14" style="200" customWidth="1"/>
    <col min="2308" max="2308" width="15.33203125" style="200" customWidth="1"/>
    <col min="2309" max="2309" width="13" style="200" customWidth="1"/>
    <col min="2310" max="2560" width="8.88671875" style="200"/>
    <col min="2561" max="2561" width="15.88671875" style="200" customWidth="1"/>
    <col min="2562" max="2562" width="13.109375" style="200" customWidth="1"/>
    <col min="2563" max="2563" width="14" style="200" customWidth="1"/>
    <col min="2564" max="2564" width="15.33203125" style="200" customWidth="1"/>
    <col min="2565" max="2565" width="13" style="200" customWidth="1"/>
    <col min="2566" max="2816" width="8.88671875" style="200"/>
    <col min="2817" max="2817" width="15.88671875" style="200" customWidth="1"/>
    <col min="2818" max="2818" width="13.109375" style="200" customWidth="1"/>
    <col min="2819" max="2819" width="14" style="200" customWidth="1"/>
    <col min="2820" max="2820" width="15.33203125" style="200" customWidth="1"/>
    <col min="2821" max="2821" width="13" style="200" customWidth="1"/>
    <col min="2822" max="3072" width="8.88671875" style="200"/>
    <col min="3073" max="3073" width="15.88671875" style="200" customWidth="1"/>
    <col min="3074" max="3074" width="13.109375" style="200" customWidth="1"/>
    <col min="3075" max="3075" width="14" style="200" customWidth="1"/>
    <col min="3076" max="3076" width="15.33203125" style="200" customWidth="1"/>
    <col min="3077" max="3077" width="13" style="200" customWidth="1"/>
    <col min="3078" max="3328" width="8.88671875" style="200"/>
    <col min="3329" max="3329" width="15.88671875" style="200" customWidth="1"/>
    <col min="3330" max="3330" width="13.109375" style="200" customWidth="1"/>
    <col min="3331" max="3331" width="14" style="200" customWidth="1"/>
    <col min="3332" max="3332" width="15.33203125" style="200" customWidth="1"/>
    <col min="3333" max="3333" width="13" style="200" customWidth="1"/>
    <col min="3334" max="3584" width="8.88671875" style="200"/>
    <col min="3585" max="3585" width="15.88671875" style="200" customWidth="1"/>
    <col min="3586" max="3586" width="13.109375" style="200" customWidth="1"/>
    <col min="3587" max="3587" width="14" style="200" customWidth="1"/>
    <col min="3588" max="3588" width="15.33203125" style="200" customWidth="1"/>
    <col min="3589" max="3589" width="13" style="200" customWidth="1"/>
    <col min="3590" max="3840" width="8.88671875" style="200"/>
    <col min="3841" max="3841" width="15.88671875" style="200" customWidth="1"/>
    <col min="3842" max="3842" width="13.109375" style="200" customWidth="1"/>
    <col min="3843" max="3843" width="14" style="200" customWidth="1"/>
    <col min="3844" max="3844" width="15.33203125" style="200" customWidth="1"/>
    <col min="3845" max="3845" width="13" style="200" customWidth="1"/>
    <col min="3846" max="4096" width="8.88671875" style="200"/>
    <col min="4097" max="4097" width="15.88671875" style="200" customWidth="1"/>
    <col min="4098" max="4098" width="13.109375" style="200" customWidth="1"/>
    <col min="4099" max="4099" width="14" style="200" customWidth="1"/>
    <col min="4100" max="4100" width="15.33203125" style="200" customWidth="1"/>
    <col min="4101" max="4101" width="13" style="200" customWidth="1"/>
    <col min="4102" max="4352" width="8.88671875" style="200"/>
    <col min="4353" max="4353" width="15.88671875" style="200" customWidth="1"/>
    <col min="4354" max="4354" width="13.109375" style="200" customWidth="1"/>
    <col min="4355" max="4355" width="14" style="200" customWidth="1"/>
    <col min="4356" max="4356" width="15.33203125" style="200" customWidth="1"/>
    <col min="4357" max="4357" width="13" style="200" customWidth="1"/>
    <col min="4358" max="4608" width="8.88671875" style="200"/>
    <col min="4609" max="4609" width="15.88671875" style="200" customWidth="1"/>
    <col min="4610" max="4610" width="13.109375" style="200" customWidth="1"/>
    <col min="4611" max="4611" width="14" style="200" customWidth="1"/>
    <col min="4612" max="4612" width="15.33203125" style="200" customWidth="1"/>
    <col min="4613" max="4613" width="13" style="200" customWidth="1"/>
    <col min="4614" max="4864" width="8.88671875" style="200"/>
    <col min="4865" max="4865" width="15.88671875" style="200" customWidth="1"/>
    <col min="4866" max="4866" width="13.109375" style="200" customWidth="1"/>
    <col min="4867" max="4867" width="14" style="200" customWidth="1"/>
    <col min="4868" max="4868" width="15.33203125" style="200" customWidth="1"/>
    <col min="4869" max="4869" width="13" style="200" customWidth="1"/>
    <col min="4870" max="5120" width="8.88671875" style="200"/>
    <col min="5121" max="5121" width="15.88671875" style="200" customWidth="1"/>
    <col min="5122" max="5122" width="13.109375" style="200" customWidth="1"/>
    <col min="5123" max="5123" width="14" style="200" customWidth="1"/>
    <col min="5124" max="5124" width="15.33203125" style="200" customWidth="1"/>
    <col min="5125" max="5125" width="13" style="200" customWidth="1"/>
    <col min="5126" max="5376" width="8.88671875" style="200"/>
    <col min="5377" max="5377" width="15.88671875" style="200" customWidth="1"/>
    <col min="5378" max="5378" width="13.109375" style="200" customWidth="1"/>
    <col min="5379" max="5379" width="14" style="200" customWidth="1"/>
    <col min="5380" max="5380" width="15.33203125" style="200" customWidth="1"/>
    <col min="5381" max="5381" width="13" style="200" customWidth="1"/>
    <col min="5382" max="5632" width="8.88671875" style="200"/>
    <col min="5633" max="5633" width="15.88671875" style="200" customWidth="1"/>
    <col min="5634" max="5634" width="13.109375" style="200" customWidth="1"/>
    <col min="5635" max="5635" width="14" style="200" customWidth="1"/>
    <col min="5636" max="5636" width="15.33203125" style="200" customWidth="1"/>
    <col min="5637" max="5637" width="13" style="200" customWidth="1"/>
    <col min="5638" max="5888" width="8.88671875" style="200"/>
    <col min="5889" max="5889" width="15.88671875" style="200" customWidth="1"/>
    <col min="5890" max="5890" width="13.109375" style="200" customWidth="1"/>
    <col min="5891" max="5891" width="14" style="200" customWidth="1"/>
    <col min="5892" max="5892" width="15.33203125" style="200" customWidth="1"/>
    <col min="5893" max="5893" width="13" style="200" customWidth="1"/>
    <col min="5894" max="6144" width="8.88671875" style="200"/>
    <col min="6145" max="6145" width="15.88671875" style="200" customWidth="1"/>
    <col min="6146" max="6146" width="13.109375" style="200" customWidth="1"/>
    <col min="6147" max="6147" width="14" style="200" customWidth="1"/>
    <col min="6148" max="6148" width="15.33203125" style="200" customWidth="1"/>
    <col min="6149" max="6149" width="13" style="200" customWidth="1"/>
    <col min="6150" max="6400" width="8.88671875" style="200"/>
    <col min="6401" max="6401" width="15.88671875" style="200" customWidth="1"/>
    <col min="6402" max="6402" width="13.109375" style="200" customWidth="1"/>
    <col min="6403" max="6403" width="14" style="200" customWidth="1"/>
    <col min="6404" max="6404" width="15.33203125" style="200" customWidth="1"/>
    <col min="6405" max="6405" width="13" style="200" customWidth="1"/>
    <col min="6406" max="6656" width="8.88671875" style="200"/>
    <col min="6657" max="6657" width="15.88671875" style="200" customWidth="1"/>
    <col min="6658" max="6658" width="13.109375" style="200" customWidth="1"/>
    <col min="6659" max="6659" width="14" style="200" customWidth="1"/>
    <col min="6660" max="6660" width="15.33203125" style="200" customWidth="1"/>
    <col min="6661" max="6661" width="13" style="200" customWidth="1"/>
    <col min="6662" max="6912" width="8.88671875" style="200"/>
    <col min="6913" max="6913" width="15.88671875" style="200" customWidth="1"/>
    <col min="6914" max="6914" width="13.109375" style="200" customWidth="1"/>
    <col min="6915" max="6915" width="14" style="200" customWidth="1"/>
    <col min="6916" max="6916" width="15.33203125" style="200" customWidth="1"/>
    <col min="6917" max="6917" width="13" style="200" customWidth="1"/>
    <col min="6918" max="7168" width="8.88671875" style="200"/>
    <col min="7169" max="7169" width="15.88671875" style="200" customWidth="1"/>
    <col min="7170" max="7170" width="13.109375" style="200" customWidth="1"/>
    <col min="7171" max="7171" width="14" style="200" customWidth="1"/>
    <col min="7172" max="7172" width="15.33203125" style="200" customWidth="1"/>
    <col min="7173" max="7173" width="13" style="200" customWidth="1"/>
    <col min="7174" max="7424" width="8.88671875" style="200"/>
    <col min="7425" max="7425" width="15.88671875" style="200" customWidth="1"/>
    <col min="7426" max="7426" width="13.109375" style="200" customWidth="1"/>
    <col min="7427" max="7427" width="14" style="200" customWidth="1"/>
    <col min="7428" max="7428" width="15.33203125" style="200" customWidth="1"/>
    <col min="7429" max="7429" width="13" style="200" customWidth="1"/>
    <col min="7430" max="7680" width="8.88671875" style="200"/>
    <col min="7681" max="7681" width="15.88671875" style="200" customWidth="1"/>
    <col min="7682" max="7682" width="13.109375" style="200" customWidth="1"/>
    <col min="7683" max="7683" width="14" style="200" customWidth="1"/>
    <col min="7684" max="7684" width="15.33203125" style="200" customWidth="1"/>
    <col min="7685" max="7685" width="13" style="200" customWidth="1"/>
    <col min="7686" max="7936" width="8.88671875" style="200"/>
    <col min="7937" max="7937" width="15.88671875" style="200" customWidth="1"/>
    <col min="7938" max="7938" width="13.109375" style="200" customWidth="1"/>
    <col min="7939" max="7939" width="14" style="200" customWidth="1"/>
    <col min="7940" max="7940" width="15.33203125" style="200" customWidth="1"/>
    <col min="7941" max="7941" width="13" style="200" customWidth="1"/>
    <col min="7942" max="8192" width="8.88671875" style="200"/>
    <col min="8193" max="8193" width="15.88671875" style="200" customWidth="1"/>
    <col min="8194" max="8194" width="13.109375" style="200" customWidth="1"/>
    <col min="8195" max="8195" width="14" style="200" customWidth="1"/>
    <col min="8196" max="8196" width="15.33203125" style="200" customWidth="1"/>
    <col min="8197" max="8197" width="13" style="200" customWidth="1"/>
    <col min="8198" max="8448" width="8.88671875" style="200"/>
    <col min="8449" max="8449" width="15.88671875" style="200" customWidth="1"/>
    <col min="8450" max="8450" width="13.109375" style="200" customWidth="1"/>
    <col min="8451" max="8451" width="14" style="200" customWidth="1"/>
    <col min="8452" max="8452" width="15.33203125" style="200" customWidth="1"/>
    <col min="8453" max="8453" width="13" style="200" customWidth="1"/>
    <col min="8454" max="8704" width="8.88671875" style="200"/>
    <col min="8705" max="8705" width="15.88671875" style="200" customWidth="1"/>
    <col min="8706" max="8706" width="13.109375" style="200" customWidth="1"/>
    <col min="8707" max="8707" width="14" style="200" customWidth="1"/>
    <col min="8708" max="8708" width="15.33203125" style="200" customWidth="1"/>
    <col min="8709" max="8709" width="13" style="200" customWidth="1"/>
    <col min="8710" max="8960" width="8.88671875" style="200"/>
    <col min="8961" max="8961" width="15.88671875" style="200" customWidth="1"/>
    <col min="8962" max="8962" width="13.109375" style="200" customWidth="1"/>
    <col min="8963" max="8963" width="14" style="200" customWidth="1"/>
    <col min="8964" max="8964" width="15.33203125" style="200" customWidth="1"/>
    <col min="8965" max="8965" width="13" style="200" customWidth="1"/>
    <col min="8966" max="9216" width="8.88671875" style="200"/>
    <col min="9217" max="9217" width="15.88671875" style="200" customWidth="1"/>
    <col min="9218" max="9218" width="13.109375" style="200" customWidth="1"/>
    <col min="9219" max="9219" width="14" style="200" customWidth="1"/>
    <col min="9220" max="9220" width="15.33203125" style="200" customWidth="1"/>
    <col min="9221" max="9221" width="13" style="200" customWidth="1"/>
    <col min="9222" max="9472" width="8.88671875" style="200"/>
    <col min="9473" max="9473" width="15.88671875" style="200" customWidth="1"/>
    <col min="9474" max="9474" width="13.109375" style="200" customWidth="1"/>
    <col min="9475" max="9475" width="14" style="200" customWidth="1"/>
    <col min="9476" max="9476" width="15.33203125" style="200" customWidth="1"/>
    <col min="9477" max="9477" width="13" style="200" customWidth="1"/>
    <col min="9478" max="9728" width="8.88671875" style="200"/>
    <col min="9729" max="9729" width="15.88671875" style="200" customWidth="1"/>
    <col min="9730" max="9730" width="13.109375" style="200" customWidth="1"/>
    <col min="9731" max="9731" width="14" style="200" customWidth="1"/>
    <col min="9732" max="9732" width="15.33203125" style="200" customWidth="1"/>
    <col min="9733" max="9733" width="13" style="200" customWidth="1"/>
    <col min="9734" max="9984" width="8.88671875" style="200"/>
    <col min="9985" max="9985" width="15.88671875" style="200" customWidth="1"/>
    <col min="9986" max="9986" width="13.109375" style="200" customWidth="1"/>
    <col min="9987" max="9987" width="14" style="200" customWidth="1"/>
    <col min="9988" max="9988" width="15.33203125" style="200" customWidth="1"/>
    <col min="9989" max="9989" width="13" style="200" customWidth="1"/>
    <col min="9990" max="10240" width="8.88671875" style="200"/>
    <col min="10241" max="10241" width="15.88671875" style="200" customWidth="1"/>
    <col min="10242" max="10242" width="13.109375" style="200" customWidth="1"/>
    <col min="10243" max="10243" width="14" style="200" customWidth="1"/>
    <col min="10244" max="10244" width="15.33203125" style="200" customWidth="1"/>
    <col min="10245" max="10245" width="13" style="200" customWidth="1"/>
    <col min="10246" max="10496" width="8.88671875" style="200"/>
    <col min="10497" max="10497" width="15.88671875" style="200" customWidth="1"/>
    <col min="10498" max="10498" width="13.109375" style="200" customWidth="1"/>
    <col min="10499" max="10499" width="14" style="200" customWidth="1"/>
    <col min="10500" max="10500" width="15.33203125" style="200" customWidth="1"/>
    <col min="10501" max="10501" width="13" style="200" customWidth="1"/>
    <col min="10502" max="10752" width="8.88671875" style="200"/>
    <col min="10753" max="10753" width="15.88671875" style="200" customWidth="1"/>
    <col min="10754" max="10754" width="13.109375" style="200" customWidth="1"/>
    <col min="10755" max="10755" width="14" style="200" customWidth="1"/>
    <col min="10756" max="10756" width="15.33203125" style="200" customWidth="1"/>
    <col min="10757" max="10757" width="13" style="200" customWidth="1"/>
    <col min="10758" max="11008" width="8.88671875" style="200"/>
    <col min="11009" max="11009" width="15.88671875" style="200" customWidth="1"/>
    <col min="11010" max="11010" width="13.109375" style="200" customWidth="1"/>
    <col min="11011" max="11011" width="14" style="200" customWidth="1"/>
    <col min="11012" max="11012" width="15.33203125" style="200" customWidth="1"/>
    <col min="11013" max="11013" width="13" style="200" customWidth="1"/>
    <col min="11014" max="11264" width="8.88671875" style="200"/>
    <col min="11265" max="11265" width="15.88671875" style="200" customWidth="1"/>
    <col min="11266" max="11266" width="13.109375" style="200" customWidth="1"/>
    <col min="11267" max="11267" width="14" style="200" customWidth="1"/>
    <col min="11268" max="11268" width="15.33203125" style="200" customWidth="1"/>
    <col min="11269" max="11269" width="13" style="200" customWidth="1"/>
    <col min="11270" max="11520" width="8.88671875" style="200"/>
    <col min="11521" max="11521" width="15.88671875" style="200" customWidth="1"/>
    <col min="11522" max="11522" width="13.109375" style="200" customWidth="1"/>
    <col min="11523" max="11523" width="14" style="200" customWidth="1"/>
    <col min="11524" max="11524" width="15.33203125" style="200" customWidth="1"/>
    <col min="11525" max="11525" width="13" style="200" customWidth="1"/>
    <col min="11526" max="11776" width="8.88671875" style="200"/>
    <col min="11777" max="11777" width="15.88671875" style="200" customWidth="1"/>
    <col min="11778" max="11778" width="13.109375" style="200" customWidth="1"/>
    <col min="11779" max="11779" width="14" style="200" customWidth="1"/>
    <col min="11780" max="11780" width="15.33203125" style="200" customWidth="1"/>
    <col min="11781" max="11781" width="13" style="200" customWidth="1"/>
    <col min="11782" max="12032" width="8.88671875" style="200"/>
    <col min="12033" max="12033" width="15.88671875" style="200" customWidth="1"/>
    <col min="12034" max="12034" width="13.109375" style="200" customWidth="1"/>
    <col min="12035" max="12035" width="14" style="200" customWidth="1"/>
    <col min="12036" max="12036" width="15.33203125" style="200" customWidth="1"/>
    <col min="12037" max="12037" width="13" style="200" customWidth="1"/>
    <col min="12038" max="12288" width="8.88671875" style="200"/>
    <col min="12289" max="12289" width="15.88671875" style="200" customWidth="1"/>
    <col min="12290" max="12290" width="13.109375" style="200" customWidth="1"/>
    <col min="12291" max="12291" width="14" style="200" customWidth="1"/>
    <col min="12292" max="12292" width="15.33203125" style="200" customWidth="1"/>
    <col min="12293" max="12293" width="13" style="200" customWidth="1"/>
    <col min="12294" max="12544" width="8.88671875" style="200"/>
    <col min="12545" max="12545" width="15.88671875" style="200" customWidth="1"/>
    <col min="12546" max="12546" width="13.109375" style="200" customWidth="1"/>
    <col min="12547" max="12547" width="14" style="200" customWidth="1"/>
    <col min="12548" max="12548" width="15.33203125" style="200" customWidth="1"/>
    <col min="12549" max="12549" width="13" style="200" customWidth="1"/>
    <col min="12550" max="12800" width="8.88671875" style="200"/>
    <col min="12801" max="12801" width="15.88671875" style="200" customWidth="1"/>
    <col min="12802" max="12802" width="13.109375" style="200" customWidth="1"/>
    <col min="12803" max="12803" width="14" style="200" customWidth="1"/>
    <col min="12804" max="12804" width="15.33203125" style="200" customWidth="1"/>
    <col min="12805" max="12805" width="13" style="200" customWidth="1"/>
    <col min="12806" max="13056" width="8.88671875" style="200"/>
    <col min="13057" max="13057" width="15.88671875" style="200" customWidth="1"/>
    <col min="13058" max="13058" width="13.109375" style="200" customWidth="1"/>
    <col min="13059" max="13059" width="14" style="200" customWidth="1"/>
    <col min="13060" max="13060" width="15.33203125" style="200" customWidth="1"/>
    <col min="13061" max="13061" width="13" style="200" customWidth="1"/>
    <col min="13062" max="13312" width="8.88671875" style="200"/>
    <col min="13313" max="13313" width="15.88671875" style="200" customWidth="1"/>
    <col min="13314" max="13314" width="13.109375" style="200" customWidth="1"/>
    <col min="13315" max="13315" width="14" style="200" customWidth="1"/>
    <col min="13316" max="13316" width="15.33203125" style="200" customWidth="1"/>
    <col min="13317" max="13317" width="13" style="200" customWidth="1"/>
    <col min="13318" max="13568" width="8.88671875" style="200"/>
    <col min="13569" max="13569" width="15.88671875" style="200" customWidth="1"/>
    <col min="13570" max="13570" width="13.109375" style="200" customWidth="1"/>
    <col min="13571" max="13571" width="14" style="200" customWidth="1"/>
    <col min="13572" max="13572" width="15.33203125" style="200" customWidth="1"/>
    <col min="13573" max="13573" width="13" style="200" customWidth="1"/>
    <col min="13574" max="13824" width="8.88671875" style="200"/>
    <col min="13825" max="13825" width="15.88671875" style="200" customWidth="1"/>
    <col min="13826" max="13826" width="13.109375" style="200" customWidth="1"/>
    <col min="13827" max="13827" width="14" style="200" customWidth="1"/>
    <col min="13828" max="13828" width="15.33203125" style="200" customWidth="1"/>
    <col min="13829" max="13829" width="13" style="200" customWidth="1"/>
    <col min="13830" max="14080" width="8.88671875" style="200"/>
    <col min="14081" max="14081" width="15.88671875" style="200" customWidth="1"/>
    <col min="14082" max="14082" width="13.109375" style="200" customWidth="1"/>
    <col min="14083" max="14083" width="14" style="200" customWidth="1"/>
    <col min="14084" max="14084" width="15.33203125" style="200" customWidth="1"/>
    <col min="14085" max="14085" width="13" style="200" customWidth="1"/>
    <col min="14086" max="14336" width="8.88671875" style="200"/>
    <col min="14337" max="14337" width="15.88671875" style="200" customWidth="1"/>
    <col min="14338" max="14338" width="13.109375" style="200" customWidth="1"/>
    <col min="14339" max="14339" width="14" style="200" customWidth="1"/>
    <col min="14340" max="14340" width="15.33203125" style="200" customWidth="1"/>
    <col min="14341" max="14341" width="13" style="200" customWidth="1"/>
    <col min="14342" max="14592" width="8.88671875" style="200"/>
    <col min="14593" max="14593" width="15.88671875" style="200" customWidth="1"/>
    <col min="14594" max="14594" width="13.109375" style="200" customWidth="1"/>
    <col min="14595" max="14595" width="14" style="200" customWidth="1"/>
    <col min="14596" max="14596" width="15.33203125" style="200" customWidth="1"/>
    <col min="14597" max="14597" width="13" style="200" customWidth="1"/>
    <col min="14598" max="14848" width="8.88671875" style="200"/>
    <col min="14849" max="14849" width="15.88671875" style="200" customWidth="1"/>
    <col min="14850" max="14850" width="13.109375" style="200" customWidth="1"/>
    <col min="14851" max="14851" width="14" style="200" customWidth="1"/>
    <col min="14852" max="14852" width="15.33203125" style="200" customWidth="1"/>
    <col min="14853" max="14853" width="13" style="200" customWidth="1"/>
    <col min="14854" max="15104" width="8.88671875" style="200"/>
    <col min="15105" max="15105" width="15.88671875" style="200" customWidth="1"/>
    <col min="15106" max="15106" width="13.109375" style="200" customWidth="1"/>
    <col min="15107" max="15107" width="14" style="200" customWidth="1"/>
    <col min="15108" max="15108" width="15.33203125" style="200" customWidth="1"/>
    <col min="15109" max="15109" width="13" style="200" customWidth="1"/>
    <col min="15110" max="15360" width="8.88671875" style="200"/>
    <col min="15361" max="15361" width="15.88671875" style="200" customWidth="1"/>
    <col min="15362" max="15362" width="13.109375" style="200" customWidth="1"/>
    <col min="15363" max="15363" width="14" style="200" customWidth="1"/>
    <col min="15364" max="15364" width="15.33203125" style="200" customWidth="1"/>
    <col min="15365" max="15365" width="13" style="200" customWidth="1"/>
    <col min="15366" max="15616" width="8.88671875" style="200"/>
    <col min="15617" max="15617" width="15.88671875" style="200" customWidth="1"/>
    <col min="15618" max="15618" width="13.109375" style="200" customWidth="1"/>
    <col min="15619" max="15619" width="14" style="200" customWidth="1"/>
    <col min="15620" max="15620" width="15.33203125" style="200" customWidth="1"/>
    <col min="15621" max="15621" width="13" style="200" customWidth="1"/>
    <col min="15622" max="15872" width="8.88671875" style="200"/>
    <col min="15873" max="15873" width="15.88671875" style="200" customWidth="1"/>
    <col min="15874" max="15874" width="13.109375" style="200" customWidth="1"/>
    <col min="15875" max="15875" width="14" style="200" customWidth="1"/>
    <col min="15876" max="15876" width="15.33203125" style="200" customWidth="1"/>
    <col min="15877" max="15877" width="13" style="200" customWidth="1"/>
    <col min="15878" max="16128" width="8.88671875" style="200"/>
    <col min="16129" max="16129" width="15.88671875" style="200" customWidth="1"/>
    <col min="16130" max="16130" width="13.109375" style="200" customWidth="1"/>
    <col min="16131" max="16131" width="14" style="200" customWidth="1"/>
    <col min="16132" max="16132" width="15.33203125" style="200" customWidth="1"/>
    <col min="16133" max="16133" width="13" style="200" customWidth="1"/>
    <col min="16134" max="16384" width="8.88671875" style="200"/>
  </cols>
  <sheetData>
    <row r="1" spans="1:5" ht="39.950000000000003" customHeight="1">
      <c r="A1" s="1976" t="s">
        <v>476</v>
      </c>
      <c r="B1" s="1976"/>
      <c r="C1" s="1976"/>
      <c r="D1" s="1976"/>
      <c r="E1" s="1976"/>
    </row>
    <row r="2" spans="1:5" ht="20.100000000000001" customHeight="1">
      <c r="A2" s="1977" t="s">
        <v>470</v>
      </c>
      <c r="B2" s="201" t="s">
        <v>477</v>
      </c>
      <c r="C2" s="201" t="s">
        <v>51</v>
      </c>
      <c r="D2" s="201" t="s">
        <v>0</v>
      </c>
      <c r="E2" s="1979" t="s">
        <v>448</v>
      </c>
    </row>
    <row r="3" spans="1:5" ht="20.100000000000001" customHeight="1">
      <c r="A3" s="1978"/>
      <c r="B3" s="202" t="s">
        <v>46</v>
      </c>
      <c r="C3" s="202" t="s">
        <v>15</v>
      </c>
      <c r="D3" s="202" t="s">
        <v>15</v>
      </c>
      <c r="E3" s="1980"/>
    </row>
    <row r="4" spans="1:5" ht="39" customHeight="1">
      <c r="A4" s="203" t="s">
        <v>478</v>
      </c>
      <c r="B4" s="204">
        <f>'유입부 하부잡석포설산출조서'!C26</f>
        <v>23</v>
      </c>
      <c r="C4" s="205">
        <f>'유입부 하부잡석포설단위수량'!AE17</f>
        <v>0.11018840860688738</v>
      </c>
      <c r="D4" s="206">
        <f>B4*C4</f>
        <v>2.5343333979584095</v>
      </c>
      <c r="E4" s="207"/>
    </row>
  </sheetData>
  <mergeCells count="3">
    <mergeCell ref="A1:E1"/>
    <mergeCell ref="A2:A3"/>
    <mergeCell ref="E2:E3"/>
  </mergeCells>
  <phoneticPr fontId="13" type="noConversion"/>
  <printOptions horizontalCentered="1"/>
  <pageMargins left="0.70866141732283472" right="0.70866141732283472" top="0.62992125984251968" bottom="0.74803149606299213" header="0.51181102362204722" footer="0.31496062992125984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>
    <tabColor indexed="17"/>
  </sheetPr>
  <dimension ref="A1:AN436"/>
  <sheetViews>
    <sheetView workbookViewId="0">
      <selection sqref="A1:AI1"/>
    </sheetView>
  </sheetViews>
  <sheetFormatPr defaultRowHeight="21.75" customHeight="1"/>
  <cols>
    <col min="1" max="1" width="4" style="232" customWidth="1"/>
    <col min="2" max="2" width="7.109375" style="232" customWidth="1"/>
    <col min="3" max="3" width="7.77734375" style="232" customWidth="1"/>
    <col min="4" max="4" width="3.77734375" style="232" customWidth="1"/>
    <col min="5" max="5" width="5.44140625" style="232" customWidth="1"/>
    <col min="6" max="6" width="3.77734375" style="232" customWidth="1"/>
    <col min="7" max="7" width="5.33203125" style="232" customWidth="1"/>
    <col min="8" max="9" width="3.77734375" style="232" customWidth="1"/>
    <col min="10" max="10" width="6.5546875" style="232" bestFit="1" customWidth="1"/>
    <col min="11" max="11" width="3.77734375" style="232" customWidth="1"/>
    <col min="12" max="12" width="5.77734375" style="232" customWidth="1"/>
    <col min="13" max="16" width="3.77734375" style="232" customWidth="1"/>
    <col min="17" max="17" width="5.77734375" style="232" bestFit="1" customWidth="1"/>
    <col min="18" max="21" width="3.77734375" style="232" customWidth="1"/>
    <col min="22" max="22" width="4.88671875" style="232" bestFit="1" customWidth="1"/>
    <col min="23" max="30" width="3.77734375" style="232" customWidth="1"/>
    <col min="31" max="31" width="7.77734375" style="232" customWidth="1"/>
    <col min="32" max="32" width="4.88671875" style="232" customWidth="1"/>
    <col min="33" max="33" width="3" style="232" customWidth="1"/>
    <col min="34" max="34" width="5.77734375" style="232" customWidth="1"/>
    <col min="35" max="35" width="4.109375" style="232" customWidth="1"/>
    <col min="36" max="37" width="8.88671875" style="232"/>
    <col min="38" max="38" width="9.109375" style="232" bestFit="1" customWidth="1"/>
    <col min="39" max="256" width="8.88671875" style="232"/>
    <col min="257" max="257" width="4" style="232" customWidth="1"/>
    <col min="258" max="258" width="7.109375" style="232" customWidth="1"/>
    <col min="259" max="259" width="7.77734375" style="232" customWidth="1"/>
    <col min="260" max="260" width="3.77734375" style="232" customWidth="1"/>
    <col min="261" max="261" width="5.44140625" style="232" customWidth="1"/>
    <col min="262" max="262" width="3.77734375" style="232" customWidth="1"/>
    <col min="263" max="263" width="5.33203125" style="232" customWidth="1"/>
    <col min="264" max="265" width="3.77734375" style="232" customWidth="1"/>
    <col min="266" max="266" width="6.5546875" style="232" bestFit="1" customWidth="1"/>
    <col min="267" max="267" width="3.77734375" style="232" customWidth="1"/>
    <col min="268" max="268" width="5.77734375" style="232" customWidth="1"/>
    <col min="269" max="272" width="3.77734375" style="232" customWidth="1"/>
    <col min="273" max="273" width="5.77734375" style="232" bestFit="1" customWidth="1"/>
    <col min="274" max="277" width="3.77734375" style="232" customWidth="1"/>
    <col min="278" max="278" width="4.88671875" style="232" bestFit="1" customWidth="1"/>
    <col min="279" max="286" width="3.77734375" style="232" customWidth="1"/>
    <col min="287" max="287" width="7.77734375" style="232" customWidth="1"/>
    <col min="288" max="288" width="4.88671875" style="232" customWidth="1"/>
    <col min="289" max="289" width="3" style="232" customWidth="1"/>
    <col min="290" max="290" width="5.77734375" style="232" customWidth="1"/>
    <col min="291" max="291" width="4.109375" style="232" customWidth="1"/>
    <col min="292" max="293" width="8.88671875" style="232"/>
    <col min="294" max="294" width="9.109375" style="232" bestFit="1" customWidth="1"/>
    <col min="295" max="512" width="8.88671875" style="232"/>
    <col min="513" max="513" width="4" style="232" customWidth="1"/>
    <col min="514" max="514" width="7.109375" style="232" customWidth="1"/>
    <col min="515" max="515" width="7.77734375" style="232" customWidth="1"/>
    <col min="516" max="516" width="3.77734375" style="232" customWidth="1"/>
    <col min="517" max="517" width="5.44140625" style="232" customWidth="1"/>
    <col min="518" max="518" width="3.77734375" style="232" customWidth="1"/>
    <col min="519" max="519" width="5.33203125" style="232" customWidth="1"/>
    <col min="520" max="521" width="3.77734375" style="232" customWidth="1"/>
    <col min="522" max="522" width="6.5546875" style="232" bestFit="1" customWidth="1"/>
    <col min="523" max="523" width="3.77734375" style="232" customWidth="1"/>
    <col min="524" max="524" width="5.77734375" style="232" customWidth="1"/>
    <col min="525" max="528" width="3.77734375" style="232" customWidth="1"/>
    <col min="529" max="529" width="5.77734375" style="232" bestFit="1" customWidth="1"/>
    <col min="530" max="533" width="3.77734375" style="232" customWidth="1"/>
    <col min="534" max="534" width="4.88671875" style="232" bestFit="1" customWidth="1"/>
    <col min="535" max="542" width="3.77734375" style="232" customWidth="1"/>
    <col min="543" max="543" width="7.77734375" style="232" customWidth="1"/>
    <col min="544" max="544" width="4.88671875" style="232" customWidth="1"/>
    <col min="545" max="545" width="3" style="232" customWidth="1"/>
    <col min="546" max="546" width="5.77734375" style="232" customWidth="1"/>
    <col min="547" max="547" width="4.109375" style="232" customWidth="1"/>
    <col min="548" max="549" width="8.88671875" style="232"/>
    <col min="550" max="550" width="9.109375" style="232" bestFit="1" customWidth="1"/>
    <col min="551" max="768" width="8.88671875" style="232"/>
    <col min="769" max="769" width="4" style="232" customWidth="1"/>
    <col min="770" max="770" width="7.109375" style="232" customWidth="1"/>
    <col min="771" max="771" width="7.77734375" style="232" customWidth="1"/>
    <col min="772" max="772" width="3.77734375" style="232" customWidth="1"/>
    <col min="773" max="773" width="5.44140625" style="232" customWidth="1"/>
    <col min="774" max="774" width="3.77734375" style="232" customWidth="1"/>
    <col min="775" max="775" width="5.33203125" style="232" customWidth="1"/>
    <col min="776" max="777" width="3.77734375" style="232" customWidth="1"/>
    <col min="778" max="778" width="6.5546875" style="232" bestFit="1" customWidth="1"/>
    <col min="779" max="779" width="3.77734375" style="232" customWidth="1"/>
    <col min="780" max="780" width="5.77734375" style="232" customWidth="1"/>
    <col min="781" max="784" width="3.77734375" style="232" customWidth="1"/>
    <col min="785" max="785" width="5.77734375" style="232" bestFit="1" customWidth="1"/>
    <col min="786" max="789" width="3.77734375" style="232" customWidth="1"/>
    <col min="790" max="790" width="4.88671875" style="232" bestFit="1" customWidth="1"/>
    <col min="791" max="798" width="3.77734375" style="232" customWidth="1"/>
    <col min="799" max="799" width="7.77734375" style="232" customWidth="1"/>
    <col min="800" max="800" width="4.88671875" style="232" customWidth="1"/>
    <col min="801" max="801" width="3" style="232" customWidth="1"/>
    <col min="802" max="802" width="5.77734375" style="232" customWidth="1"/>
    <col min="803" max="803" width="4.109375" style="232" customWidth="1"/>
    <col min="804" max="805" width="8.88671875" style="232"/>
    <col min="806" max="806" width="9.109375" style="232" bestFit="1" customWidth="1"/>
    <col min="807" max="1024" width="8.88671875" style="232"/>
    <col min="1025" max="1025" width="4" style="232" customWidth="1"/>
    <col min="1026" max="1026" width="7.109375" style="232" customWidth="1"/>
    <col min="1027" max="1027" width="7.77734375" style="232" customWidth="1"/>
    <col min="1028" max="1028" width="3.77734375" style="232" customWidth="1"/>
    <col min="1029" max="1029" width="5.44140625" style="232" customWidth="1"/>
    <col min="1030" max="1030" width="3.77734375" style="232" customWidth="1"/>
    <col min="1031" max="1031" width="5.33203125" style="232" customWidth="1"/>
    <col min="1032" max="1033" width="3.77734375" style="232" customWidth="1"/>
    <col min="1034" max="1034" width="6.5546875" style="232" bestFit="1" customWidth="1"/>
    <col min="1035" max="1035" width="3.77734375" style="232" customWidth="1"/>
    <col min="1036" max="1036" width="5.77734375" style="232" customWidth="1"/>
    <col min="1037" max="1040" width="3.77734375" style="232" customWidth="1"/>
    <col min="1041" max="1041" width="5.77734375" style="232" bestFit="1" customWidth="1"/>
    <col min="1042" max="1045" width="3.77734375" style="232" customWidth="1"/>
    <col min="1046" max="1046" width="4.88671875" style="232" bestFit="1" customWidth="1"/>
    <col min="1047" max="1054" width="3.77734375" style="232" customWidth="1"/>
    <col min="1055" max="1055" width="7.77734375" style="232" customWidth="1"/>
    <col min="1056" max="1056" width="4.88671875" style="232" customWidth="1"/>
    <col min="1057" max="1057" width="3" style="232" customWidth="1"/>
    <col min="1058" max="1058" width="5.77734375" style="232" customWidth="1"/>
    <col min="1059" max="1059" width="4.109375" style="232" customWidth="1"/>
    <col min="1060" max="1061" width="8.88671875" style="232"/>
    <col min="1062" max="1062" width="9.109375" style="232" bestFit="1" customWidth="1"/>
    <col min="1063" max="1280" width="8.88671875" style="232"/>
    <col min="1281" max="1281" width="4" style="232" customWidth="1"/>
    <col min="1282" max="1282" width="7.109375" style="232" customWidth="1"/>
    <col min="1283" max="1283" width="7.77734375" style="232" customWidth="1"/>
    <col min="1284" max="1284" width="3.77734375" style="232" customWidth="1"/>
    <col min="1285" max="1285" width="5.44140625" style="232" customWidth="1"/>
    <col min="1286" max="1286" width="3.77734375" style="232" customWidth="1"/>
    <col min="1287" max="1287" width="5.33203125" style="232" customWidth="1"/>
    <col min="1288" max="1289" width="3.77734375" style="232" customWidth="1"/>
    <col min="1290" max="1290" width="6.5546875" style="232" bestFit="1" customWidth="1"/>
    <col min="1291" max="1291" width="3.77734375" style="232" customWidth="1"/>
    <col min="1292" max="1292" width="5.77734375" style="232" customWidth="1"/>
    <col min="1293" max="1296" width="3.77734375" style="232" customWidth="1"/>
    <col min="1297" max="1297" width="5.77734375" style="232" bestFit="1" customWidth="1"/>
    <col min="1298" max="1301" width="3.77734375" style="232" customWidth="1"/>
    <col min="1302" max="1302" width="4.88671875" style="232" bestFit="1" customWidth="1"/>
    <col min="1303" max="1310" width="3.77734375" style="232" customWidth="1"/>
    <col min="1311" max="1311" width="7.77734375" style="232" customWidth="1"/>
    <col min="1312" max="1312" width="4.88671875" style="232" customWidth="1"/>
    <col min="1313" max="1313" width="3" style="232" customWidth="1"/>
    <col min="1314" max="1314" width="5.77734375" style="232" customWidth="1"/>
    <col min="1315" max="1315" width="4.109375" style="232" customWidth="1"/>
    <col min="1316" max="1317" width="8.88671875" style="232"/>
    <col min="1318" max="1318" width="9.109375" style="232" bestFit="1" customWidth="1"/>
    <col min="1319" max="1536" width="8.88671875" style="232"/>
    <col min="1537" max="1537" width="4" style="232" customWidth="1"/>
    <col min="1538" max="1538" width="7.109375" style="232" customWidth="1"/>
    <col min="1539" max="1539" width="7.77734375" style="232" customWidth="1"/>
    <col min="1540" max="1540" width="3.77734375" style="232" customWidth="1"/>
    <col min="1541" max="1541" width="5.44140625" style="232" customWidth="1"/>
    <col min="1542" max="1542" width="3.77734375" style="232" customWidth="1"/>
    <col min="1543" max="1543" width="5.33203125" style="232" customWidth="1"/>
    <col min="1544" max="1545" width="3.77734375" style="232" customWidth="1"/>
    <col min="1546" max="1546" width="6.5546875" style="232" bestFit="1" customWidth="1"/>
    <col min="1547" max="1547" width="3.77734375" style="232" customWidth="1"/>
    <col min="1548" max="1548" width="5.77734375" style="232" customWidth="1"/>
    <col min="1549" max="1552" width="3.77734375" style="232" customWidth="1"/>
    <col min="1553" max="1553" width="5.77734375" style="232" bestFit="1" customWidth="1"/>
    <col min="1554" max="1557" width="3.77734375" style="232" customWidth="1"/>
    <col min="1558" max="1558" width="4.88671875" style="232" bestFit="1" customWidth="1"/>
    <col min="1559" max="1566" width="3.77734375" style="232" customWidth="1"/>
    <col min="1567" max="1567" width="7.77734375" style="232" customWidth="1"/>
    <col min="1568" max="1568" width="4.88671875" style="232" customWidth="1"/>
    <col min="1569" max="1569" width="3" style="232" customWidth="1"/>
    <col min="1570" max="1570" width="5.77734375" style="232" customWidth="1"/>
    <col min="1571" max="1571" width="4.109375" style="232" customWidth="1"/>
    <col min="1572" max="1573" width="8.88671875" style="232"/>
    <col min="1574" max="1574" width="9.109375" style="232" bestFit="1" customWidth="1"/>
    <col min="1575" max="1792" width="8.88671875" style="232"/>
    <col min="1793" max="1793" width="4" style="232" customWidth="1"/>
    <col min="1794" max="1794" width="7.109375" style="232" customWidth="1"/>
    <col min="1795" max="1795" width="7.77734375" style="232" customWidth="1"/>
    <col min="1796" max="1796" width="3.77734375" style="232" customWidth="1"/>
    <col min="1797" max="1797" width="5.44140625" style="232" customWidth="1"/>
    <col min="1798" max="1798" width="3.77734375" style="232" customWidth="1"/>
    <col min="1799" max="1799" width="5.33203125" style="232" customWidth="1"/>
    <col min="1800" max="1801" width="3.77734375" style="232" customWidth="1"/>
    <col min="1802" max="1802" width="6.5546875" style="232" bestFit="1" customWidth="1"/>
    <col min="1803" max="1803" width="3.77734375" style="232" customWidth="1"/>
    <col min="1804" max="1804" width="5.77734375" style="232" customWidth="1"/>
    <col min="1805" max="1808" width="3.77734375" style="232" customWidth="1"/>
    <col min="1809" max="1809" width="5.77734375" style="232" bestFit="1" customWidth="1"/>
    <col min="1810" max="1813" width="3.77734375" style="232" customWidth="1"/>
    <col min="1814" max="1814" width="4.88671875" style="232" bestFit="1" customWidth="1"/>
    <col min="1815" max="1822" width="3.77734375" style="232" customWidth="1"/>
    <col min="1823" max="1823" width="7.77734375" style="232" customWidth="1"/>
    <col min="1824" max="1824" width="4.88671875" style="232" customWidth="1"/>
    <col min="1825" max="1825" width="3" style="232" customWidth="1"/>
    <col min="1826" max="1826" width="5.77734375" style="232" customWidth="1"/>
    <col min="1827" max="1827" width="4.109375" style="232" customWidth="1"/>
    <col min="1828" max="1829" width="8.88671875" style="232"/>
    <col min="1830" max="1830" width="9.109375" style="232" bestFit="1" customWidth="1"/>
    <col min="1831" max="2048" width="8.88671875" style="232"/>
    <col min="2049" max="2049" width="4" style="232" customWidth="1"/>
    <col min="2050" max="2050" width="7.109375" style="232" customWidth="1"/>
    <col min="2051" max="2051" width="7.77734375" style="232" customWidth="1"/>
    <col min="2052" max="2052" width="3.77734375" style="232" customWidth="1"/>
    <col min="2053" max="2053" width="5.44140625" style="232" customWidth="1"/>
    <col min="2054" max="2054" width="3.77734375" style="232" customWidth="1"/>
    <col min="2055" max="2055" width="5.33203125" style="232" customWidth="1"/>
    <col min="2056" max="2057" width="3.77734375" style="232" customWidth="1"/>
    <col min="2058" max="2058" width="6.5546875" style="232" bestFit="1" customWidth="1"/>
    <col min="2059" max="2059" width="3.77734375" style="232" customWidth="1"/>
    <col min="2060" max="2060" width="5.77734375" style="232" customWidth="1"/>
    <col min="2061" max="2064" width="3.77734375" style="232" customWidth="1"/>
    <col min="2065" max="2065" width="5.77734375" style="232" bestFit="1" customWidth="1"/>
    <col min="2066" max="2069" width="3.77734375" style="232" customWidth="1"/>
    <col min="2070" max="2070" width="4.88671875" style="232" bestFit="1" customWidth="1"/>
    <col min="2071" max="2078" width="3.77734375" style="232" customWidth="1"/>
    <col min="2079" max="2079" width="7.77734375" style="232" customWidth="1"/>
    <col min="2080" max="2080" width="4.88671875" style="232" customWidth="1"/>
    <col min="2081" max="2081" width="3" style="232" customWidth="1"/>
    <col min="2082" max="2082" width="5.77734375" style="232" customWidth="1"/>
    <col min="2083" max="2083" width="4.109375" style="232" customWidth="1"/>
    <col min="2084" max="2085" width="8.88671875" style="232"/>
    <col min="2086" max="2086" width="9.109375" style="232" bestFit="1" customWidth="1"/>
    <col min="2087" max="2304" width="8.88671875" style="232"/>
    <col min="2305" max="2305" width="4" style="232" customWidth="1"/>
    <col min="2306" max="2306" width="7.109375" style="232" customWidth="1"/>
    <col min="2307" max="2307" width="7.77734375" style="232" customWidth="1"/>
    <col min="2308" max="2308" width="3.77734375" style="232" customWidth="1"/>
    <col min="2309" max="2309" width="5.44140625" style="232" customWidth="1"/>
    <col min="2310" max="2310" width="3.77734375" style="232" customWidth="1"/>
    <col min="2311" max="2311" width="5.33203125" style="232" customWidth="1"/>
    <col min="2312" max="2313" width="3.77734375" style="232" customWidth="1"/>
    <col min="2314" max="2314" width="6.5546875" style="232" bestFit="1" customWidth="1"/>
    <col min="2315" max="2315" width="3.77734375" style="232" customWidth="1"/>
    <col min="2316" max="2316" width="5.77734375" style="232" customWidth="1"/>
    <col min="2317" max="2320" width="3.77734375" style="232" customWidth="1"/>
    <col min="2321" max="2321" width="5.77734375" style="232" bestFit="1" customWidth="1"/>
    <col min="2322" max="2325" width="3.77734375" style="232" customWidth="1"/>
    <col min="2326" max="2326" width="4.88671875" style="232" bestFit="1" customWidth="1"/>
    <col min="2327" max="2334" width="3.77734375" style="232" customWidth="1"/>
    <col min="2335" max="2335" width="7.77734375" style="232" customWidth="1"/>
    <col min="2336" max="2336" width="4.88671875" style="232" customWidth="1"/>
    <col min="2337" max="2337" width="3" style="232" customWidth="1"/>
    <col min="2338" max="2338" width="5.77734375" style="232" customWidth="1"/>
    <col min="2339" max="2339" width="4.109375" style="232" customWidth="1"/>
    <col min="2340" max="2341" width="8.88671875" style="232"/>
    <col min="2342" max="2342" width="9.109375" style="232" bestFit="1" customWidth="1"/>
    <col min="2343" max="2560" width="8.88671875" style="232"/>
    <col min="2561" max="2561" width="4" style="232" customWidth="1"/>
    <col min="2562" max="2562" width="7.109375" style="232" customWidth="1"/>
    <col min="2563" max="2563" width="7.77734375" style="232" customWidth="1"/>
    <col min="2564" max="2564" width="3.77734375" style="232" customWidth="1"/>
    <col min="2565" max="2565" width="5.44140625" style="232" customWidth="1"/>
    <col min="2566" max="2566" width="3.77734375" style="232" customWidth="1"/>
    <col min="2567" max="2567" width="5.33203125" style="232" customWidth="1"/>
    <col min="2568" max="2569" width="3.77734375" style="232" customWidth="1"/>
    <col min="2570" max="2570" width="6.5546875" style="232" bestFit="1" customWidth="1"/>
    <col min="2571" max="2571" width="3.77734375" style="232" customWidth="1"/>
    <col min="2572" max="2572" width="5.77734375" style="232" customWidth="1"/>
    <col min="2573" max="2576" width="3.77734375" style="232" customWidth="1"/>
    <col min="2577" max="2577" width="5.77734375" style="232" bestFit="1" customWidth="1"/>
    <col min="2578" max="2581" width="3.77734375" style="232" customWidth="1"/>
    <col min="2582" max="2582" width="4.88671875" style="232" bestFit="1" customWidth="1"/>
    <col min="2583" max="2590" width="3.77734375" style="232" customWidth="1"/>
    <col min="2591" max="2591" width="7.77734375" style="232" customWidth="1"/>
    <col min="2592" max="2592" width="4.88671875" style="232" customWidth="1"/>
    <col min="2593" max="2593" width="3" style="232" customWidth="1"/>
    <col min="2594" max="2594" width="5.77734375" style="232" customWidth="1"/>
    <col min="2595" max="2595" width="4.109375" style="232" customWidth="1"/>
    <col min="2596" max="2597" width="8.88671875" style="232"/>
    <col min="2598" max="2598" width="9.109375" style="232" bestFit="1" customWidth="1"/>
    <col min="2599" max="2816" width="8.88671875" style="232"/>
    <col min="2817" max="2817" width="4" style="232" customWidth="1"/>
    <col min="2818" max="2818" width="7.109375" style="232" customWidth="1"/>
    <col min="2819" max="2819" width="7.77734375" style="232" customWidth="1"/>
    <col min="2820" max="2820" width="3.77734375" style="232" customWidth="1"/>
    <col min="2821" max="2821" width="5.44140625" style="232" customWidth="1"/>
    <col min="2822" max="2822" width="3.77734375" style="232" customWidth="1"/>
    <col min="2823" max="2823" width="5.33203125" style="232" customWidth="1"/>
    <col min="2824" max="2825" width="3.77734375" style="232" customWidth="1"/>
    <col min="2826" max="2826" width="6.5546875" style="232" bestFit="1" customWidth="1"/>
    <col min="2827" max="2827" width="3.77734375" style="232" customWidth="1"/>
    <col min="2828" max="2828" width="5.77734375" style="232" customWidth="1"/>
    <col min="2829" max="2832" width="3.77734375" style="232" customWidth="1"/>
    <col min="2833" max="2833" width="5.77734375" style="232" bestFit="1" customWidth="1"/>
    <col min="2834" max="2837" width="3.77734375" style="232" customWidth="1"/>
    <col min="2838" max="2838" width="4.88671875" style="232" bestFit="1" customWidth="1"/>
    <col min="2839" max="2846" width="3.77734375" style="232" customWidth="1"/>
    <col min="2847" max="2847" width="7.77734375" style="232" customWidth="1"/>
    <col min="2848" max="2848" width="4.88671875" style="232" customWidth="1"/>
    <col min="2849" max="2849" width="3" style="232" customWidth="1"/>
    <col min="2850" max="2850" width="5.77734375" style="232" customWidth="1"/>
    <col min="2851" max="2851" width="4.109375" style="232" customWidth="1"/>
    <col min="2852" max="2853" width="8.88671875" style="232"/>
    <col min="2854" max="2854" width="9.109375" style="232" bestFit="1" customWidth="1"/>
    <col min="2855" max="3072" width="8.88671875" style="232"/>
    <col min="3073" max="3073" width="4" style="232" customWidth="1"/>
    <col min="3074" max="3074" width="7.109375" style="232" customWidth="1"/>
    <col min="3075" max="3075" width="7.77734375" style="232" customWidth="1"/>
    <col min="3076" max="3076" width="3.77734375" style="232" customWidth="1"/>
    <col min="3077" max="3077" width="5.44140625" style="232" customWidth="1"/>
    <col min="3078" max="3078" width="3.77734375" style="232" customWidth="1"/>
    <col min="3079" max="3079" width="5.33203125" style="232" customWidth="1"/>
    <col min="3080" max="3081" width="3.77734375" style="232" customWidth="1"/>
    <col min="3082" max="3082" width="6.5546875" style="232" bestFit="1" customWidth="1"/>
    <col min="3083" max="3083" width="3.77734375" style="232" customWidth="1"/>
    <col min="3084" max="3084" width="5.77734375" style="232" customWidth="1"/>
    <col min="3085" max="3088" width="3.77734375" style="232" customWidth="1"/>
    <col min="3089" max="3089" width="5.77734375" style="232" bestFit="1" customWidth="1"/>
    <col min="3090" max="3093" width="3.77734375" style="232" customWidth="1"/>
    <col min="3094" max="3094" width="4.88671875" style="232" bestFit="1" customWidth="1"/>
    <col min="3095" max="3102" width="3.77734375" style="232" customWidth="1"/>
    <col min="3103" max="3103" width="7.77734375" style="232" customWidth="1"/>
    <col min="3104" max="3104" width="4.88671875" style="232" customWidth="1"/>
    <col min="3105" max="3105" width="3" style="232" customWidth="1"/>
    <col min="3106" max="3106" width="5.77734375" style="232" customWidth="1"/>
    <col min="3107" max="3107" width="4.109375" style="232" customWidth="1"/>
    <col min="3108" max="3109" width="8.88671875" style="232"/>
    <col min="3110" max="3110" width="9.109375" style="232" bestFit="1" customWidth="1"/>
    <col min="3111" max="3328" width="8.88671875" style="232"/>
    <col min="3329" max="3329" width="4" style="232" customWidth="1"/>
    <col min="3330" max="3330" width="7.109375" style="232" customWidth="1"/>
    <col min="3331" max="3331" width="7.77734375" style="232" customWidth="1"/>
    <col min="3332" max="3332" width="3.77734375" style="232" customWidth="1"/>
    <col min="3333" max="3333" width="5.44140625" style="232" customWidth="1"/>
    <col min="3334" max="3334" width="3.77734375" style="232" customWidth="1"/>
    <col min="3335" max="3335" width="5.33203125" style="232" customWidth="1"/>
    <col min="3336" max="3337" width="3.77734375" style="232" customWidth="1"/>
    <col min="3338" max="3338" width="6.5546875" style="232" bestFit="1" customWidth="1"/>
    <col min="3339" max="3339" width="3.77734375" style="232" customWidth="1"/>
    <col min="3340" max="3340" width="5.77734375" style="232" customWidth="1"/>
    <col min="3341" max="3344" width="3.77734375" style="232" customWidth="1"/>
    <col min="3345" max="3345" width="5.77734375" style="232" bestFit="1" customWidth="1"/>
    <col min="3346" max="3349" width="3.77734375" style="232" customWidth="1"/>
    <col min="3350" max="3350" width="4.88671875" style="232" bestFit="1" customWidth="1"/>
    <col min="3351" max="3358" width="3.77734375" style="232" customWidth="1"/>
    <col min="3359" max="3359" width="7.77734375" style="232" customWidth="1"/>
    <col min="3360" max="3360" width="4.88671875" style="232" customWidth="1"/>
    <col min="3361" max="3361" width="3" style="232" customWidth="1"/>
    <col min="3362" max="3362" width="5.77734375" style="232" customWidth="1"/>
    <col min="3363" max="3363" width="4.109375" style="232" customWidth="1"/>
    <col min="3364" max="3365" width="8.88671875" style="232"/>
    <col min="3366" max="3366" width="9.109375" style="232" bestFit="1" customWidth="1"/>
    <col min="3367" max="3584" width="8.88671875" style="232"/>
    <col min="3585" max="3585" width="4" style="232" customWidth="1"/>
    <col min="3586" max="3586" width="7.109375" style="232" customWidth="1"/>
    <col min="3587" max="3587" width="7.77734375" style="232" customWidth="1"/>
    <col min="3588" max="3588" width="3.77734375" style="232" customWidth="1"/>
    <col min="3589" max="3589" width="5.44140625" style="232" customWidth="1"/>
    <col min="3590" max="3590" width="3.77734375" style="232" customWidth="1"/>
    <col min="3591" max="3591" width="5.33203125" style="232" customWidth="1"/>
    <col min="3592" max="3593" width="3.77734375" style="232" customWidth="1"/>
    <col min="3594" max="3594" width="6.5546875" style="232" bestFit="1" customWidth="1"/>
    <col min="3595" max="3595" width="3.77734375" style="232" customWidth="1"/>
    <col min="3596" max="3596" width="5.77734375" style="232" customWidth="1"/>
    <col min="3597" max="3600" width="3.77734375" style="232" customWidth="1"/>
    <col min="3601" max="3601" width="5.77734375" style="232" bestFit="1" customWidth="1"/>
    <col min="3602" max="3605" width="3.77734375" style="232" customWidth="1"/>
    <col min="3606" max="3606" width="4.88671875" style="232" bestFit="1" customWidth="1"/>
    <col min="3607" max="3614" width="3.77734375" style="232" customWidth="1"/>
    <col min="3615" max="3615" width="7.77734375" style="232" customWidth="1"/>
    <col min="3616" max="3616" width="4.88671875" style="232" customWidth="1"/>
    <col min="3617" max="3617" width="3" style="232" customWidth="1"/>
    <col min="3618" max="3618" width="5.77734375" style="232" customWidth="1"/>
    <col min="3619" max="3619" width="4.109375" style="232" customWidth="1"/>
    <col min="3620" max="3621" width="8.88671875" style="232"/>
    <col min="3622" max="3622" width="9.109375" style="232" bestFit="1" customWidth="1"/>
    <col min="3623" max="3840" width="8.88671875" style="232"/>
    <col min="3841" max="3841" width="4" style="232" customWidth="1"/>
    <col min="3842" max="3842" width="7.109375" style="232" customWidth="1"/>
    <col min="3843" max="3843" width="7.77734375" style="232" customWidth="1"/>
    <col min="3844" max="3844" width="3.77734375" style="232" customWidth="1"/>
    <col min="3845" max="3845" width="5.44140625" style="232" customWidth="1"/>
    <col min="3846" max="3846" width="3.77734375" style="232" customWidth="1"/>
    <col min="3847" max="3847" width="5.33203125" style="232" customWidth="1"/>
    <col min="3848" max="3849" width="3.77734375" style="232" customWidth="1"/>
    <col min="3850" max="3850" width="6.5546875" style="232" bestFit="1" customWidth="1"/>
    <col min="3851" max="3851" width="3.77734375" style="232" customWidth="1"/>
    <col min="3852" max="3852" width="5.77734375" style="232" customWidth="1"/>
    <col min="3853" max="3856" width="3.77734375" style="232" customWidth="1"/>
    <col min="3857" max="3857" width="5.77734375" style="232" bestFit="1" customWidth="1"/>
    <col min="3858" max="3861" width="3.77734375" style="232" customWidth="1"/>
    <col min="3862" max="3862" width="4.88671875" style="232" bestFit="1" customWidth="1"/>
    <col min="3863" max="3870" width="3.77734375" style="232" customWidth="1"/>
    <col min="3871" max="3871" width="7.77734375" style="232" customWidth="1"/>
    <col min="3872" max="3872" width="4.88671875" style="232" customWidth="1"/>
    <col min="3873" max="3873" width="3" style="232" customWidth="1"/>
    <col min="3874" max="3874" width="5.77734375" style="232" customWidth="1"/>
    <col min="3875" max="3875" width="4.109375" style="232" customWidth="1"/>
    <col min="3876" max="3877" width="8.88671875" style="232"/>
    <col min="3878" max="3878" width="9.109375" style="232" bestFit="1" customWidth="1"/>
    <col min="3879" max="4096" width="8.88671875" style="232"/>
    <col min="4097" max="4097" width="4" style="232" customWidth="1"/>
    <col min="4098" max="4098" width="7.109375" style="232" customWidth="1"/>
    <col min="4099" max="4099" width="7.77734375" style="232" customWidth="1"/>
    <col min="4100" max="4100" width="3.77734375" style="232" customWidth="1"/>
    <col min="4101" max="4101" width="5.44140625" style="232" customWidth="1"/>
    <col min="4102" max="4102" width="3.77734375" style="232" customWidth="1"/>
    <col min="4103" max="4103" width="5.33203125" style="232" customWidth="1"/>
    <col min="4104" max="4105" width="3.77734375" style="232" customWidth="1"/>
    <col min="4106" max="4106" width="6.5546875" style="232" bestFit="1" customWidth="1"/>
    <col min="4107" max="4107" width="3.77734375" style="232" customWidth="1"/>
    <col min="4108" max="4108" width="5.77734375" style="232" customWidth="1"/>
    <col min="4109" max="4112" width="3.77734375" style="232" customWidth="1"/>
    <col min="4113" max="4113" width="5.77734375" style="232" bestFit="1" customWidth="1"/>
    <col min="4114" max="4117" width="3.77734375" style="232" customWidth="1"/>
    <col min="4118" max="4118" width="4.88671875" style="232" bestFit="1" customWidth="1"/>
    <col min="4119" max="4126" width="3.77734375" style="232" customWidth="1"/>
    <col min="4127" max="4127" width="7.77734375" style="232" customWidth="1"/>
    <col min="4128" max="4128" width="4.88671875" style="232" customWidth="1"/>
    <col min="4129" max="4129" width="3" style="232" customWidth="1"/>
    <col min="4130" max="4130" width="5.77734375" style="232" customWidth="1"/>
    <col min="4131" max="4131" width="4.109375" style="232" customWidth="1"/>
    <col min="4132" max="4133" width="8.88671875" style="232"/>
    <col min="4134" max="4134" width="9.109375" style="232" bestFit="1" customWidth="1"/>
    <col min="4135" max="4352" width="8.88671875" style="232"/>
    <col min="4353" max="4353" width="4" style="232" customWidth="1"/>
    <col min="4354" max="4354" width="7.109375" style="232" customWidth="1"/>
    <col min="4355" max="4355" width="7.77734375" style="232" customWidth="1"/>
    <col min="4356" max="4356" width="3.77734375" style="232" customWidth="1"/>
    <col min="4357" max="4357" width="5.44140625" style="232" customWidth="1"/>
    <col min="4358" max="4358" width="3.77734375" style="232" customWidth="1"/>
    <col min="4359" max="4359" width="5.33203125" style="232" customWidth="1"/>
    <col min="4360" max="4361" width="3.77734375" style="232" customWidth="1"/>
    <col min="4362" max="4362" width="6.5546875" style="232" bestFit="1" customWidth="1"/>
    <col min="4363" max="4363" width="3.77734375" style="232" customWidth="1"/>
    <col min="4364" max="4364" width="5.77734375" style="232" customWidth="1"/>
    <col min="4365" max="4368" width="3.77734375" style="232" customWidth="1"/>
    <col min="4369" max="4369" width="5.77734375" style="232" bestFit="1" customWidth="1"/>
    <col min="4370" max="4373" width="3.77734375" style="232" customWidth="1"/>
    <col min="4374" max="4374" width="4.88671875" style="232" bestFit="1" customWidth="1"/>
    <col min="4375" max="4382" width="3.77734375" style="232" customWidth="1"/>
    <col min="4383" max="4383" width="7.77734375" style="232" customWidth="1"/>
    <col min="4384" max="4384" width="4.88671875" style="232" customWidth="1"/>
    <col min="4385" max="4385" width="3" style="232" customWidth="1"/>
    <col min="4386" max="4386" width="5.77734375" style="232" customWidth="1"/>
    <col min="4387" max="4387" width="4.109375" style="232" customWidth="1"/>
    <col min="4388" max="4389" width="8.88671875" style="232"/>
    <col min="4390" max="4390" width="9.109375" style="232" bestFit="1" customWidth="1"/>
    <col min="4391" max="4608" width="8.88671875" style="232"/>
    <col min="4609" max="4609" width="4" style="232" customWidth="1"/>
    <col min="4610" max="4610" width="7.109375" style="232" customWidth="1"/>
    <col min="4611" max="4611" width="7.77734375" style="232" customWidth="1"/>
    <col min="4612" max="4612" width="3.77734375" style="232" customWidth="1"/>
    <col min="4613" max="4613" width="5.44140625" style="232" customWidth="1"/>
    <col min="4614" max="4614" width="3.77734375" style="232" customWidth="1"/>
    <col min="4615" max="4615" width="5.33203125" style="232" customWidth="1"/>
    <col min="4616" max="4617" width="3.77734375" style="232" customWidth="1"/>
    <col min="4618" max="4618" width="6.5546875" style="232" bestFit="1" customWidth="1"/>
    <col min="4619" max="4619" width="3.77734375" style="232" customWidth="1"/>
    <col min="4620" max="4620" width="5.77734375" style="232" customWidth="1"/>
    <col min="4621" max="4624" width="3.77734375" style="232" customWidth="1"/>
    <col min="4625" max="4625" width="5.77734375" style="232" bestFit="1" customWidth="1"/>
    <col min="4626" max="4629" width="3.77734375" style="232" customWidth="1"/>
    <col min="4630" max="4630" width="4.88671875" style="232" bestFit="1" customWidth="1"/>
    <col min="4631" max="4638" width="3.77734375" style="232" customWidth="1"/>
    <col min="4639" max="4639" width="7.77734375" style="232" customWidth="1"/>
    <col min="4640" max="4640" width="4.88671875" style="232" customWidth="1"/>
    <col min="4641" max="4641" width="3" style="232" customWidth="1"/>
    <col min="4642" max="4642" width="5.77734375" style="232" customWidth="1"/>
    <col min="4643" max="4643" width="4.109375" style="232" customWidth="1"/>
    <col min="4644" max="4645" width="8.88671875" style="232"/>
    <col min="4646" max="4646" width="9.109375" style="232" bestFit="1" customWidth="1"/>
    <col min="4647" max="4864" width="8.88671875" style="232"/>
    <col min="4865" max="4865" width="4" style="232" customWidth="1"/>
    <col min="4866" max="4866" width="7.109375" style="232" customWidth="1"/>
    <col min="4867" max="4867" width="7.77734375" style="232" customWidth="1"/>
    <col min="4868" max="4868" width="3.77734375" style="232" customWidth="1"/>
    <col min="4869" max="4869" width="5.44140625" style="232" customWidth="1"/>
    <col min="4870" max="4870" width="3.77734375" style="232" customWidth="1"/>
    <col min="4871" max="4871" width="5.33203125" style="232" customWidth="1"/>
    <col min="4872" max="4873" width="3.77734375" style="232" customWidth="1"/>
    <col min="4874" max="4874" width="6.5546875" style="232" bestFit="1" customWidth="1"/>
    <col min="4875" max="4875" width="3.77734375" style="232" customWidth="1"/>
    <col min="4876" max="4876" width="5.77734375" style="232" customWidth="1"/>
    <col min="4877" max="4880" width="3.77734375" style="232" customWidth="1"/>
    <col min="4881" max="4881" width="5.77734375" style="232" bestFit="1" customWidth="1"/>
    <col min="4882" max="4885" width="3.77734375" style="232" customWidth="1"/>
    <col min="4886" max="4886" width="4.88671875" style="232" bestFit="1" customWidth="1"/>
    <col min="4887" max="4894" width="3.77734375" style="232" customWidth="1"/>
    <col min="4895" max="4895" width="7.77734375" style="232" customWidth="1"/>
    <col min="4896" max="4896" width="4.88671875" style="232" customWidth="1"/>
    <col min="4897" max="4897" width="3" style="232" customWidth="1"/>
    <col min="4898" max="4898" width="5.77734375" style="232" customWidth="1"/>
    <col min="4899" max="4899" width="4.109375" style="232" customWidth="1"/>
    <col min="4900" max="4901" width="8.88671875" style="232"/>
    <col min="4902" max="4902" width="9.109375" style="232" bestFit="1" customWidth="1"/>
    <col min="4903" max="5120" width="8.88671875" style="232"/>
    <col min="5121" max="5121" width="4" style="232" customWidth="1"/>
    <col min="5122" max="5122" width="7.109375" style="232" customWidth="1"/>
    <col min="5123" max="5123" width="7.77734375" style="232" customWidth="1"/>
    <col min="5124" max="5124" width="3.77734375" style="232" customWidth="1"/>
    <col min="5125" max="5125" width="5.44140625" style="232" customWidth="1"/>
    <col min="5126" max="5126" width="3.77734375" style="232" customWidth="1"/>
    <col min="5127" max="5127" width="5.33203125" style="232" customWidth="1"/>
    <col min="5128" max="5129" width="3.77734375" style="232" customWidth="1"/>
    <col min="5130" max="5130" width="6.5546875" style="232" bestFit="1" customWidth="1"/>
    <col min="5131" max="5131" width="3.77734375" style="232" customWidth="1"/>
    <col min="5132" max="5132" width="5.77734375" style="232" customWidth="1"/>
    <col min="5133" max="5136" width="3.77734375" style="232" customWidth="1"/>
    <col min="5137" max="5137" width="5.77734375" style="232" bestFit="1" customWidth="1"/>
    <col min="5138" max="5141" width="3.77734375" style="232" customWidth="1"/>
    <col min="5142" max="5142" width="4.88671875" style="232" bestFit="1" customWidth="1"/>
    <col min="5143" max="5150" width="3.77734375" style="232" customWidth="1"/>
    <col min="5151" max="5151" width="7.77734375" style="232" customWidth="1"/>
    <col min="5152" max="5152" width="4.88671875" style="232" customWidth="1"/>
    <col min="5153" max="5153" width="3" style="232" customWidth="1"/>
    <col min="5154" max="5154" width="5.77734375" style="232" customWidth="1"/>
    <col min="5155" max="5155" width="4.109375" style="232" customWidth="1"/>
    <col min="5156" max="5157" width="8.88671875" style="232"/>
    <col min="5158" max="5158" width="9.109375" style="232" bestFit="1" customWidth="1"/>
    <col min="5159" max="5376" width="8.88671875" style="232"/>
    <col min="5377" max="5377" width="4" style="232" customWidth="1"/>
    <col min="5378" max="5378" width="7.109375" style="232" customWidth="1"/>
    <col min="5379" max="5379" width="7.77734375" style="232" customWidth="1"/>
    <col min="5380" max="5380" width="3.77734375" style="232" customWidth="1"/>
    <col min="5381" max="5381" width="5.44140625" style="232" customWidth="1"/>
    <col min="5382" max="5382" width="3.77734375" style="232" customWidth="1"/>
    <col min="5383" max="5383" width="5.33203125" style="232" customWidth="1"/>
    <col min="5384" max="5385" width="3.77734375" style="232" customWidth="1"/>
    <col min="5386" max="5386" width="6.5546875" style="232" bestFit="1" customWidth="1"/>
    <col min="5387" max="5387" width="3.77734375" style="232" customWidth="1"/>
    <col min="5388" max="5388" width="5.77734375" style="232" customWidth="1"/>
    <col min="5389" max="5392" width="3.77734375" style="232" customWidth="1"/>
    <col min="5393" max="5393" width="5.77734375" style="232" bestFit="1" customWidth="1"/>
    <col min="5394" max="5397" width="3.77734375" style="232" customWidth="1"/>
    <col min="5398" max="5398" width="4.88671875" style="232" bestFit="1" customWidth="1"/>
    <col min="5399" max="5406" width="3.77734375" style="232" customWidth="1"/>
    <col min="5407" max="5407" width="7.77734375" style="232" customWidth="1"/>
    <col min="5408" max="5408" width="4.88671875" style="232" customWidth="1"/>
    <col min="5409" max="5409" width="3" style="232" customWidth="1"/>
    <col min="5410" max="5410" width="5.77734375" style="232" customWidth="1"/>
    <col min="5411" max="5411" width="4.109375" style="232" customWidth="1"/>
    <col min="5412" max="5413" width="8.88671875" style="232"/>
    <col min="5414" max="5414" width="9.109375" style="232" bestFit="1" customWidth="1"/>
    <col min="5415" max="5632" width="8.88671875" style="232"/>
    <col min="5633" max="5633" width="4" style="232" customWidth="1"/>
    <col min="5634" max="5634" width="7.109375" style="232" customWidth="1"/>
    <col min="5635" max="5635" width="7.77734375" style="232" customWidth="1"/>
    <col min="5636" max="5636" width="3.77734375" style="232" customWidth="1"/>
    <col min="5637" max="5637" width="5.44140625" style="232" customWidth="1"/>
    <col min="5638" max="5638" width="3.77734375" style="232" customWidth="1"/>
    <col min="5639" max="5639" width="5.33203125" style="232" customWidth="1"/>
    <col min="5640" max="5641" width="3.77734375" style="232" customWidth="1"/>
    <col min="5642" max="5642" width="6.5546875" style="232" bestFit="1" customWidth="1"/>
    <col min="5643" max="5643" width="3.77734375" style="232" customWidth="1"/>
    <col min="5644" max="5644" width="5.77734375" style="232" customWidth="1"/>
    <col min="5645" max="5648" width="3.77734375" style="232" customWidth="1"/>
    <col min="5649" max="5649" width="5.77734375" style="232" bestFit="1" customWidth="1"/>
    <col min="5650" max="5653" width="3.77734375" style="232" customWidth="1"/>
    <col min="5654" max="5654" width="4.88671875" style="232" bestFit="1" customWidth="1"/>
    <col min="5655" max="5662" width="3.77734375" style="232" customWidth="1"/>
    <col min="5663" max="5663" width="7.77734375" style="232" customWidth="1"/>
    <col min="5664" max="5664" width="4.88671875" style="232" customWidth="1"/>
    <col min="5665" max="5665" width="3" style="232" customWidth="1"/>
    <col min="5666" max="5666" width="5.77734375" style="232" customWidth="1"/>
    <col min="5667" max="5667" width="4.109375" style="232" customWidth="1"/>
    <col min="5668" max="5669" width="8.88671875" style="232"/>
    <col min="5670" max="5670" width="9.109375" style="232" bestFit="1" customWidth="1"/>
    <col min="5671" max="5888" width="8.88671875" style="232"/>
    <col min="5889" max="5889" width="4" style="232" customWidth="1"/>
    <col min="5890" max="5890" width="7.109375" style="232" customWidth="1"/>
    <col min="5891" max="5891" width="7.77734375" style="232" customWidth="1"/>
    <col min="5892" max="5892" width="3.77734375" style="232" customWidth="1"/>
    <col min="5893" max="5893" width="5.44140625" style="232" customWidth="1"/>
    <col min="5894" max="5894" width="3.77734375" style="232" customWidth="1"/>
    <col min="5895" max="5895" width="5.33203125" style="232" customWidth="1"/>
    <col min="5896" max="5897" width="3.77734375" style="232" customWidth="1"/>
    <col min="5898" max="5898" width="6.5546875" style="232" bestFit="1" customWidth="1"/>
    <col min="5899" max="5899" width="3.77734375" style="232" customWidth="1"/>
    <col min="5900" max="5900" width="5.77734375" style="232" customWidth="1"/>
    <col min="5901" max="5904" width="3.77734375" style="232" customWidth="1"/>
    <col min="5905" max="5905" width="5.77734375" style="232" bestFit="1" customWidth="1"/>
    <col min="5906" max="5909" width="3.77734375" style="232" customWidth="1"/>
    <col min="5910" max="5910" width="4.88671875" style="232" bestFit="1" customWidth="1"/>
    <col min="5911" max="5918" width="3.77734375" style="232" customWidth="1"/>
    <col min="5919" max="5919" width="7.77734375" style="232" customWidth="1"/>
    <col min="5920" max="5920" width="4.88671875" style="232" customWidth="1"/>
    <col min="5921" max="5921" width="3" style="232" customWidth="1"/>
    <col min="5922" max="5922" width="5.77734375" style="232" customWidth="1"/>
    <col min="5923" max="5923" width="4.109375" style="232" customWidth="1"/>
    <col min="5924" max="5925" width="8.88671875" style="232"/>
    <col min="5926" max="5926" width="9.109375" style="232" bestFit="1" customWidth="1"/>
    <col min="5927" max="6144" width="8.88671875" style="232"/>
    <col min="6145" max="6145" width="4" style="232" customWidth="1"/>
    <col min="6146" max="6146" width="7.109375" style="232" customWidth="1"/>
    <col min="6147" max="6147" width="7.77734375" style="232" customWidth="1"/>
    <col min="6148" max="6148" width="3.77734375" style="232" customWidth="1"/>
    <col min="6149" max="6149" width="5.44140625" style="232" customWidth="1"/>
    <col min="6150" max="6150" width="3.77734375" style="232" customWidth="1"/>
    <col min="6151" max="6151" width="5.33203125" style="232" customWidth="1"/>
    <col min="6152" max="6153" width="3.77734375" style="232" customWidth="1"/>
    <col min="6154" max="6154" width="6.5546875" style="232" bestFit="1" customWidth="1"/>
    <col min="6155" max="6155" width="3.77734375" style="232" customWidth="1"/>
    <col min="6156" max="6156" width="5.77734375" style="232" customWidth="1"/>
    <col min="6157" max="6160" width="3.77734375" style="232" customWidth="1"/>
    <col min="6161" max="6161" width="5.77734375" style="232" bestFit="1" customWidth="1"/>
    <col min="6162" max="6165" width="3.77734375" style="232" customWidth="1"/>
    <col min="6166" max="6166" width="4.88671875" style="232" bestFit="1" customWidth="1"/>
    <col min="6167" max="6174" width="3.77734375" style="232" customWidth="1"/>
    <col min="6175" max="6175" width="7.77734375" style="232" customWidth="1"/>
    <col min="6176" max="6176" width="4.88671875" style="232" customWidth="1"/>
    <col min="6177" max="6177" width="3" style="232" customWidth="1"/>
    <col min="6178" max="6178" width="5.77734375" style="232" customWidth="1"/>
    <col min="6179" max="6179" width="4.109375" style="232" customWidth="1"/>
    <col min="6180" max="6181" width="8.88671875" style="232"/>
    <col min="6182" max="6182" width="9.109375" style="232" bestFit="1" customWidth="1"/>
    <col min="6183" max="6400" width="8.88671875" style="232"/>
    <col min="6401" max="6401" width="4" style="232" customWidth="1"/>
    <col min="6402" max="6402" width="7.109375" style="232" customWidth="1"/>
    <col min="6403" max="6403" width="7.77734375" style="232" customWidth="1"/>
    <col min="6404" max="6404" width="3.77734375" style="232" customWidth="1"/>
    <col min="6405" max="6405" width="5.44140625" style="232" customWidth="1"/>
    <col min="6406" max="6406" width="3.77734375" style="232" customWidth="1"/>
    <col min="6407" max="6407" width="5.33203125" style="232" customWidth="1"/>
    <col min="6408" max="6409" width="3.77734375" style="232" customWidth="1"/>
    <col min="6410" max="6410" width="6.5546875" style="232" bestFit="1" customWidth="1"/>
    <col min="6411" max="6411" width="3.77734375" style="232" customWidth="1"/>
    <col min="6412" max="6412" width="5.77734375" style="232" customWidth="1"/>
    <col min="6413" max="6416" width="3.77734375" style="232" customWidth="1"/>
    <col min="6417" max="6417" width="5.77734375" style="232" bestFit="1" customWidth="1"/>
    <col min="6418" max="6421" width="3.77734375" style="232" customWidth="1"/>
    <col min="6422" max="6422" width="4.88671875" style="232" bestFit="1" customWidth="1"/>
    <col min="6423" max="6430" width="3.77734375" style="232" customWidth="1"/>
    <col min="6431" max="6431" width="7.77734375" style="232" customWidth="1"/>
    <col min="6432" max="6432" width="4.88671875" style="232" customWidth="1"/>
    <col min="6433" max="6433" width="3" style="232" customWidth="1"/>
    <col min="6434" max="6434" width="5.77734375" style="232" customWidth="1"/>
    <col min="6435" max="6435" width="4.109375" style="232" customWidth="1"/>
    <col min="6436" max="6437" width="8.88671875" style="232"/>
    <col min="6438" max="6438" width="9.109375" style="232" bestFit="1" customWidth="1"/>
    <col min="6439" max="6656" width="8.88671875" style="232"/>
    <col min="6657" max="6657" width="4" style="232" customWidth="1"/>
    <col min="6658" max="6658" width="7.109375" style="232" customWidth="1"/>
    <col min="6659" max="6659" width="7.77734375" style="232" customWidth="1"/>
    <col min="6660" max="6660" width="3.77734375" style="232" customWidth="1"/>
    <col min="6661" max="6661" width="5.44140625" style="232" customWidth="1"/>
    <col min="6662" max="6662" width="3.77734375" style="232" customWidth="1"/>
    <col min="6663" max="6663" width="5.33203125" style="232" customWidth="1"/>
    <col min="6664" max="6665" width="3.77734375" style="232" customWidth="1"/>
    <col min="6666" max="6666" width="6.5546875" style="232" bestFit="1" customWidth="1"/>
    <col min="6667" max="6667" width="3.77734375" style="232" customWidth="1"/>
    <col min="6668" max="6668" width="5.77734375" style="232" customWidth="1"/>
    <col min="6669" max="6672" width="3.77734375" style="232" customWidth="1"/>
    <col min="6673" max="6673" width="5.77734375" style="232" bestFit="1" customWidth="1"/>
    <col min="6674" max="6677" width="3.77734375" style="232" customWidth="1"/>
    <col min="6678" max="6678" width="4.88671875" style="232" bestFit="1" customWidth="1"/>
    <col min="6679" max="6686" width="3.77734375" style="232" customWidth="1"/>
    <col min="6687" max="6687" width="7.77734375" style="232" customWidth="1"/>
    <col min="6688" max="6688" width="4.88671875" style="232" customWidth="1"/>
    <col min="6689" max="6689" width="3" style="232" customWidth="1"/>
    <col min="6690" max="6690" width="5.77734375" style="232" customWidth="1"/>
    <col min="6691" max="6691" width="4.109375" style="232" customWidth="1"/>
    <col min="6692" max="6693" width="8.88671875" style="232"/>
    <col min="6694" max="6694" width="9.109375" style="232" bestFit="1" customWidth="1"/>
    <col min="6695" max="6912" width="8.88671875" style="232"/>
    <col min="6913" max="6913" width="4" style="232" customWidth="1"/>
    <col min="6914" max="6914" width="7.109375" style="232" customWidth="1"/>
    <col min="6915" max="6915" width="7.77734375" style="232" customWidth="1"/>
    <col min="6916" max="6916" width="3.77734375" style="232" customWidth="1"/>
    <col min="6917" max="6917" width="5.44140625" style="232" customWidth="1"/>
    <col min="6918" max="6918" width="3.77734375" style="232" customWidth="1"/>
    <col min="6919" max="6919" width="5.33203125" style="232" customWidth="1"/>
    <col min="6920" max="6921" width="3.77734375" style="232" customWidth="1"/>
    <col min="6922" max="6922" width="6.5546875" style="232" bestFit="1" customWidth="1"/>
    <col min="6923" max="6923" width="3.77734375" style="232" customWidth="1"/>
    <col min="6924" max="6924" width="5.77734375" style="232" customWidth="1"/>
    <col min="6925" max="6928" width="3.77734375" style="232" customWidth="1"/>
    <col min="6929" max="6929" width="5.77734375" style="232" bestFit="1" customWidth="1"/>
    <col min="6930" max="6933" width="3.77734375" style="232" customWidth="1"/>
    <col min="6934" max="6934" width="4.88671875" style="232" bestFit="1" customWidth="1"/>
    <col min="6935" max="6942" width="3.77734375" style="232" customWidth="1"/>
    <col min="6943" max="6943" width="7.77734375" style="232" customWidth="1"/>
    <col min="6944" max="6944" width="4.88671875" style="232" customWidth="1"/>
    <col min="6945" max="6945" width="3" style="232" customWidth="1"/>
    <col min="6946" max="6946" width="5.77734375" style="232" customWidth="1"/>
    <col min="6947" max="6947" width="4.109375" style="232" customWidth="1"/>
    <col min="6948" max="6949" width="8.88671875" style="232"/>
    <col min="6950" max="6950" width="9.109375" style="232" bestFit="1" customWidth="1"/>
    <col min="6951" max="7168" width="8.88671875" style="232"/>
    <col min="7169" max="7169" width="4" style="232" customWidth="1"/>
    <col min="7170" max="7170" width="7.109375" style="232" customWidth="1"/>
    <col min="7171" max="7171" width="7.77734375" style="232" customWidth="1"/>
    <col min="7172" max="7172" width="3.77734375" style="232" customWidth="1"/>
    <col min="7173" max="7173" width="5.44140625" style="232" customWidth="1"/>
    <col min="7174" max="7174" width="3.77734375" style="232" customWidth="1"/>
    <col min="7175" max="7175" width="5.33203125" style="232" customWidth="1"/>
    <col min="7176" max="7177" width="3.77734375" style="232" customWidth="1"/>
    <col min="7178" max="7178" width="6.5546875" style="232" bestFit="1" customWidth="1"/>
    <col min="7179" max="7179" width="3.77734375" style="232" customWidth="1"/>
    <col min="7180" max="7180" width="5.77734375" style="232" customWidth="1"/>
    <col min="7181" max="7184" width="3.77734375" style="232" customWidth="1"/>
    <col min="7185" max="7185" width="5.77734375" style="232" bestFit="1" customWidth="1"/>
    <col min="7186" max="7189" width="3.77734375" style="232" customWidth="1"/>
    <col min="7190" max="7190" width="4.88671875" style="232" bestFit="1" customWidth="1"/>
    <col min="7191" max="7198" width="3.77734375" style="232" customWidth="1"/>
    <col min="7199" max="7199" width="7.77734375" style="232" customWidth="1"/>
    <col min="7200" max="7200" width="4.88671875" style="232" customWidth="1"/>
    <col min="7201" max="7201" width="3" style="232" customWidth="1"/>
    <col min="7202" max="7202" width="5.77734375" style="232" customWidth="1"/>
    <col min="7203" max="7203" width="4.109375" style="232" customWidth="1"/>
    <col min="7204" max="7205" width="8.88671875" style="232"/>
    <col min="7206" max="7206" width="9.109375" style="232" bestFit="1" customWidth="1"/>
    <col min="7207" max="7424" width="8.88671875" style="232"/>
    <col min="7425" max="7425" width="4" style="232" customWidth="1"/>
    <col min="7426" max="7426" width="7.109375" style="232" customWidth="1"/>
    <col min="7427" max="7427" width="7.77734375" style="232" customWidth="1"/>
    <col min="7428" max="7428" width="3.77734375" style="232" customWidth="1"/>
    <col min="7429" max="7429" width="5.44140625" style="232" customWidth="1"/>
    <col min="7430" max="7430" width="3.77734375" style="232" customWidth="1"/>
    <col min="7431" max="7431" width="5.33203125" style="232" customWidth="1"/>
    <col min="7432" max="7433" width="3.77734375" style="232" customWidth="1"/>
    <col min="7434" max="7434" width="6.5546875" style="232" bestFit="1" customWidth="1"/>
    <col min="7435" max="7435" width="3.77734375" style="232" customWidth="1"/>
    <col min="7436" max="7436" width="5.77734375" style="232" customWidth="1"/>
    <col min="7437" max="7440" width="3.77734375" style="232" customWidth="1"/>
    <col min="7441" max="7441" width="5.77734375" style="232" bestFit="1" customWidth="1"/>
    <col min="7442" max="7445" width="3.77734375" style="232" customWidth="1"/>
    <col min="7446" max="7446" width="4.88671875" style="232" bestFit="1" customWidth="1"/>
    <col min="7447" max="7454" width="3.77734375" style="232" customWidth="1"/>
    <col min="7455" max="7455" width="7.77734375" style="232" customWidth="1"/>
    <col min="7456" max="7456" width="4.88671875" style="232" customWidth="1"/>
    <col min="7457" max="7457" width="3" style="232" customWidth="1"/>
    <col min="7458" max="7458" width="5.77734375" style="232" customWidth="1"/>
    <col min="7459" max="7459" width="4.109375" style="232" customWidth="1"/>
    <col min="7460" max="7461" width="8.88671875" style="232"/>
    <col min="7462" max="7462" width="9.109375" style="232" bestFit="1" customWidth="1"/>
    <col min="7463" max="7680" width="8.88671875" style="232"/>
    <col min="7681" max="7681" width="4" style="232" customWidth="1"/>
    <col min="7682" max="7682" width="7.109375" style="232" customWidth="1"/>
    <col min="7683" max="7683" width="7.77734375" style="232" customWidth="1"/>
    <col min="7684" max="7684" width="3.77734375" style="232" customWidth="1"/>
    <col min="7685" max="7685" width="5.44140625" style="232" customWidth="1"/>
    <col min="7686" max="7686" width="3.77734375" style="232" customWidth="1"/>
    <col min="7687" max="7687" width="5.33203125" style="232" customWidth="1"/>
    <col min="7688" max="7689" width="3.77734375" style="232" customWidth="1"/>
    <col min="7690" max="7690" width="6.5546875" style="232" bestFit="1" customWidth="1"/>
    <col min="7691" max="7691" width="3.77734375" style="232" customWidth="1"/>
    <col min="7692" max="7692" width="5.77734375" style="232" customWidth="1"/>
    <col min="7693" max="7696" width="3.77734375" style="232" customWidth="1"/>
    <col min="7697" max="7697" width="5.77734375" style="232" bestFit="1" customWidth="1"/>
    <col min="7698" max="7701" width="3.77734375" style="232" customWidth="1"/>
    <col min="7702" max="7702" width="4.88671875" style="232" bestFit="1" customWidth="1"/>
    <col min="7703" max="7710" width="3.77734375" style="232" customWidth="1"/>
    <col min="7711" max="7711" width="7.77734375" style="232" customWidth="1"/>
    <col min="7712" max="7712" width="4.88671875" style="232" customWidth="1"/>
    <col min="7713" max="7713" width="3" style="232" customWidth="1"/>
    <col min="7714" max="7714" width="5.77734375" style="232" customWidth="1"/>
    <col min="7715" max="7715" width="4.109375" style="232" customWidth="1"/>
    <col min="7716" max="7717" width="8.88671875" style="232"/>
    <col min="7718" max="7718" width="9.109375" style="232" bestFit="1" customWidth="1"/>
    <col min="7719" max="7936" width="8.88671875" style="232"/>
    <col min="7937" max="7937" width="4" style="232" customWidth="1"/>
    <col min="7938" max="7938" width="7.109375" style="232" customWidth="1"/>
    <col min="7939" max="7939" width="7.77734375" style="232" customWidth="1"/>
    <col min="7940" max="7940" width="3.77734375" style="232" customWidth="1"/>
    <col min="7941" max="7941" width="5.44140625" style="232" customWidth="1"/>
    <col min="7942" max="7942" width="3.77734375" style="232" customWidth="1"/>
    <col min="7943" max="7943" width="5.33203125" style="232" customWidth="1"/>
    <col min="7944" max="7945" width="3.77734375" style="232" customWidth="1"/>
    <col min="7946" max="7946" width="6.5546875" style="232" bestFit="1" customWidth="1"/>
    <col min="7947" max="7947" width="3.77734375" style="232" customWidth="1"/>
    <col min="7948" max="7948" width="5.77734375" style="232" customWidth="1"/>
    <col min="7949" max="7952" width="3.77734375" style="232" customWidth="1"/>
    <col min="7953" max="7953" width="5.77734375" style="232" bestFit="1" customWidth="1"/>
    <col min="7954" max="7957" width="3.77734375" style="232" customWidth="1"/>
    <col min="7958" max="7958" width="4.88671875" style="232" bestFit="1" customWidth="1"/>
    <col min="7959" max="7966" width="3.77734375" style="232" customWidth="1"/>
    <col min="7967" max="7967" width="7.77734375" style="232" customWidth="1"/>
    <col min="7968" max="7968" width="4.88671875" style="232" customWidth="1"/>
    <col min="7969" max="7969" width="3" style="232" customWidth="1"/>
    <col min="7970" max="7970" width="5.77734375" style="232" customWidth="1"/>
    <col min="7971" max="7971" width="4.109375" style="232" customWidth="1"/>
    <col min="7972" max="7973" width="8.88671875" style="232"/>
    <col min="7974" max="7974" width="9.109375" style="232" bestFit="1" customWidth="1"/>
    <col min="7975" max="8192" width="8.88671875" style="232"/>
    <col min="8193" max="8193" width="4" style="232" customWidth="1"/>
    <col min="8194" max="8194" width="7.109375" style="232" customWidth="1"/>
    <col min="8195" max="8195" width="7.77734375" style="232" customWidth="1"/>
    <col min="8196" max="8196" width="3.77734375" style="232" customWidth="1"/>
    <col min="8197" max="8197" width="5.44140625" style="232" customWidth="1"/>
    <col min="8198" max="8198" width="3.77734375" style="232" customWidth="1"/>
    <col min="8199" max="8199" width="5.33203125" style="232" customWidth="1"/>
    <col min="8200" max="8201" width="3.77734375" style="232" customWidth="1"/>
    <col min="8202" max="8202" width="6.5546875" style="232" bestFit="1" customWidth="1"/>
    <col min="8203" max="8203" width="3.77734375" style="232" customWidth="1"/>
    <col min="8204" max="8204" width="5.77734375" style="232" customWidth="1"/>
    <col min="8205" max="8208" width="3.77734375" style="232" customWidth="1"/>
    <col min="8209" max="8209" width="5.77734375" style="232" bestFit="1" customWidth="1"/>
    <col min="8210" max="8213" width="3.77734375" style="232" customWidth="1"/>
    <col min="8214" max="8214" width="4.88671875" style="232" bestFit="1" customWidth="1"/>
    <col min="8215" max="8222" width="3.77734375" style="232" customWidth="1"/>
    <col min="8223" max="8223" width="7.77734375" style="232" customWidth="1"/>
    <col min="8224" max="8224" width="4.88671875" style="232" customWidth="1"/>
    <col min="8225" max="8225" width="3" style="232" customWidth="1"/>
    <col min="8226" max="8226" width="5.77734375" style="232" customWidth="1"/>
    <col min="8227" max="8227" width="4.109375" style="232" customWidth="1"/>
    <col min="8228" max="8229" width="8.88671875" style="232"/>
    <col min="8230" max="8230" width="9.109375" style="232" bestFit="1" customWidth="1"/>
    <col min="8231" max="8448" width="8.88671875" style="232"/>
    <col min="8449" max="8449" width="4" style="232" customWidth="1"/>
    <col min="8450" max="8450" width="7.109375" style="232" customWidth="1"/>
    <col min="8451" max="8451" width="7.77734375" style="232" customWidth="1"/>
    <col min="8452" max="8452" width="3.77734375" style="232" customWidth="1"/>
    <col min="8453" max="8453" width="5.44140625" style="232" customWidth="1"/>
    <col min="8454" max="8454" width="3.77734375" style="232" customWidth="1"/>
    <col min="8455" max="8455" width="5.33203125" style="232" customWidth="1"/>
    <col min="8456" max="8457" width="3.77734375" style="232" customWidth="1"/>
    <col min="8458" max="8458" width="6.5546875" style="232" bestFit="1" customWidth="1"/>
    <col min="8459" max="8459" width="3.77734375" style="232" customWidth="1"/>
    <col min="8460" max="8460" width="5.77734375" style="232" customWidth="1"/>
    <col min="8461" max="8464" width="3.77734375" style="232" customWidth="1"/>
    <col min="8465" max="8465" width="5.77734375" style="232" bestFit="1" customWidth="1"/>
    <col min="8466" max="8469" width="3.77734375" style="232" customWidth="1"/>
    <col min="8470" max="8470" width="4.88671875" style="232" bestFit="1" customWidth="1"/>
    <col min="8471" max="8478" width="3.77734375" style="232" customWidth="1"/>
    <col min="8479" max="8479" width="7.77734375" style="232" customWidth="1"/>
    <col min="8480" max="8480" width="4.88671875" style="232" customWidth="1"/>
    <col min="8481" max="8481" width="3" style="232" customWidth="1"/>
    <col min="8482" max="8482" width="5.77734375" style="232" customWidth="1"/>
    <col min="8483" max="8483" width="4.109375" style="232" customWidth="1"/>
    <col min="8484" max="8485" width="8.88671875" style="232"/>
    <col min="8486" max="8486" width="9.109375" style="232" bestFit="1" customWidth="1"/>
    <col min="8487" max="8704" width="8.88671875" style="232"/>
    <col min="8705" max="8705" width="4" style="232" customWidth="1"/>
    <col min="8706" max="8706" width="7.109375" style="232" customWidth="1"/>
    <col min="8707" max="8707" width="7.77734375" style="232" customWidth="1"/>
    <col min="8708" max="8708" width="3.77734375" style="232" customWidth="1"/>
    <col min="8709" max="8709" width="5.44140625" style="232" customWidth="1"/>
    <col min="8710" max="8710" width="3.77734375" style="232" customWidth="1"/>
    <col min="8711" max="8711" width="5.33203125" style="232" customWidth="1"/>
    <col min="8712" max="8713" width="3.77734375" style="232" customWidth="1"/>
    <col min="8714" max="8714" width="6.5546875" style="232" bestFit="1" customWidth="1"/>
    <col min="8715" max="8715" width="3.77734375" style="232" customWidth="1"/>
    <col min="8716" max="8716" width="5.77734375" style="232" customWidth="1"/>
    <col min="8717" max="8720" width="3.77734375" style="232" customWidth="1"/>
    <col min="8721" max="8721" width="5.77734375" style="232" bestFit="1" customWidth="1"/>
    <col min="8722" max="8725" width="3.77734375" style="232" customWidth="1"/>
    <col min="8726" max="8726" width="4.88671875" style="232" bestFit="1" customWidth="1"/>
    <col min="8727" max="8734" width="3.77734375" style="232" customWidth="1"/>
    <col min="8735" max="8735" width="7.77734375" style="232" customWidth="1"/>
    <col min="8736" max="8736" width="4.88671875" style="232" customWidth="1"/>
    <col min="8737" max="8737" width="3" style="232" customWidth="1"/>
    <col min="8738" max="8738" width="5.77734375" style="232" customWidth="1"/>
    <col min="8739" max="8739" width="4.109375" style="232" customWidth="1"/>
    <col min="8740" max="8741" width="8.88671875" style="232"/>
    <col min="8742" max="8742" width="9.109375" style="232" bestFit="1" customWidth="1"/>
    <col min="8743" max="8960" width="8.88671875" style="232"/>
    <col min="8961" max="8961" width="4" style="232" customWidth="1"/>
    <col min="8962" max="8962" width="7.109375" style="232" customWidth="1"/>
    <col min="8963" max="8963" width="7.77734375" style="232" customWidth="1"/>
    <col min="8964" max="8964" width="3.77734375" style="232" customWidth="1"/>
    <col min="8965" max="8965" width="5.44140625" style="232" customWidth="1"/>
    <col min="8966" max="8966" width="3.77734375" style="232" customWidth="1"/>
    <col min="8967" max="8967" width="5.33203125" style="232" customWidth="1"/>
    <col min="8968" max="8969" width="3.77734375" style="232" customWidth="1"/>
    <col min="8970" max="8970" width="6.5546875" style="232" bestFit="1" customWidth="1"/>
    <col min="8971" max="8971" width="3.77734375" style="232" customWidth="1"/>
    <col min="8972" max="8972" width="5.77734375" style="232" customWidth="1"/>
    <col min="8973" max="8976" width="3.77734375" style="232" customWidth="1"/>
    <col min="8977" max="8977" width="5.77734375" style="232" bestFit="1" customWidth="1"/>
    <col min="8978" max="8981" width="3.77734375" style="232" customWidth="1"/>
    <col min="8982" max="8982" width="4.88671875" style="232" bestFit="1" customWidth="1"/>
    <col min="8983" max="8990" width="3.77734375" style="232" customWidth="1"/>
    <col min="8991" max="8991" width="7.77734375" style="232" customWidth="1"/>
    <col min="8992" max="8992" width="4.88671875" style="232" customWidth="1"/>
    <col min="8993" max="8993" width="3" style="232" customWidth="1"/>
    <col min="8994" max="8994" width="5.77734375" style="232" customWidth="1"/>
    <col min="8995" max="8995" width="4.109375" style="232" customWidth="1"/>
    <col min="8996" max="8997" width="8.88671875" style="232"/>
    <col min="8998" max="8998" width="9.109375" style="232" bestFit="1" customWidth="1"/>
    <col min="8999" max="9216" width="8.88671875" style="232"/>
    <col min="9217" max="9217" width="4" style="232" customWidth="1"/>
    <col min="9218" max="9218" width="7.109375" style="232" customWidth="1"/>
    <col min="9219" max="9219" width="7.77734375" style="232" customWidth="1"/>
    <col min="9220" max="9220" width="3.77734375" style="232" customWidth="1"/>
    <col min="9221" max="9221" width="5.44140625" style="232" customWidth="1"/>
    <col min="9222" max="9222" width="3.77734375" style="232" customWidth="1"/>
    <col min="9223" max="9223" width="5.33203125" style="232" customWidth="1"/>
    <col min="9224" max="9225" width="3.77734375" style="232" customWidth="1"/>
    <col min="9226" max="9226" width="6.5546875" style="232" bestFit="1" customWidth="1"/>
    <col min="9227" max="9227" width="3.77734375" style="232" customWidth="1"/>
    <col min="9228" max="9228" width="5.77734375" style="232" customWidth="1"/>
    <col min="9229" max="9232" width="3.77734375" style="232" customWidth="1"/>
    <col min="9233" max="9233" width="5.77734375" style="232" bestFit="1" customWidth="1"/>
    <col min="9234" max="9237" width="3.77734375" style="232" customWidth="1"/>
    <col min="9238" max="9238" width="4.88671875" style="232" bestFit="1" customWidth="1"/>
    <col min="9239" max="9246" width="3.77734375" style="232" customWidth="1"/>
    <col min="9247" max="9247" width="7.77734375" style="232" customWidth="1"/>
    <col min="9248" max="9248" width="4.88671875" style="232" customWidth="1"/>
    <col min="9249" max="9249" width="3" style="232" customWidth="1"/>
    <col min="9250" max="9250" width="5.77734375" style="232" customWidth="1"/>
    <col min="9251" max="9251" width="4.109375" style="232" customWidth="1"/>
    <col min="9252" max="9253" width="8.88671875" style="232"/>
    <col min="9254" max="9254" width="9.109375" style="232" bestFit="1" customWidth="1"/>
    <col min="9255" max="9472" width="8.88671875" style="232"/>
    <col min="9473" max="9473" width="4" style="232" customWidth="1"/>
    <col min="9474" max="9474" width="7.109375" style="232" customWidth="1"/>
    <col min="9475" max="9475" width="7.77734375" style="232" customWidth="1"/>
    <col min="9476" max="9476" width="3.77734375" style="232" customWidth="1"/>
    <col min="9477" max="9477" width="5.44140625" style="232" customWidth="1"/>
    <col min="9478" max="9478" width="3.77734375" style="232" customWidth="1"/>
    <col min="9479" max="9479" width="5.33203125" style="232" customWidth="1"/>
    <col min="9480" max="9481" width="3.77734375" style="232" customWidth="1"/>
    <col min="9482" max="9482" width="6.5546875" style="232" bestFit="1" customWidth="1"/>
    <col min="9483" max="9483" width="3.77734375" style="232" customWidth="1"/>
    <col min="9484" max="9484" width="5.77734375" style="232" customWidth="1"/>
    <col min="9485" max="9488" width="3.77734375" style="232" customWidth="1"/>
    <col min="9489" max="9489" width="5.77734375" style="232" bestFit="1" customWidth="1"/>
    <col min="9490" max="9493" width="3.77734375" style="232" customWidth="1"/>
    <col min="9494" max="9494" width="4.88671875" style="232" bestFit="1" customWidth="1"/>
    <col min="9495" max="9502" width="3.77734375" style="232" customWidth="1"/>
    <col min="9503" max="9503" width="7.77734375" style="232" customWidth="1"/>
    <col min="9504" max="9504" width="4.88671875" style="232" customWidth="1"/>
    <col min="9505" max="9505" width="3" style="232" customWidth="1"/>
    <col min="9506" max="9506" width="5.77734375" style="232" customWidth="1"/>
    <col min="9507" max="9507" width="4.109375" style="232" customWidth="1"/>
    <col min="9508" max="9509" width="8.88671875" style="232"/>
    <col min="9510" max="9510" width="9.109375" style="232" bestFit="1" customWidth="1"/>
    <col min="9511" max="9728" width="8.88671875" style="232"/>
    <col min="9729" max="9729" width="4" style="232" customWidth="1"/>
    <col min="9730" max="9730" width="7.109375" style="232" customWidth="1"/>
    <col min="9731" max="9731" width="7.77734375" style="232" customWidth="1"/>
    <col min="9732" max="9732" width="3.77734375" style="232" customWidth="1"/>
    <col min="9733" max="9733" width="5.44140625" style="232" customWidth="1"/>
    <col min="9734" max="9734" width="3.77734375" style="232" customWidth="1"/>
    <col min="9735" max="9735" width="5.33203125" style="232" customWidth="1"/>
    <col min="9736" max="9737" width="3.77734375" style="232" customWidth="1"/>
    <col min="9738" max="9738" width="6.5546875" style="232" bestFit="1" customWidth="1"/>
    <col min="9739" max="9739" width="3.77734375" style="232" customWidth="1"/>
    <col min="9740" max="9740" width="5.77734375" style="232" customWidth="1"/>
    <col min="9741" max="9744" width="3.77734375" style="232" customWidth="1"/>
    <col min="9745" max="9745" width="5.77734375" style="232" bestFit="1" customWidth="1"/>
    <col min="9746" max="9749" width="3.77734375" style="232" customWidth="1"/>
    <col min="9750" max="9750" width="4.88671875" style="232" bestFit="1" customWidth="1"/>
    <col min="9751" max="9758" width="3.77734375" style="232" customWidth="1"/>
    <col min="9759" max="9759" width="7.77734375" style="232" customWidth="1"/>
    <col min="9760" max="9760" width="4.88671875" style="232" customWidth="1"/>
    <col min="9761" max="9761" width="3" style="232" customWidth="1"/>
    <col min="9762" max="9762" width="5.77734375" style="232" customWidth="1"/>
    <col min="9763" max="9763" width="4.109375" style="232" customWidth="1"/>
    <col min="9764" max="9765" width="8.88671875" style="232"/>
    <col min="9766" max="9766" width="9.109375" style="232" bestFit="1" customWidth="1"/>
    <col min="9767" max="9984" width="8.88671875" style="232"/>
    <col min="9985" max="9985" width="4" style="232" customWidth="1"/>
    <col min="9986" max="9986" width="7.109375" style="232" customWidth="1"/>
    <col min="9987" max="9987" width="7.77734375" style="232" customWidth="1"/>
    <col min="9988" max="9988" width="3.77734375" style="232" customWidth="1"/>
    <col min="9989" max="9989" width="5.44140625" style="232" customWidth="1"/>
    <col min="9990" max="9990" width="3.77734375" style="232" customWidth="1"/>
    <col min="9991" max="9991" width="5.33203125" style="232" customWidth="1"/>
    <col min="9992" max="9993" width="3.77734375" style="232" customWidth="1"/>
    <col min="9994" max="9994" width="6.5546875" style="232" bestFit="1" customWidth="1"/>
    <col min="9995" max="9995" width="3.77734375" style="232" customWidth="1"/>
    <col min="9996" max="9996" width="5.77734375" style="232" customWidth="1"/>
    <col min="9997" max="10000" width="3.77734375" style="232" customWidth="1"/>
    <col min="10001" max="10001" width="5.77734375" style="232" bestFit="1" customWidth="1"/>
    <col min="10002" max="10005" width="3.77734375" style="232" customWidth="1"/>
    <col min="10006" max="10006" width="4.88671875" style="232" bestFit="1" customWidth="1"/>
    <col min="10007" max="10014" width="3.77734375" style="232" customWidth="1"/>
    <col min="10015" max="10015" width="7.77734375" style="232" customWidth="1"/>
    <col min="10016" max="10016" width="4.88671875" style="232" customWidth="1"/>
    <col min="10017" max="10017" width="3" style="232" customWidth="1"/>
    <col min="10018" max="10018" width="5.77734375" style="232" customWidth="1"/>
    <col min="10019" max="10019" width="4.109375" style="232" customWidth="1"/>
    <col min="10020" max="10021" width="8.88671875" style="232"/>
    <col min="10022" max="10022" width="9.109375" style="232" bestFit="1" customWidth="1"/>
    <col min="10023" max="10240" width="8.88671875" style="232"/>
    <col min="10241" max="10241" width="4" style="232" customWidth="1"/>
    <col min="10242" max="10242" width="7.109375" style="232" customWidth="1"/>
    <col min="10243" max="10243" width="7.77734375" style="232" customWidth="1"/>
    <col min="10244" max="10244" width="3.77734375" style="232" customWidth="1"/>
    <col min="10245" max="10245" width="5.44140625" style="232" customWidth="1"/>
    <col min="10246" max="10246" width="3.77734375" style="232" customWidth="1"/>
    <col min="10247" max="10247" width="5.33203125" style="232" customWidth="1"/>
    <col min="10248" max="10249" width="3.77734375" style="232" customWidth="1"/>
    <col min="10250" max="10250" width="6.5546875" style="232" bestFit="1" customWidth="1"/>
    <col min="10251" max="10251" width="3.77734375" style="232" customWidth="1"/>
    <col min="10252" max="10252" width="5.77734375" style="232" customWidth="1"/>
    <col min="10253" max="10256" width="3.77734375" style="232" customWidth="1"/>
    <col min="10257" max="10257" width="5.77734375" style="232" bestFit="1" customWidth="1"/>
    <col min="10258" max="10261" width="3.77734375" style="232" customWidth="1"/>
    <col min="10262" max="10262" width="4.88671875" style="232" bestFit="1" customWidth="1"/>
    <col min="10263" max="10270" width="3.77734375" style="232" customWidth="1"/>
    <col min="10271" max="10271" width="7.77734375" style="232" customWidth="1"/>
    <col min="10272" max="10272" width="4.88671875" style="232" customWidth="1"/>
    <col min="10273" max="10273" width="3" style="232" customWidth="1"/>
    <col min="10274" max="10274" width="5.77734375" style="232" customWidth="1"/>
    <col min="10275" max="10275" width="4.109375" style="232" customWidth="1"/>
    <col min="10276" max="10277" width="8.88671875" style="232"/>
    <col min="10278" max="10278" width="9.109375" style="232" bestFit="1" customWidth="1"/>
    <col min="10279" max="10496" width="8.88671875" style="232"/>
    <col min="10497" max="10497" width="4" style="232" customWidth="1"/>
    <col min="10498" max="10498" width="7.109375" style="232" customWidth="1"/>
    <col min="10499" max="10499" width="7.77734375" style="232" customWidth="1"/>
    <col min="10500" max="10500" width="3.77734375" style="232" customWidth="1"/>
    <col min="10501" max="10501" width="5.44140625" style="232" customWidth="1"/>
    <col min="10502" max="10502" width="3.77734375" style="232" customWidth="1"/>
    <col min="10503" max="10503" width="5.33203125" style="232" customWidth="1"/>
    <col min="10504" max="10505" width="3.77734375" style="232" customWidth="1"/>
    <col min="10506" max="10506" width="6.5546875" style="232" bestFit="1" customWidth="1"/>
    <col min="10507" max="10507" width="3.77734375" style="232" customWidth="1"/>
    <col min="10508" max="10508" width="5.77734375" style="232" customWidth="1"/>
    <col min="10509" max="10512" width="3.77734375" style="232" customWidth="1"/>
    <col min="10513" max="10513" width="5.77734375" style="232" bestFit="1" customWidth="1"/>
    <col min="10514" max="10517" width="3.77734375" style="232" customWidth="1"/>
    <col min="10518" max="10518" width="4.88671875" style="232" bestFit="1" customWidth="1"/>
    <col min="10519" max="10526" width="3.77734375" style="232" customWidth="1"/>
    <col min="10527" max="10527" width="7.77734375" style="232" customWidth="1"/>
    <col min="10528" max="10528" width="4.88671875" style="232" customWidth="1"/>
    <col min="10529" max="10529" width="3" style="232" customWidth="1"/>
    <col min="10530" max="10530" width="5.77734375" style="232" customWidth="1"/>
    <col min="10531" max="10531" width="4.109375" style="232" customWidth="1"/>
    <col min="10532" max="10533" width="8.88671875" style="232"/>
    <col min="10534" max="10534" width="9.109375" style="232" bestFit="1" customWidth="1"/>
    <col min="10535" max="10752" width="8.88671875" style="232"/>
    <col min="10753" max="10753" width="4" style="232" customWidth="1"/>
    <col min="10754" max="10754" width="7.109375" style="232" customWidth="1"/>
    <col min="10755" max="10755" width="7.77734375" style="232" customWidth="1"/>
    <col min="10756" max="10756" width="3.77734375" style="232" customWidth="1"/>
    <col min="10757" max="10757" width="5.44140625" style="232" customWidth="1"/>
    <col min="10758" max="10758" width="3.77734375" style="232" customWidth="1"/>
    <col min="10759" max="10759" width="5.33203125" style="232" customWidth="1"/>
    <col min="10760" max="10761" width="3.77734375" style="232" customWidth="1"/>
    <col min="10762" max="10762" width="6.5546875" style="232" bestFit="1" customWidth="1"/>
    <col min="10763" max="10763" width="3.77734375" style="232" customWidth="1"/>
    <col min="10764" max="10764" width="5.77734375" style="232" customWidth="1"/>
    <col min="10765" max="10768" width="3.77734375" style="232" customWidth="1"/>
    <col min="10769" max="10769" width="5.77734375" style="232" bestFit="1" customWidth="1"/>
    <col min="10770" max="10773" width="3.77734375" style="232" customWidth="1"/>
    <col min="10774" max="10774" width="4.88671875" style="232" bestFit="1" customWidth="1"/>
    <col min="10775" max="10782" width="3.77734375" style="232" customWidth="1"/>
    <col min="10783" max="10783" width="7.77734375" style="232" customWidth="1"/>
    <col min="10784" max="10784" width="4.88671875" style="232" customWidth="1"/>
    <col min="10785" max="10785" width="3" style="232" customWidth="1"/>
    <col min="10786" max="10786" width="5.77734375" style="232" customWidth="1"/>
    <col min="10787" max="10787" width="4.109375" style="232" customWidth="1"/>
    <col min="10788" max="10789" width="8.88671875" style="232"/>
    <col min="10790" max="10790" width="9.109375" style="232" bestFit="1" customWidth="1"/>
    <col min="10791" max="11008" width="8.88671875" style="232"/>
    <col min="11009" max="11009" width="4" style="232" customWidth="1"/>
    <col min="11010" max="11010" width="7.109375" style="232" customWidth="1"/>
    <col min="11011" max="11011" width="7.77734375" style="232" customWidth="1"/>
    <col min="11012" max="11012" width="3.77734375" style="232" customWidth="1"/>
    <col min="11013" max="11013" width="5.44140625" style="232" customWidth="1"/>
    <col min="11014" max="11014" width="3.77734375" style="232" customWidth="1"/>
    <col min="11015" max="11015" width="5.33203125" style="232" customWidth="1"/>
    <col min="11016" max="11017" width="3.77734375" style="232" customWidth="1"/>
    <col min="11018" max="11018" width="6.5546875" style="232" bestFit="1" customWidth="1"/>
    <col min="11019" max="11019" width="3.77734375" style="232" customWidth="1"/>
    <col min="11020" max="11020" width="5.77734375" style="232" customWidth="1"/>
    <col min="11021" max="11024" width="3.77734375" style="232" customWidth="1"/>
    <col min="11025" max="11025" width="5.77734375" style="232" bestFit="1" customWidth="1"/>
    <col min="11026" max="11029" width="3.77734375" style="232" customWidth="1"/>
    <col min="11030" max="11030" width="4.88671875" style="232" bestFit="1" customWidth="1"/>
    <col min="11031" max="11038" width="3.77734375" style="232" customWidth="1"/>
    <col min="11039" max="11039" width="7.77734375" style="232" customWidth="1"/>
    <col min="11040" max="11040" width="4.88671875" style="232" customWidth="1"/>
    <col min="11041" max="11041" width="3" style="232" customWidth="1"/>
    <col min="11042" max="11042" width="5.77734375" style="232" customWidth="1"/>
    <col min="11043" max="11043" width="4.109375" style="232" customWidth="1"/>
    <col min="11044" max="11045" width="8.88671875" style="232"/>
    <col min="11046" max="11046" width="9.109375" style="232" bestFit="1" customWidth="1"/>
    <col min="11047" max="11264" width="8.88671875" style="232"/>
    <col min="11265" max="11265" width="4" style="232" customWidth="1"/>
    <col min="11266" max="11266" width="7.109375" style="232" customWidth="1"/>
    <col min="11267" max="11267" width="7.77734375" style="232" customWidth="1"/>
    <col min="11268" max="11268" width="3.77734375" style="232" customWidth="1"/>
    <col min="11269" max="11269" width="5.44140625" style="232" customWidth="1"/>
    <col min="11270" max="11270" width="3.77734375" style="232" customWidth="1"/>
    <col min="11271" max="11271" width="5.33203125" style="232" customWidth="1"/>
    <col min="11272" max="11273" width="3.77734375" style="232" customWidth="1"/>
    <col min="11274" max="11274" width="6.5546875" style="232" bestFit="1" customWidth="1"/>
    <col min="11275" max="11275" width="3.77734375" style="232" customWidth="1"/>
    <col min="11276" max="11276" width="5.77734375" style="232" customWidth="1"/>
    <col min="11277" max="11280" width="3.77734375" style="232" customWidth="1"/>
    <col min="11281" max="11281" width="5.77734375" style="232" bestFit="1" customWidth="1"/>
    <col min="11282" max="11285" width="3.77734375" style="232" customWidth="1"/>
    <col min="11286" max="11286" width="4.88671875" style="232" bestFit="1" customWidth="1"/>
    <col min="11287" max="11294" width="3.77734375" style="232" customWidth="1"/>
    <col min="11295" max="11295" width="7.77734375" style="232" customWidth="1"/>
    <col min="11296" max="11296" width="4.88671875" style="232" customWidth="1"/>
    <col min="11297" max="11297" width="3" style="232" customWidth="1"/>
    <col min="11298" max="11298" width="5.77734375" style="232" customWidth="1"/>
    <col min="11299" max="11299" width="4.109375" style="232" customWidth="1"/>
    <col min="11300" max="11301" width="8.88671875" style="232"/>
    <col min="11302" max="11302" width="9.109375" style="232" bestFit="1" customWidth="1"/>
    <col min="11303" max="11520" width="8.88671875" style="232"/>
    <col min="11521" max="11521" width="4" style="232" customWidth="1"/>
    <col min="11522" max="11522" width="7.109375" style="232" customWidth="1"/>
    <col min="11523" max="11523" width="7.77734375" style="232" customWidth="1"/>
    <col min="11524" max="11524" width="3.77734375" style="232" customWidth="1"/>
    <col min="11525" max="11525" width="5.44140625" style="232" customWidth="1"/>
    <col min="11526" max="11526" width="3.77734375" style="232" customWidth="1"/>
    <col min="11527" max="11527" width="5.33203125" style="232" customWidth="1"/>
    <col min="11528" max="11529" width="3.77734375" style="232" customWidth="1"/>
    <col min="11530" max="11530" width="6.5546875" style="232" bestFit="1" customWidth="1"/>
    <col min="11531" max="11531" width="3.77734375" style="232" customWidth="1"/>
    <col min="11532" max="11532" width="5.77734375" style="232" customWidth="1"/>
    <col min="11533" max="11536" width="3.77734375" style="232" customWidth="1"/>
    <col min="11537" max="11537" width="5.77734375" style="232" bestFit="1" customWidth="1"/>
    <col min="11538" max="11541" width="3.77734375" style="232" customWidth="1"/>
    <col min="11542" max="11542" width="4.88671875" style="232" bestFit="1" customWidth="1"/>
    <col min="11543" max="11550" width="3.77734375" style="232" customWidth="1"/>
    <col min="11551" max="11551" width="7.77734375" style="232" customWidth="1"/>
    <col min="11552" max="11552" width="4.88671875" style="232" customWidth="1"/>
    <col min="11553" max="11553" width="3" style="232" customWidth="1"/>
    <col min="11554" max="11554" width="5.77734375" style="232" customWidth="1"/>
    <col min="11555" max="11555" width="4.109375" style="232" customWidth="1"/>
    <col min="11556" max="11557" width="8.88671875" style="232"/>
    <col min="11558" max="11558" width="9.109375" style="232" bestFit="1" customWidth="1"/>
    <col min="11559" max="11776" width="8.88671875" style="232"/>
    <col min="11777" max="11777" width="4" style="232" customWidth="1"/>
    <col min="11778" max="11778" width="7.109375" style="232" customWidth="1"/>
    <col min="11779" max="11779" width="7.77734375" style="232" customWidth="1"/>
    <col min="11780" max="11780" width="3.77734375" style="232" customWidth="1"/>
    <col min="11781" max="11781" width="5.44140625" style="232" customWidth="1"/>
    <col min="11782" max="11782" width="3.77734375" style="232" customWidth="1"/>
    <col min="11783" max="11783" width="5.33203125" style="232" customWidth="1"/>
    <col min="11784" max="11785" width="3.77734375" style="232" customWidth="1"/>
    <col min="11786" max="11786" width="6.5546875" style="232" bestFit="1" customWidth="1"/>
    <col min="11787" max="11787" width="3.77734375" style="232" customWidth="1"/>
    <col min="11788" max="11788" width="5.77734375" style="232" customWidth="1"/>
    <col min="11789" max="11792" width="3.77734375" style="232" customWidth="1"/>
    <col min="11793" max="11793" width="5.77734375" style="232" bestFit="1" customWidth="1"/>
    <col min="11794" max="11797" width="3.77734375" style="232" customWidth="1"/>
    <col min="11798" max="11798" width="4.88671875" style="232" bestFit="1" customWidth="1"/>
    <col min="11799" max="11806" width="3.77734375" style="232" customWidth="1"/>
    <col min="11807" max="11807" width="7.77734375" style="232" customWidth="1"/>
    <col min="11808" max="11808" width="4.88671875" style="232" customWidth="1"/>
    <col min="11809" max="11809" width="3" style="232" customWidth="1"/>
    <col min="11810" max="11810" width="5.77734375" style="232" customWidth="1"/>
    <col min="11811" max="11811" width="4.109375" style="232" customWidth="1"/>
    <col min="11812" max="11813" width="8.88671875" style="232"/>
    <col min="11814" max="11814" width="9.109375" style="232" bestFit="1" customWidth="1"/>
    <col min="11815" max="12032" width="8.88671875" style="232"/>
    <col min="12033" max="12033" width="4" style="232" customWidth="1"/>
    <col min="12034" max="12034" width="7.109375" style="232" customWidth="1"/>
    <col min="12035" max="12035" width="7.77734375" style="232" customWidth="1"/>
    <col min="12036" max="12036" width="3.77734375" style="232" customWidth="1"/>
    <col min="12037" max="12037" width="5.44140625" style="232" customWidth="1"/>
    <col min="12038" max="12038" width="3.77734375" style="232" customWidth="1"/>
    <col min="12039" max="12039" width="5.33203125" style="232" customWidth="1"/>
    <col min="12040" max="12041" width="3.77734375" style="232" customWidth="1"/>
    <col min="12042" max="12042" width="6.5546875" style="232" bestFit="1" customWidth="1"/>
    <col min="12043" max="12043" width="3.77734375" style="232" customWidth="1"/>
    <col min="12044" max="12044" width="5.77734375" style="232" customWidth="1"/>
    <col min="12045" max="12048" width="3.77734375" style="232" customWidth="1"/>
    <col min="12049" max="12049" width="5.77734375" style="232" bestFit="1" customWidth="1"/>
    <col min="12050" max="12053" width="3.77734375" style="232" customWidth="1"/>
    <col min="12054" max="12054" width="4.88671875" style="232" bestFit="1" customWidth="1"/>
    <col min="12055" max="12062" width="3.77734375" style="232" customWidth="1"/>
    <col min="12063" max="12063" width="7.77734375" style="232" customWidth="1"/>
    <col min="12064" max="12064" width="4.88671875" style="232" customWidth="1"/>
    <col min="12065" max="12065" width="3" style="232" customWidth="1"/>
    <col min="12066" max="12066" width="5.77734375" style="232" customWidth="1"/>
    <col min="12067" max="12067" width="4.109375" style="232" customWidth="1"/>
    <col min="12068" max="12069" width="8.88671875" style="232"/>
    <col min="12070" max="12070" width="9.109375" style="232" bestFit="1" customWidth="1"/>
    <col min="12071" max="12288" width="8.88671875" style="232"/>
    <col min="12289" max="12289" width="4" style="232" customWidth="1"/>
    <col min="12290" max="12290" width="7.109375" style="232" customWidth="1"/>
    <col min="12291" max="12291" width="7.77734375" style="232" customWidth="1"/>
    <col min="12292" max="12292" width="3.77734375" style="232" customWidth="1"/>
    <col min="12293" max="12293" width="5.44140625" style="232" customWidth="1"/>
    <col min="12294" max="12294" width="3.77734375" style="232" customWidth="1"/>
    <col min="12295" max="12295" width="5.33203125" style="232" customWidth="1"/>
    <col min="12296" max="12297" width="3.77734375" style="232" customWidth="1"/>
    <col min="12298" max="12298" width="6.5546875" style="232" bestFit="1" customWidth="1"/>
    <col min="12299" max="12299" width="3.77734375" style="232" customWidth="1"/>
    <col min="12300" max="12300" width="5.77734375" style="232" customWidth="1"/>
    <col min="12301" max="12304" width="3.77734375" style="232" customWidth="1"/>
    <col min="12305" max="12305" width="5.77734375" style="232" bestFit="1" customWidth="1"/>
    <col min="12306" max="12309" width="3.77734375" style="232" customWidth="1"/>
    <col min="12310" max="12310" width="4.88671875" style="232" bestFit="1" customWidth="1"/>
    <col min="12311" max="12318" width="3.77734375" style="232" customWidth="1"/>
    <col min="12319" max="12319" width="7.77734375" style="232" customWidth="1"/>
    <col min="12320" max="12320" width="4.88671875" style="232" customWidth="1"/>
    <col min="12321" max="12321" width="3" style="232" customWidth="1"/>
    <col min="12322" max="12322" width="5.77734375" style="232" customWidth="1"/>
    <col min="12323" max="12323" width="4.109375" style="232" customWidth="1"/>
    <col min="12324" max="12325" width="8.88671875" style="232"/>
    <col min="12326" max="12326" width="9.109375" style="232" bestFit="1" customWidth="1"/>
    <col min="12327" max="12544" width="8.88671875" style="232"/>
    <col min="12545" max="12545" width="4" style="232" customWidth="1"/>
    <col min="12546" max="12546" width="7.109375" style="232" customWidth="1"/>
    <col min="12547" max="12547" width="7.77734375" style="232" customWidth="1"/>
    <col min="12548" max="12548" width="3.77734375" style="232" customWidth="1"/>
    <col min="12549" max="12549" width="5.44140625" style="232" customWidth="1"/>
    <col min="12550" max="12550" width="3.77734375" style="232" customWidth="1"/>
    <col min="12551" max="12551" width="5.33203125" style="232" customWidth="1"/>
    <col min="12552" max="12553" width="3.77734375" style="232" customWidth="1"/>
    <col min="12554" max="12554" width="6.5546875" style="232" bestFit="1" customWidth="1"/>
    <col min="12555" max="12555" width="3.77734375" style="232" customWidth="1"/>
    <col min="12556" max="12556" width="5.77734375" style="232" customWidth="1"/>
    <col min="12557" max="12560" width="3.77734375" style="232" customWidth="1"/>
    <col min="12561" max="12561" width="5.77734375" style="232" bestFit="1" customWidth="1"/>
    <col min="12562" max="12565" width="3.77734375" style="232" customWidth="1"/>
    <col min="12566" max="12566" width="4.88671875" style="232" bestFit="1" customWidth="1"/>
    <col min="12567" max="12574" width="3.77734375" style="232" customWidth="1"/>
    <col min="12575" max="12575" width="7.77734375" style="232" customWidth="1"/>
    <col min="12576" max="12576" width="4.88671875" style="232" customWidth="1"/>
    <col min="12577" max="12577" width="3" style="232" customWidth="1"/>
    <col min="12578" max="12578" width="5.77734375" style="232" customWidth="1"/>
    <col min="12579" max="12579" width="4.109375" style="232" customWidth="1"/>
    <col min="12580" max="12581" width="8.88671875" style="232"/>
    <col min="12582" max="12582" width="9.109375" style="232" bestFit="1" customWidth="1"/>
    <col min="12583" max="12800" width="8.88671875" style="232"/>
    <col min="12801" max="12801" width="4" style="232" customWidth="1"/>
    <col min="12802" max="12802" width="7.109375" style="232" customWidth="1"/>
    <col min="12803" max="12803" width="7.77734375" style="232" customWidth="1"/>
    <col min="12804" max="12804" width="3.77734375" style="232" customWidth="1"/>
    <col min="12805" max="12805" width="5.44140625" style="232" customWidth="1"/>
    <col min="12806" max="12806" width="3.77734375" style="232" customWidth="1"/>
    <col min="12807" max="12807" width="5.33203125" style="232" customWidth="1"/>
    <col min="12808" max="12809" width="3.77734375" style="232" customWidth="1"/>
    <col min="12810" max="12810" width="6.5546875" style="232" bestFit="1" customWidth="1"/>
    <col min="12811" max="12811" width="3.77734375" style="232" customWidth="1"/>
    <col min="12812" max="12812" width="5.77734375" style="232" customWidth="1"/>
    <col min="12813" max="12816" width="3.77734375" style="232" customWidth="1"/>
    <col min="12817" max="12817" width="5.77734375" style="232" bestFit="1" customWidth="1"/>
    <col min="12818" max="12821" width="3.77734375" style="232" customWidth="1"/>
    <col min="12822" max="12822" width="4.88671875" style="232" bestFit="1" customWidth="1"/>
    <col min="12823" max="12830" width="3.77734375" style="232" customWidth="1"/>
    <col min="12831" max="12831" width="7.77734375" style="232" customWidth="1"/>
    <col min="12832" max="12832" width="4.88671875" style="232" customWidth="1"/>
    <col min="12833" max="12833" width="3" style="232" customWidth="1"/>
    <col min="12834" max="12834" width="5.77734375" style="232" customWidth="1"/>
    <col min="12835" max="12835" width="4.109375" style="232" customWidth="1"/>
    <col min="12836" max="12837" width="8.88671875" style="232"/>
    <col min="12838" max="12838" width="9.109375" style="232" bestFit="1" customWidth="1"/>
    <col min="12839" max="13056" width="8.88671875" style="232"/>
    <col min="13057" max="13057" width="4" style="232" customWidth="1"/>
    <col min="13058" max="13058" width="7.109375" style="232" customWidth="1"/>
    <col min="13059" max="13059" width="7.77734375" style="232" customWidth="1"/>
    <col min="13060" max="13060" width="3.77734375" style="232" customWidth="1"/>
    <col min="13061" max="13061" width="5.44140625" style="232" customWidth="1"/>
    <col min="13062" max="13062" width="3.77734375" style="232" customWidth="1"/>
    <col min="13063" max="13063" width="5.33203125" style="232" customWidth="1"/>
    <col min="13064" max="13065" width="3.77734375" style="232" customWidth="1"/>
    <col min="13066" max="13066" width="6.5546875" style="232" bestFit="1" customWidth="1"/>
    <col min="13067" max="13067" width="3.77734375" style="232" customWidth="1"/>
    <col min="13068" max="13068" width="5.77734375" style="232" customWidth="1"/>
    <col min="13069" max="13072" width="3.77734375" style="232" customWidth="1"/>
    <col min="13073" max="13073" width="5.77734375" style="232" bestFit="1" customWidth="1"/>
    <col min="13074" max="13077" width="3.77734375" style="232" customWidth="1"/>
    <col min="13078" max="13078" width="4.88671875" style="232" bestFit="1" customWidth="1"/>
    <col min="13079" max="13086" width="3.77734375" style="232" customWidth="1"/>
    <col min="13087" max="13087" width="7.77734375" style="232" customWidth="1"/>
    <col min="13088" max="13088" width="4.88671875" style="232" customWidth="1"/>
    <col min="13089" max="13089" width="3" style="232" customWidth="1"/>
    <col min="13090" max="13090" width="5.77734375" style="232" customWidth="1"/>
    <col min="13091" max="13091" width="4.109375" style="232" customWidth="1"/>
    <col min="13092" max="13093" width="8.88671875" style="232"/>
    <col min="13094" max="13094" width="9.109375" style="232" bestFit="1" customWidth="1"/>
    <col min="13095" max="13312" width="8.88671875" style="232"/>
    <col min="13313" max="13313" width="4" style="232" customWidth="1"/>
    <col min="13314" max="13314" width="7.109375" style="232" customWidth="1"/>
    <col min="13315" max="13315" width="7.77734375" style="232" customWidth="1"/>
    <col min="13316" max="13316" width="3.77734375" style="232" customWidth="1"/>
    <col min="13317" max="13317" width="5.44140625" style="232" customWidth="1"/>
    <col min="13318" max="13318" width="3.77734375" style="232" customWidth="1"/>
    <col min="13319" max="13319" width="5.33203125" style="232" customWidth="1"/>
    <col min="13320" max="13321" width="3.77734375" style="232" customWidth="1"/>
    <col min="13322" max="13322" width="6.5546875" style="232" bestFit="1" customWidth="1"/>
    <col min="13323" max="13323" width="3.77734375" style="232" customWidth="1"/>
    <col min="13324" max="13324" width="5.77734375" style="232" customWidth="1"/>
    <col min="13325" max="13328" width="3.77734375" style="232" customWidth="1"/>
    <col min="13329" max="13329" width="5.77734375" style="232" bestFit="1" customWidth="1"/>
    <col min="13330" max="13333" width="3.77734375" style="232" customWidth="1"/>
    <col min="13334" max="13334" width="4.88671875" style="232" bestFit="1" customWidth="1"/>
    <col min="13335" max="13342" width="3.77734375" style="232" customWidth="1"/>
    <col min="13343" max="13343" width="7.77734375" style="232" customWidth="1"/>
    <col min="13344" max="13344" width="4.88671875" style="232" customWidth="1"/>
    <col min="13345" max="13345" width="3" style="232" customWidth="1"/>
    <col min="13346" max="13346" width="5.77734375" style="232" customWidth="1"/>
    <col min="13347" max="13347" width="4.109375" style="232" customWidth="1"/>
    <col min="13348" max="13349" width="8.88671875" style="232"/>
    <col min="13350" max="13350" width="9.109375" style="232" bestFit="1" customWidth="1"/>
    <col min="13351" max="13568" width="8.88671875" style="232"/>
    <col min="13569" max="13569" width="4" style="232" customWidth="1"/>
    <col min="13570" max="13570" width="7.109375" style="232" customWidth="1"/>
    <col min="13571" max="13571" width="7.77734375" style="232" customWidth="1"/>
    <col min="13572" max="13572" width="3.77734375" style="232" customWidth="1"/>
    <col min="13573" max="13573" width="5.44140625" style="232" customWidth="1"/>
    <col min="13574" max="13574" width="3.77734375" style="232" customWidth="1"/>
    <col min="13575" max="13575" width="5.33203125" style="232" customWidth="1"/>
    <col min="13576" max="13577" width="3.77734375" style="232" customWidth="1"/>
    <col min="13578" max="13578" width="6.5546875" style="232" bestFit="1" customWidth="1"/>
    <col min="13579" max="13579" width="3.77734375" style="232" customWidth="1"/>
    <col min="13580" max="13580" width="5.77734375" style="232" customWidth="1"/>
    <col min="13581" max="13584" width="3.77734375" style="232" customWidth="1"/>
    <col min="13585" max="13585" width="5.77734375" style="232" bestFit="1" customWidth="1"/>
    <col min="13586" max="13589" width="3.77734375" style="232" customWidth="1"/>
    <col min="13590" max="13590" width="4.88671875" style="232" bestFit="1" customWidth="1"/>
    <col min="13591" max="13598" width="3.77734375" style="232" customWidth="1"/>
    <col min="13599" max="13599" width="7.77734375" style="232" customWidth="1"/>
    <col min="13600" max="13600" width="4.88671875" style="232" customWidth="1"/>
    <col min="13601" max="13601" width="3" style="232" customWidth="1"/>
    <col min="13602" max="13602" width="5.77734375" style="232" customWidth="1"/>
    <col min="13603" max="13603" width="4.109375" style="232" customWidth="1"/>
    <col min="13604" max="13605" width="8.88671875" style="232"/>
    <col min="13606" max="13606" width="9.109375" style="232" bestFit="1" customWidth="1"/>
    <col min="13607" max="13824" width="8.88671875" style="232"/>
    <col min="13825" max="13825" width="4" style="232" customWidth="1"/>
    <col min="13826" max="13826" width="7.109375" style="232" customWidth="1"/>
    <col min="13827" max="13827" width="7.77734375" style="232" customWidth="1"/>
    <col min="13828" max="13828" width="3.77734375" style="232" customWidth="1"/>
    <col min="13829" max="13829" width="5.44140625" style="232" customWidth="1"/>
    <col min="13830" max="13830" width="3.77734375" style="232" customWidth="1"/>
    <col min="13831" max="13831" width="5.33203125" style="232" customWidth="1"/>
    <col min="13832" max="13833" width="3.77734375" style="232" customWidth="1"/>
    <col min="13834" max="13834" width="6.5546875" style="232" bestFit="1" customWidth="1"/>
    <col min="13835" max="13835" width="3.77734375" style="232" customWidth="1"/>
    <col min="13836" max="13836" width="5.77734375" style="232" customWidth="1"/>
    <col min="13837" max="13840" width="3.77734375" style="232" customWidth="1"/>
    <col min="13841" max="13841" width="5.77734375" style="232" bestFit="1" customWidth="1"/>
    <col min="13842" max="13845" width="3.77734375" style="232" customWidth="1"/>
    <col min="13846" max="13846" width="4.88671875" style="232" bestFit="1" customWidth="1"/>
    <col min="13847" max="13854" width="3.77734375" style="232" customWidth="1"/>
    <col min="13855" max="13855" width="7.77734375" style="232" customWidth="1"/>
    <col min="13856" max="13856" width="4.88671875" style="232" customWidth="1"/>
    <col min="13857" max="13857" width="3" style="232" customWidth="1"/>
    <col min="13858" max="13858" width="5.77734375" style="232" customWidth="1"/>
    <col min="13859" max="13859" width="4.109375" style="232" customWidth="1"/>
    <col min="13860" max="13861" width="8.88671875" style="232"/>
    <col min="13862" max="13862" width="9.109375" style="232" bestFit="1" customWidth="1"/>
    <col min="13863" max="14080" width="8.88671875" style="232"/>
    <col min="14081" max="14081" width="4" style="232" customWidth="1"/>
    <col min="14082" max="14082" width="7.109375" style="232" customWidth="1"/>
    <col min="14083" max="14083" width="7.77734375" style="232" customWidth="1"/>
    <col min="14084" max="14084" width="3.77734375" style="232" customWidth="1"/>
    <col min="14085" max="14085" width="5.44140625" style="232" customWidth="1"/>
    <col min="14086" max="14086" width="3.77734375" style="232" customWidth="1"/>
    <col min="14087" max="14087" width="5.33203125" style="232" customWidth="1"/>
    <col min="14088" max="14089" width="3.77734375" style="232" customWidth="1"/>
    <col min="14090" max="14090" width="6.5546875" style="232" bestFit="1" customWidth="1"/>
    <col min="14091" max="14091" width="3.77734375" style="232" customWidth="1"/>
    <col min="14092" max="14092" width="5.77734375" style="232" customWidth="1"/>
    <col min="14093" max="14096" width="3.77734375" style="232" customWidth="1"/>
    <col min="14097" max="14097" width="5.77734375" style="232" bestFit="1" customWidth="1"/>
    <col min="14098" max="14101" width="3.77734375" style="232" customWidth="1"/>
    <col min="14102" max="14102" width="4.88671875" style="232" bestFit="1" customWidth="1"/>
    <col min="14103" max="14110" width="3.77734375" style="232" customWidth="1"/>
    <col min="14111" max="14111" width="7.77734375" style="232" customWidth="1"/>
    <col min="14112" max="14112" width="4.88671875" style="232" customWidth="1"/>
    <col min="14113" max="14113" width="3" style="232" customWidth="1"/>
    <col min="14114" max="14114" width="5.77734375" style="232" customWidth="1"/>
    <col min="14115" max="14115" width="4.109375" style="232" customWidth="1"/>
    <col min="14116" max="14117" width="8.88671875" style="232"/>
    <col min="14118" max="14118" width="9.109375" style="232" bestFit="1" customWidth="1"/>
    <col min="14119" max="14336" width="8.88671875" style="232"/>
    <col min="14337" max="14337" width="4" style="232" customWidth="1"/>
    <col min="14338" max="14338" width="7.109375" style="232" customWidth="1"/>
    <col min="14339" max="14339" width="7.77734375" style="232" customWidth="1"/>
    <col min="14340" max="14340" width="3.77734375" style="232" customWidth="1"/>
    <col min="14341" max="14341" width="5.44140625" style="232" customWidth="1"/>
    <col min="14342" max="14342" width="3.77734375" style="232" customWidth="1"/>
    <col min="14343" max="14343" width="5.33203125" style="232" customWidth="1"/>
    <col min="14344" max="14345" width="3.77734375" style="232" customWidth="1"/>
    <col min="14346" max="14346" width="6.5546875" style="232" bestFit="1" customWidth="1"/>
    <col min="14347" max="14347" width="3.77734375" style="232" customWidth="1"/>
    <col min="14348" max="14348" width="5.77734375" style="232" customWidth="1"/>
    <col min="14349" max="14352" width="3.77734375" style="232" customWidth="1"/>
    <col min="14353" max="14353" width="5.77734375" style="232" bestFit="1" customWidth="1"/>
    <col min="14354" max="14357" width="3.77734375" style="232" customWidth="1"/>
    <col min="14358" max="14358" width="4.88671875" style="232" bestFit="1" customWidth="1"/>
    <col min="14359" max="14366" width="3.77734375" style="232" customWidth="1"/>
    <col min="14367" max="14367" width="7.77734375" style="232" customWidth="1"/>
    <col min="14368" max="14368" width="4.88671875" style="232" customWidth="1"/>
    <col min="14369" max="14369" width="3" style="232" customWidth="1"/>
    <col min="14370" max="14370" width="5.77734375" style="232" customWidth="1"/>
    <col min="14371" max="14371" width="4.109375" style="232" customWidth="1"/>
    <col min="14372" max="14373" width="8.88671875" style="232"/>
    <col min="14374" max="14374" width="9.109375" style="232" bestFit="1" customWidth="1"/>
    <col min="14375" max="14592" width="8.88671875" style="232"/>
    <col min="14593" max="14593" width="4" style="232" customWidth="1"/>
    <col min="14594" max="14594" width="7.109375" style="232" customWidth="1"/>
    <col min="14595" max="14595" width="7.77734375" style="232" customWidth="1"/>
    <col min="14596" max="14596" width="3.77734375" style="232" customWidth="1"/>
    <col min="14597" max="14597" width="5.44140625" style="232" customWidth="1"/>
    <col min="14598" max="14598" width="3.77734375" style="232" customWidth="1"/>
    <col min="14599" max="14599" width="5.33203125" style="232" customWidth="1"/>
    <col min="14600" max="14601" width="3.77734375" style="232" customWidth="1"/>
    <col min="14602" max="14602" width="6.5546875" style="232" bestFit="1" customWidth="1"/>
    <col min="14603" max="14603" width="3.77734375" style="232" customWidth="1"/>
    <col min="14604" max="14604" width="5.77734375" style="232" customWidth="1"/>
    <col min="14605" max="14608" width="3.77734375" style="232" customWidth="1"/>
    <col min="14609" max="14609" width="5.77734375" style="232" bestFit="1" customWidth="1"/>
    <col min="14610" max="14613" width="3.77734375" style="232" customWidth="1"/>
    <col min="14614" max="14614" width="4.88671875" style="232" bestFit="1" customWidth="1"/>
    <col min="14615" max="14622" width="3.77734375" style="232" customWidth="1"/>
    <col min="14623" max="14623" width="7.77734375" style="232" customWidth="1"/>
    <col min="14624" max="14624" width="4.88671875" style="232" customWidth="1"/>
    <col min="14625" max="14625" width="3" style="232" customWidth="1"/>
    <col min="14626" max="14626" width="5.77734375" style="232" customWidth="1"/>
    <col min="14627" max="14627" width="4.109375" style="232" customWidth="1"/>
    <col min="14628" max="14629" width="8.88671875" style="232"/>
    <col min="14630" max="14630" width="9.109375" style="232" bestFit="1" customWidth="1"/>
    <col min="14631" max="14848" width="8.88671875" style="232"/>
    <col min="14849" max="14849" width="4" style="232" customWidth="1"/>
    <col min="14850" max="14850" width="7.109375" style="232" customWidth="1"/>
    <col min="14851" max="14851" width="7.77734375" style="232" customWidth="1"/>
    <col min="14852" max="14852" width="3.77734375" style="232" customWidth="1"/>
    <col min="14853" max="14853" width="5.44140625" style="232" customWidth="1"/>
    <col min="14854" max="14854" width="3.77734375" style="232" customWidth="1"/>
    <col min="14855" max="14855" width="5.33203125" style="232" customWidth="1"/>
    <col min="14856" max="14857" width="3.77734375" style="232" customWidth="1"/>
    <col min="14858" max="14858" width="6.5546875" style="232" bestFit="1" customWidth="1"/>
    <col min="14859" max="14859" width="3.77734375" style="232" customWidth="1"/>
    <col min="14860" max="14860" width="5.77734375" style="232" customWidth="1"/>
    <col min="14861" max="14864" width="3.77734375" style="232" customWidth="1"/>
    <col min="14865" max="14865" width="5.77734375" style="232" bestFit="1" customWidth="1"/>
    <col min="14866" max="14869" width="3.77734375" style="232" customWidth="1"/>
    <col min="14870" max="14870" width="4.88671875" style="232" bestFit="1" customWidth="1"/>
    <col min="14871" max="14878" width="3.77734375" style="232" customWidth="1"/>
    <col min="14879" max="14879" width="7.77734375" style="232" customWidth="1"/>
    <col min="14880" max="14880" width="4.88671875" style="232" customWidth="1"/>
    <col min="14881" max="14881" width="3" style="232" customWidth="1"/>
    <col min="14882" max="14882" width="5.77734375" style="232" customWidth="1"/>
    <col min="14883" max="14883" width="4.109375" style="232" customWidth="1"/>
    <col min="14884" max="14885" width="8.88671875" style="232"/>
    <col min="14886" max="14886" width="9.109375" style="232" bestFit="1" customWidth="1"/>
    <col min="14887" max="15104" width="8.88671875" style="232"/>
    <col min="15105" max="15105" width="4" style="232" customWidth="1"/>
    <col min="15106" max="15106" width="7.109375" style="232" customWidth="1"/>
    <col min="15107" max="15107" width="7.77734375" style="232" customWidth="1"/>
    <col min="15108" max="15108" width="3.77734375" style="232" customWidth="1"/>
    <col min="15109" max="15109" width="5.44140625" style="232" customWidth="1"/>
    <col min="15110" max="15110" width="3.77734375" style="232" customWidth="1"/>
    <col min="15111" max="15111" width="5.33203125" style="232" customWidth="1"/>
    <col min="15112" max="15113" width="3.77734375" style="232" customWidth="1"/>
    <col min="15114" max="15114" width="6.5546875" style="232" bestFit="1" customWidth="1"/>
    <col min="15115" max="15115" width="3.77734375" style="232" customWidth="1"/>
    <col min="15116" max="15116" width="5.77734375" style="232" customWidth="1"/>
    <col min="15117" max="15120" width="3.77734375" style="232" customWidth="1"/>
    <col min="15121" max="15121" width="5.77734375" style="232" bestFit="1" customWidth="1"/>
    <col min="15122" max="15125" width="3.77734375" style="232" customWidth="1"/>
    <col min="15126" max="15126" width="4.88671875" style="232" bestFit="1" customWidth="1"/>
    <col min="15127" max="15134" width="3.77734375" style="232" customWidth="1"/>
    <col min="15135" max="15135" width="7.77734375" style="232" customWidth="1"/>
    <col min="15136" max="15136" width="4.88671875" style="232" customWidth="1"/>
    <col min="15137" max="15137" width="3" style="232" customWidth="1"/>
    <col min="15138" max="15138" width="5.77734375" style="232" customWidth="1"/>
    <col min="15139" max="15139" width="4.109375" style="232" customWidth="1"/>
    <col min="15140" max="15141" width="8.88671875" style="232"/>
    <col min="15142" max="15142" width="9.109375" style="232" bestFit="1" customWidth="1"/>
    <col min="15143" max="15360" width="8.88671875" style="232"/>
    <col min="15361" max="15361" width="4" style="232" customWidth="1"/>
    <col min="15362" max="15362" width="7.109375" style="232" customWidth="1"/>
    <col min="15363" max="15363" width="7.77734375" style="232" customWidth="1"/>
    <col min="15364" max="15364" width="3.77734375" style="232" customWidth="1"/>
    <col min="15365" max="15365" width="5.44140625" style="232" customWidth="1"/>
    <col min="15366" max="15366" width="3.77734375" style="232" customWidth="1"/>
    <col min="15367" max="15367" width="5.33203125" style="232" customWidth="1"/>
    <col min="15368" max="15369" width="3.77734375" style="232" customWidth="1"/>
    <col min="15370" max="15370" width="6.5546875" style="232" bestFit="1" customWidth="1"/>
    <col min="15371" max="15371" width="3.77734375" style="232" customWidth="1"/>
    <col min="15372" max="15372" width="5.77734375" style="232" customWidth="1"/>
    <col min="15373" max="15376" width="3.77734375" style="232" customWidth="1"/>
    <col min="15377" max="15377" width="5.77734375" style="232" bestFit="1" customWidth="1"/>
    <col min="15378" max="15381" width="3.77734375" style="232" customWidth="1"/>
    <col min="15382" max="15382" width="4.88671875" style="232" bestFit="1" customWidth="1"/>
    <col min="15383" max="15390" width="3.77734375" style="232" customWidth="1"/>
    <col min="15391" max="15391" width="7.77734375" style="232" customWidth="1"/>
    <col min="15392" max="15392" width="4.88671875" style="232" customWidth="1"/>
    <col min="15393" max="15393" width="3" style="232" customWidth="1"/>
    <col min="15394" max="15394" width="5.77734375" style="232" customWidth="1"/>
    <col min="15395" max="15395" width="4.109375" style="232" customWidth="1"/>
    <col min="15396" max="15397" width="8.88671875" style="232"/>
    <col min="15398" max="15398" width="9.109375" style="232" bestFit="1" customWidth="1"/>
    <col min="15399" max="15616" width="8.88671875" style="232"/>
    <col min="15617" max="15617" width="4" style="232" customWidth="1"/>
    <col min="15618" max="15618" width="7.109375" style="232" customWidth="1"/>
    <col min="15619" max="15619" width="7.77734375" style="232" customWidth="1"/>
    <col min="15620" max="15620" width="3.77734375" style="232" customWidth="1"/>
    <col min="15621" max="15621" width="5.44140625" style="232" customWidth="1"/>
    <col min="15622" max="15622" width="3.77734375" style="232" customWidth="1"/>
    <col min="15623" max="15623" width="5.33203125" style="232" customWidth="1"/>
    <col min="15624" max="15625" width="3.77734375" style="232" customWidth="1"/>
    <col min="15626" max="15626" width="6.5546875" style="232" bestFit="1" customWidth="1"/>
    <col min="15627" max="15627" width="3.77734375" style="232" customWidth="1"/>
    <col min="15628" max="15628" width="5.77734375" style="232" customWidth="1"/>
    <col min="15629" max="15632" width="3.77734375" style="232" customWidth="1"/>
    <col min="15633" max="15633" width="5.77734375" style="232" bestFit="1" customWidth="1"/>
    <col min="15634" max="15637" width="3.77734375" style="232" customWidth="1"/>
    <col min="15638" max="15638" width="4.88671875" style="232" bestFit="1" customWidth="1"/>
    <col min="15639" max="15646" width="3.77734375" style="232" customWidth="1"/>
    <col min="15647" max="15647" width="7.77734375" style="232" customWidth="1"/>
    <col min="15648" max="15648" width="4.88671875" style="232" customWidth="1"/>
    <col min="15649" max="15649" width="3" style="232" customWidth="1"/>
    <col min="15650" max="15650" width="5.77734375" style="232" customWidth="1"/>
    <col min="15651" max="15651" width="4.109375" style="232" customWidth="1"/>
    <col min="15652" max="15653" width="8.88671875" style="232"/>
    <col min="15654" max="15654" width="9.109375" style="232" bestFit="1" customWidth="1"/>
    <col min="15655" max="15872" width="8.88671875" style="232"/>
    <col min="15873" max="15873" width="4" style="232" customWidth="1"/>
    <col min="15874" max="15874" width="7.109375" style="232" customWidth="1"/>
    <col min="15875" max="15875" width="7.77734375" style="232" customWidth="1"/>
    <col min="15876" max="15876" width="3.77734375" style="232" customWidth="1"/>
    <col min="15877" max="15877" width="5.44140625" style="232" customWidth="1"/>
    <col min="15878" max="15878" width="3.77734375" style="232" customWidth="1"/>
    <col min="15879" max="15879" width="5.33203125" style="232" customWidth="1"/>
    <col min="15880" max="15881" width="3.77734375" style="232" customWidth="1"/>
    <col min="15882" max="15882" width="6.5546875" style="232" bestFit="1" customWidth="1"/>
    <col min="15883" max="15883" width="3.77734375" style="232" customWidth="1"/>
    <col min="15884" max="15884" width="5.77734375" style="232" customWidth="1"/>
    <col min="15885" max="15888" width="3.77734375" style="232" customWidth="1"/>
    <col min="15889" max="15889" width="5.77734375" style="232" bestFit="1" customWidth="1"/>
    <col min="15890" max="15893" width="3.77734375" style="232" customWidth="1"/>
    <col min="15894" max="15894" width="4.88671875" style="232" bestFit="1" customWidth="1"/>
    <col min="15895" max="15902" width="3.77734375" style="232" customWidth="1"/>
    <col min="15903" max="15903" width="7.77734375" style="232" customWidth="1"/>
    <col min="15904" max="15904" width="4.88671875" style="232" customWidth="1"/>
    <col min="15905" max="15905" width="3" style="232" customWidth="1"/>
    <col min="15906" max="15906" width="5.77734375" style="232" customWidth="1"/>
    <col min="15907" max="15907" width="4.109375" style="232" customWidth="1"/>
    <col min="15908" max="15909" width="8.88671875" style="232"/>
    <col min="15910" max="15910" width="9.109375" style="232" bestFit="1" customWidth="1"/>
    <col min="15911" max="16128" width="8.88671875" style="232"/>
    <col min="16129" max="16129" width="4" style="232" customWidth="1"/>
    <col min="16130" max="16130" width="7.109375" style="232" customWidth="1"/>
    <col min="16131" max="16131" width="7.77734375" style="232" customWidth="1"/>
    <col min="16132" max="16132" width="3.77734375" style="232" customWidth="1"/>
    <col min="16133" max="16133" width="5.44140625" style="232" customWidth="1"/>
    <col min="16134" max="16134" width="3.77734375" style="232" customWidth="1"/>
    <col min="16135" max="16135" width="5.33203125" style="232" customWidth="1"/>
    <col min="16136" max="16137" width="3.77734375" style="232" customWidth="1"/>
    <col min="16138" max="16138" width="6.5546875" style="232" bestFit="1" customWidth="1"/>
    <col min="16139" max="16139" width="3.77734375" style="232" customWidth="1"/>
    <col min="16140" max="16140" width="5.77734375" style="232" customWidth="1"/>
    <col min="16141" max="16144" width="3.77734375" style="232" customWidth="1"/>
    <col min="16145" max="16145" width="5.77734375" style="232" bestFit="1" customWidth="1"/>
    <col min="16146" max="16149" width="3.77734375" style="232" customWidth="1"/>
    <col min="16150" max="16150" width="4.88671875" style="232" bestFit="1" customWidth="1"/>
    <col min="16151" max="16158" width="3.77734375" style="232" customWidth="1"/>
    <col min="16159" max="16159" width="7.77734375" style="232" customWidth="1"/>
    <col min="16160" max="16160" width="4.88671875" style="232" customWidth="1"/>
    <col min="16161" max="16161" width="3" style="232" customWidth="1"/>
    <col min="16162" max="16162" width="5.77734375" style="232" customWidth="1"/>
    <col min="16163" max="16163" width="4.109375" style="232" customWidth="1"/>
    <col min="16164" max="16165" width="8.88671875" style="232"/>
    <col min="16166" max="16166" width="9.109375" style="232" bestFit="1" customWidth="1"/>
    <col min="16167" max="16384" width="8.88671875" style="232"/>
  </cols>
  <sheetData>
    <row r="1" spans="1:40" s="208" customFormat="1" ht="45.75" customHeight="1">
      <c r="A1" s="1981" t="s">
        <v>479</v>
      </c>
      <c r="B1" s="1981"/>
      <c r="C1" s="1981"/>
      <c r="D1" s="1981"/>
      <c r="E1" s="1981"/>
      <c r="F1" s="1981"/>
      <c r="G1" s="1981"/>
      <c r="H1" s="1981"/>
      <c r="I1" s="1981"/>
      <c r="J1" s="1981"/>
      <c r="K1" s="1981"/>
      <c r="L1" s="1981"/>
      <c r="M1" s="1981"/>
      <c r="N1" s="1981"/>
      <c r="O1" s="1981"/>
      <c r="P1" s="1981"/>
      <c r="Q1" s="1981"/>
      <c r="R1" s="1981"/>
      <c r="S1" s="1981"/>
      <c r="T1" s="1981"/>
      <c r="U1" s="1981"/>
      <c r="V1" s="1981"/>
      <c r="W1" s="1981"/>
      <c r="X1" s="1981"/>
      <c r="Y1" s="1981"/>
      <c r="Z1" s="1981"/>
      <c r="AA1" s="1981"/>
      <c r="AB1" s="1981"/>
      <c r="AC1" s="1981"/>
      <c r="AD1" s="1981"/>
      <c r="AE1" s="1981"/>
      <c r="AF1" s="1981"/>
      <c r="AG1" s="1981"/>
      <c r="AH1" s="1981"/>
      <c r="AI1" s="1981"/>
    </row>
    <row r="2" spans="1:40" s="208" customFormat="1" ht="45.75" customHeight="1">
      <c r="A2" s="209"/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I2" s="211"/>
    </row>
    <row r="3" spans="1:40" s="208" customFormat="1" ht="45.75" customHeight="1">
      <c r="A3" s="212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4"/>
    </row>
    <row r="4" spans="1:40" s="208" customFormat="1" ht="45.75" customHeight="1">
      <c r="A4" s="212"/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4"/>
    </row>
    <row r="5" spans="1:40" s="208" customFormat="1" ht="45.75" customHeight="1">
      <c r="A5" s="212"/>
      <c r="B5" s="213"/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3"/>
      <c r="AH5" s="213"/>
      <c r="AI5" s="214"/>
    </row>
    <row r="6" spans="1:40" s="208" customFormat="1" ht="45.75" customHeight="1">
      <c r="A6" s="212"/>
      <c r="B6" s="213"/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3"/>
      <c r="AH6" s="213"/>
      <c r="AI6" s="214"/>
    </row>
    <row r="7" spans="1:40" s="208" customFormat="1" ht="45.75" customHeight="1">
      <c r="A7" s="212"/>
      <c r="B7" s="213"/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4"/>
    </row>
    <row r="8" spans="1:40" s="208" customFormat="1" ht="45.75" customHeigh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3"/>
      <c r="AH8" s="213"/>
      <c r="AI8" s="214"/>
    </row>
    <row r="9" spans="1:40" s="208" customFormat="1" ht="45.75" customHeight="1">
      <c r="A9" s="212"/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213"/>
      <c r="W9" s="213"/>
      <c r="X9" s="213"/>
      <c r="Y9" s="213"/>
      <c r="Z9" s="213"/>
      <c r="AA9" s="213"/>
      <c r="AB9" s="213"/>
      <c r="AC9" s="213"/>
      <c r="AD9" s="213"/>
      <c r="AE9" s="213"/>
      <c r="AF9" s="213"/>
      <c r="AG9" s="213"/>
      <c r="AH9" s="213"/>
      <c r="AI9" s="214"/>
    </row>
    <row r="10" spans="1:40" s="208" customFormat="1" ht="22.5" customHeight="1">
      <c r="A10" s="212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5" t="s">
        <v>480</v>
      </c>
      <c r="AF10" s="215" t="s">
        <v>481</v>
      </c>
      <c r="AG10" s="1982">
        <f>'유입부 하부잡석포설산출조서'!C26</f>
        <v>23</v>
      </c>
      <c r="AH10" s="1982"/>
      <c r="AI10" s="214"/>
      <c r="AK10" s="208" t="s">
        <v>482</v>
      </c>
      <c r="AL10" s="208">
        <v>0.3</v>
      </c>
    </row>
    <row r="11" spans="1:40" s="208" customFormat="1" ht="22.5" customHeight="1">
      <c r="A11" s="212"/>
      <c r="B11" s="213"/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5" t="s">
        <v>483</v>
      </c>
      <c r="AF11" s="215" t="s">
        <v>481</v>
      </c>
      <c r="AG11" s="1983">
        <f>'유입부 하부잡석포설산출조서'!D26</f>
        <v>256.52173913043481</v>
      </c>
      <c r="AH11" s="1983"/>
      <c r="AI11" s="214"/>
      <c r="AK11" s="208" t="s">
        <v>484</v>
      </c>
      <c r="AL11" s="208">
        <f>(AG11*0.45)</f>
        <v>115.43478260869567</v>
      </c>
      <c r="AN11" s="208">
        <f>(AG12*0.3)*2</f>
        <v>0.26843478260869547</v>
      </c>
    </row>
    <row r="12" spans="1:40" s="208" customFormat="1" ht="22.5" customHeight="1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5" t="s">
        <v>485</v>
      </c>
      <c r="AF12" s="215" t="s">
        <v>481</v>
      </c>
      <c r="AG12" s="1984">
        <f>'유입부 하부잡석포설산출조서'!J26</f>
        <v>0.44739130434782581</v>
      </c>
      <c r="AH12" s="1984"/>
      <c r="AI12" s="214"/>
      <c r="AK12" s="208" t="s">
        <v>486</v>
      </c>
    </row>
    <row r="13" spans="1:40" s="219" customFormat="1" ht="20.100000000000001" customHeight="1">
      <c r="A13" s="216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 t="s">
        <v>136</v>
      </c>
      <c r="AI13" s="218"/>
    </row>
    <row r="14" spans="1:40" s="219" customFormat="1" ht="33" customHeight="1">
      <c r="A14" s="1985" t="s">
        <v>137</v>
      </c>
      <c r="B14" s="1986"/>
      <c r="C14" s="1987"/>
      <c r="D14" s="1988" t="s">
        <v>487</v>
      </c>
      <c r="E14" s="1986"/>
      <c r="F14" s="1986"/>
      <c r="G14" s="1986"/>
      <c r="H14" s="1986"/>
      <c r="I14" s="1986"/>
      <c r="J14" s="1986"/>
      <c r="K14" s="1986"/>
      <c r="L14" s="1986"/>
      <c r="M14" s="1986"/>
      <c r="N14" s="1986"/>
      <c r="O14" s="1986"/>
      <c r="P14" s="1986"/>
      <c r="Q14" s="1986"/>
      <c r="R14" s="1986"/>
      <c r="S14" s="1986"/>
      <c r="T14" s="1986"/>
      <c r="U14" s="1986"/>
      <c r="V14" s="1986"/>
      <c r="W14" s="1986"/>
      <c r="X14" s="1986"/>
      <c r="Y14" s="1986"/>
      <c r="Z14" s="1986"/>
      <c r="AA14" s="1986"/>
      <c r="AB14" s="1986"/>
      <c r="AC14" s="1986"/>
      <c r="AD14" s="1987"/>
      <c r="AE14" s="1989" t="s">
        <v>139</v>
      </c>
      <c r="AF14" s="1989"/>
      <c r="AG14" s="1989" t="s">
        <v>140</v>
      </c>
      <c r="AH14" s="1989"/>
      <c r="AI14" s="1990"/>
    </row>
    <row r="15" spans="1:40" s="219" customFormat="1" ht="50.1" customHeight="1">
      <c r="A15" s="1991" t="s">
        <v>242</v>
      </c>
      <c r="B15" s="1992"/>
      <c r="C15" s="1993"/>
      <c r="D15" s="220" t="s">
        <v>488</v>
      </c>
      <c r="E15" s="221">
        <f>AG11/1000</f>
        <v>0.2565217391304348</v>
      </c>
      <c r="F15" s="220" t="s">
        <v>489</v>
      </c>
      <c r="G15" s="221">
        <f>450/1000</f>
        <v>0.45</v>
      </c>
      <c r="H15" s="220" t="s">
        <v>490</v>
      </c>
      <c r="I15" s="220"/>
      <c r="J15" s="220"/>
      <c r="K15" s="220"/>
      <c r="L15" s="220"/>
      <c r="M15" s="220"/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 t="s">
        <v>17</v>
      </c>
      <c r="AB15" s="2000">
        <f>(E15*G15)</f>
        <v>0.11543478260869566</v>
      </c>
      <c r="AC15" s="2000"/>
      <c r="AD15" s="2001"/>
      <c r="AE15" s="222">
        <f>AB15</f>
        <v>0.11543478260869566</v>
      </c>
      <c r="AF15" s="223" t="s">
        <v>128</v>
      </c>
      <c r="AG15" s="2002"/>
      <c r="AH15" s="2002"/>
      <c r="AI15" s="2003"/>
    </row>
    <row r="16" spans="1:40" s="219" customFormat="1" ht="50.1" customHeight="1">
      <c r="A16" s="1994"/>
      <c r="B16" s="1995"/>
      <c r="C16" s="1996"/>
      <c r="D16" s="220" t="s">
        <v>488</v>
      </c>
      <c r="E16" s="221">
        <f>AG11/1000</f>
        <v>0.2565217391304348</v>
      </c>
      <c r="F16" s="220" t="s">
        <v>491</v>
      </c>
      <c r="G16" s="220" t="s">
        <v>492</v>
      </c>
      <c r="H16" s="220">
        <f>AL10</f>
        <v>0.3</v>
      </c>
      <c r="I16" s="220" t="s">
        <v>489</v>
      </c>
      <c r="J16" s="224">
        <f>AG12</f>
        <v>0.44739130434782581</v>
      </c>
      <c r="K16" s="220" t="s">
        <v>490</v>
      </c>
      <c r="L16" s="220" t="s">
        <v>489</v>
      </c>
      <c r="M16" s="220">
        <v>2</v>
      </c>
      <c r="N16" s="220" t="s">
        <v>493</v>
      </c>
      <c r="O16" s="220" t="s">
        <v>489</v>
      </c>
      <c r="P16" s="220" t="s">
        <v>488</v>
      </c>
      <c r="Q16" s="221">
        <f>450/1000</f>
        <v>0.45</v>
      </c>
      <c r="R16" s="220" t="s">
        <v>491</v>
      </c>
      <c r="S16" s="220" t="s">
        <v>492</v>
      </c>
      <c r="T16" s="220">
        <f>AL10</f>
        <v>0.3</v>
      </c>
      <c r="U16" s="220" t="s">
        <v>489</v>
      </c>
      <c r="V16" s="224">
        <f>AG12</f>
        <v>0.44739130434782581</v>
      </c>
      <c r="W16" s="220" t="s">
        <v>490</v>
      </c>
      <c r="X16" s="220" t="s">
        <v>489</v>
      </c>
      <c r="Y16" s="220">
        <v>2</v>
      </c>
      <c r="Z16" s="220" t="s">
        <v>493</v>
      </c>
      <c r="AA16" s="220" t="s">
        <v>17</v>
      </c>
      <c r="AB16" s="2004">
        <f>(E16+((H16*J16)*M16))*(Q16+((T16*V16)*Y16))</f>
        <v>0.37714702457466898</v>
      </c>
      <c r="AC16" s="2004"/>
      <c r="AD16" s="2005"/>
      <c r="AE16" s="225">
        <f>AB16</f>
        <v>0.37714702457466898</v>
      </c>
      <c r="AF16" s="223" t="s">
        <v>128</v>
      </c>
      <c r="AG16" s="2002"/>
      <c r="AH16" s="2002"/>
      <c r="AI16" s="2003"/>
    </row>
    <row r="17" spans="1:35" s="219" customFormat="1" ht="50.1" customHeight="1">
      <c r="A17" s="1997"/>
      <c r="B17" s="1998"/>
      <c r="C17" s="1999"/>
      <c r="D17" s="226" t="s">
        <v>488</v>
      </c>
      <c r="E17" s="227">
        <f>AB15</f>
        <v>0.11543478260869566</v>
      </c>
      <c r="F17" s="226" t="s">
        <v>491</v>
      </c>
      <c r="G17" s="228">
        <f>AB16</f>
        <v>0.37714702457466898</v>
      </c>
      <c r="H17" s="226" t="s">
        <v>490</v>
      </c>
      <c r="I17" s="226" t="s">
        <v>489</v>
      </c>
      <c r="J17" s="226">
        <v>0.5</v>
      </c>
      <c r="K17" s="226" t="s">
        <v>489</v>
      </c>
      <c r="L17" s="229">
        <f>AG12</f>
        <v>0.44739130434782581</v>
      </c>
      <c r="M17" s="226"/>
      <c r="N17" s="226"/>
      <c r="O17" s="226"/>
      <c r="P17" s="226"/>
      <c r="Q17" s="226"/>
      <c r="R17" s="226"/>
      <c r="S17" s="226"/>
      <c r="T17" s="226"/>
      <c r="U17" s="226"/>
      <c r="V17" s="226"/>
      <c r="W17" s="226"/>
      <c r="X17" s="226"/>
      <c r="Y17" s="226"/>
      <c r="Z17" s="226"/>
      <c r="AA17" s="226" t="s">
        <v>17</v>
      </c>
      <c r="AB17" s="2006">
        <f>(E17+G17)*J17*L17</f>
        <v>0.11018840860688738</v>
      </c>
      <c r="AC17" s="2006"/>
      <c r="AD17" s="2007"/>
      <c r="AE17" s="230">
        <f>AB17</f>
        <v>0.11018840860688738</v>
      </c>
      <c r="AF17" s="231" t="s">
        <v>128</v>
      </c>
      <c r="AG17" s="2008"/>
      <c r="AH17" s="2008"/>
      <c r="AI17" s="1980"/>
    </row>
    <row r="20" spans="1:35" ht="21.75" customHeight="1">
      <c r="E20" s="232">
        <f>0.646*0.45</f>
        <v>0.29070000000000001</v>
      </c>
    </row>
    <row r="332" spans="2:9" ht="21.75" customHeight="1">
      <c r="B332" s="232" t="s">
        <v>494</v>
      </c>
      <c r="C332" s="232">
        <v>450</v>
      </c>
      <c r="D332" s="232">
        <v>800</v>
      </c>
      <c r="H332" s="232">
        <v>55.28</v>
      </c>
      <c r="I332" s="232">
        <v>55.28</v>
      </c>
    </row>
    <row r="333" spans="2:9" ht="21.75" customHeight="1">
      <c r="B333" s="232" t="s">
        <v>494</v>
      </c>
      <c r="C333" s="232">
        <v>700</v>
      </c>
      <c r="D333" s="232">
        <v>800</v>
      </c>
      <c r="H333" s="232">
        <v>55.84</v>
      </c>
      <c r="I333" s="232">
        <v>55.84</v>
      </c>
    </row>
    <row r="338" spans="3:9" ht="24" customHeight="1"/>
    <row r="340" spans="3:9" ht="21.75" customHeight="1">
      <c r="C340" s="232">
        <v>450</v>
      </c>
      <c r="D340" s="232">
        <v>450</v>
      </c>
      <c r="H340" s="232">
        <v>76.97</v>
      </c>
      <c r="I340" s="232">
        <v>76.97</v>
      </c>
    </row>
    <row r="387" spans="3:10" ht="21.75" customHeight="1">
      <c r="C387" s="232">
        <v>450</v>
      </c>
      <c r="D387" s="232">
        <v>450</v>
      </c>
      <c r="H387" s="232">
        <v>64.91</v>
      </c>
      <c r="I387" s="232">
        <v>64.91</v>
      </c>
      <c r="J387" s="232">
        <v>64.400000000000006</v>
      </c>
    </row>
    <row r="388" spans="3:10" ht="21.75" customHeight="1">
      <c r="C388" s="232">
        <v>450</v>
      </c>
      <c r="D388" s="232">
        <v>450</v>
      </c>
      <c r="H388" s="232">
        <v>64.81</v>
      </c>
      <c r="I388" s="232">
        <v>64.81</v>
      </c>
      <c r="J388" s="232">
        <v>64.400000000000006</v>
      </c>
    </row>
    <row r="435" spans="3:10" ht="21.75" customHeight="1">
      <c r="C435" s="232">
        <v>450</v>
      </c>
      <c r="D435" s="232">
        <v>500</v>
      </c>
      <c r="H435" s="232">
        <v>57.68</v>
      </c>
      <c r="I435" s="232">
        <v>57.68</v>
      </c>
      <c r="J435" s="232">
        <v>57.53</v>
      </c>
    </row>
    <row r="436" spans="3:10" ht="21.75" customHeight="1">
      <c r="C436" s="232">
        <v>450</v>
      </c>
      <c r="D436" s="232">
        <v>500</v>
      </c>
      <c r="H436" s="232">
        <v>57.58</v>
      </c>
      <c r="I436" s="232">
        <v>57.58</v>
      </c>
      <c r="J436" s="232">
        <v>57.53</v>
      </c>
    </row>
  </sheetData>
  <mergeCells count="15">
    <mergeCell ref="A15:C17"/>
    <mergeCell ref="AB15:AD15"/>
    <mergeCell ref="AG15:AI15"/>
    <mergeCell ref="AB16:AD16"/>
    <mergeCell ref="AG16:AI16"/>
    <mergeCell ref="AB17:AD17"/>
    <mergeCell ref="AG17:AI17"/>
    <mergeCell ref="A1:AI1"/>
    <mergeCell ref="AG10:AH10"/>
    <mergeCell ref="AG11:AH11"/>
    <mergeCell ref="AG12:AH12"/>
    <mergeCell ref="A14:C14"/>
    <mergeCell ref="D14:AD14"/>
    <mergeCell ref="AE14:AF14"/>
    <mergeCell ref="AG14:AI14"/>
  </mergeCells>
  <phoneticPr fontId="13" type="noConversion"/>
  <printOptions horizontalCentered="1"/>
  <pageMargins left="0.59055118110236227" right="0.59055118110236227" top="0.78740157480314965" bottom="0.78740157480314965" header="0.51181102362204722" footer="0.51181102362204722"/>
  <pageSetup paperSize="9" scale="67" orientation="landscape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L26"/>
  <sheetViews>
    <sheetView workbookViewId="0">
      <selection sqref="A1:A2"/>
    </sheetView>
  </sheetViews>
  <sheetFormatPr defaultRowHeight="10.5"/>
  <cols>
    <col min="1" max="1" width="9.88671875" style="234" bestFit="1" customWidth="1"/>
    <col min="2" max="2" width="8.88671875" style="234"/>
    <col min="3" max="3" width="5.88671875" style="234" customWidth="1"/>
    <col min="4" max="5" width="6.77734375" style="234" customWidth="1"/>
    <col min="6" max="6" width="8.88671875" style="234"/>
    <col min="7" max="7" width="8.88671875" style="251"/>
    <col min="8" max="10" width="6.77734375" style="234" customWidth="1"/>
    <col min="11" max="11" width="6.44140625" style="234" customWidth="1"/>
    <col min="12" max="12" width="4.109375" style="234" customWidth="1"/>
    <col min="13" max="256" width="8.88671875" style="234"/>
    <col min="257" max="257" width="9.88671875" style="234" bestFit="1" customWidth="1"/>
    <col min="258" max="258" width="8.88671875" style="234"/>
    <col min="259" max="259" width="5.88671875" style="234" customWidth="1"/>
    <col min="260" max="261" width="6.77734375" style="234" customWidth="1"/>
    <col min="262" max="263" width="8.88671875" style="234"/>
    <col min="264" max="266" width="6.77734375" style="234" customWidth="1"/>
    <col min="267" max="267" width="6.44140625" style="234" customWidth="1"/>
    <col min="268" max="268" width="4.109375" style="234" customWidth="1"/>
    <col min="269" max="512" width="8.88671875" style="234"/>
    <col min="513" max="513" width="9.88671875" style="234" bestFit="1" customWidth="1"/>
    <col min="514" max="514" width="8.88671875" style="234"/>
    <col min="515" max="515" width="5.88671875" style="234" customWidth="1"/>
    <col min="516" max="517" width="6.77734375" style="234" customWidth="1"/>
    <col min="518" max="519" width="8.88671875" style="234"/>
    <col min="520" max="522" width="6.77734375" style="234" customWidth="1"/>
    <col min="523" max="523" width="6.44140625" style="234" customWidth="1"/>
    <col min="524" max="524" width="4.109375" style="234" customWidth="1"/>
    <col min="525" max="768" width="8.88671875" style="234"/>
    <col min="769" max="769" width="9.88671875" style="234" bestFit="1" customWidth="1"/>
    <col min="770" max="770" width="8.88671875" style="234"/>
    <col min="771" max="771" width="5.88671875" style="234" customWidth="1"/>
    <col min="772" max="773" width="6.77734375" style="234" customWidth="1"/>
    <col min="774" max="775" width="8.88671875" style="234"/>
    <col min="776" max="778" width="6.77734375" style="234" customWidth="1"/>
    <col min="779" max="779" width="6.44140625" style="234" customWidth="1"/>
    <col min="780" max="780" width="4.109375" style="234" customWidth="1"/>
    <col min="781" max="1024" width="8.88671875" style="234"/>
    <col min="1025" max="1025" width="9.88671875" style="234" bestFit="1" customWidth="1"/>
    <col min="1026" max="1026" width="8.88671875" style="234"/>
    <col min="1027" max="1027" width="5.88671875" style="234" customWidth="1"/>
    <col min="1028" max="1029" width="6.77734375" style="234" customWidth="1"/>
    <col min="1030" max="1031" width="8.88671875" style="234"/>
    <col min="1032" max="1034" width="6.77734375" style="234" customWidth="1"/>
    <col min="1035" max="1035" width="6.44140625" style="234" customWidth="1"/>
    <col min="1036" max="1036" width="4.109375" style="234" customWidth="1"/>
    <col min="1037" max="1280" width="8.88671875" style="234"/>
    <col min="1281" max="1281" width="9.88671875" style="234" bestFit="1" customWidth="1"/>
    <col min="1282" max="1282" width="8.88671875" style="234"/>
    <col min="1283" max="1283" width="5.88671875" style="234" customWidth="1"/>
    <col min="1284" max="1285" width="6.77734375" style="234" customWidth="1"/>
    <col min="1286" max="1287" width="8.88671875" style="234"/>
    <col min="1288" max="1290" width="6.77734375" style="234" customWidth="1"/>
    <col min="1291" max="1291" width="6.44140625" style="234" customWidth="1"/>
    <col min="1292" max="1292" width="4.109375" style="234" customWidth="1"/>
    <col min="1293" max="1536" width="8.88671875" style="234"/>
    <col min="1537" max="1537" width="9.88671875" style="234" bestFit="1" customWidth="1"/>
    <col min="1538" max="1538" width="8.88671875" style="234"/>
    <col min="1539" max="1539" width="5.88671875" style="234" customWidth="1"/>
    <col min="1540" max="1541" width="6.77734375" style="234" customWidth="1"/>
    <col min="1542" max="1543" width="8.88671875" style="234"/>
    <col min="1544" max="1546" width="6.77734375" style="234" customWidth="1"/>
    <col min="1547" max="1547" width="6.44140625" style="234" customWidth="1"/>
    <col min="1548" max="1548" width="4.109375" style="234" customWidth="1"/>
    <col min="1549" max="1792" width="8.88671875" style="234"/>
    <col min="1793" max="1793" width="9.88671875" style="234" bestFit="1" customWidth="1"/>
    <col min="1794" max="1794" width="8.88671875" style="234"/>
    <col min="1795" max="1795" width="5.88671875" style="234" customWidth="1"/>
    <col min="1796" max="1797" width="6.77734375" style="234" customWidth="1"/>
    <col min="1798" max="1799" width="8.88671875" style="234"/>
    <col min="1800" max="1802" width="6.77734375" style="234" customWidth="1"/>
    <col min="1803" max="1803" width="6.44140625" style="234" customWidth="1"/>
    <col min="1804" max="1804" width="4.109375" style="234" customWidth="1"/>
    <col min="1805" max="2048" width="8.88671875" style="234"/>
    <col min="2049" max="2049" width="9.88671875" style="234" bestFit="1" customWidth="1"/>
    <col min="2050" max="2050" width="8.88671875" style="234"/>
    <col min="2051" max="2051" width="5.88671875" style="234" customWidth="1"/>
    <col min="2052" max="2053" width="6.77734375" style="234" customWidth="1"/>
    <col min="2054" max="2055" width="8.88671875" style="234"/>
    <col min="2056" max="2058" width="6.77734375" style="234" customWidth="1"/>
    <col min="2059" max="2059" width="6.44140625" style="234" customWidth="1"/>
    <col min="2060" max="2060" width="4.109375" style="234" customWidth="1"/>
    <col min="2061" max="2304" width="8.88671875" style="234"/>
    <col min="2305" max="2305" width="9.88671875" style="234" bestFit="1" customWidth="1"/>
    <col min="2306" max="2306" width="8.88671875" style="234"/>
    <col min="2307" max="2307" width="5.88671875" style="234" customWidth="1"/>
    <col min="2308" max="2309" width="6.77734375" style="234" customWidth="1"/>
    <col min="2310" max="2311" width="8.88671875" style="234"/>
    <col min="2312" max="2314" width="6.77734375" style="234" customWidth="1"/>
    <col min="2315" max="2315" width="6.44140625" style="234" customWidth="1"/>
    <col min="2316" max="2316" width="4.109375" style="234" customWidth="1"/>
    <col min="2317" max="2560" width="8.88671875" style="234"/>
    <col min="2561" max="2561" width="9.88671875" style="234" bestFit="1" customWidth="1"/>
    <col min="2562" max="2562" width="8.88671875" style="234"/>
    <col min="2563" max="2563" width="5.88671875" style="234" customWidth="1"/>
    <col min="2564" max="2565" width="6.77734375" style="234" customWidth="1"/>
    <col min="2566" max="2567" width="8.88671875" style="234"/>
    <col min="2568" max="2570" width="6.77734375" style="234" customWidth="1"/>
    <col min="2571" max="2571" width="6.44140625" style="234" customWidth="1"/>
    <col min="2572" max="2572" width="4.109375" style="234" customWidth="1"/>
    <col min="2573" max="2816" width="8.88671875" style="234"/>
    <col min="2817" max="2817" width="9.88671875" style="234" bestFit="1" customWidth="1"/>
    <col min="2818" max="2818" width="8.88671875" style="234"/>
    <col min="2819" max="2819" width="5.88671875" style="234" customWidth="1"/>
    <col min="2820" max="2821" width="6.77734375" style="234" customWidth="1"/>
    <col min="2822" max="2823" width="8.88671875" style="234"/>
    <col min="2824" max="2826" width="6.77734375" style="234" customWidth="1"/>
    <col min="2827" max="2827" width="6.44140625" style="234" customWidth="1"/>
    <col min="2828" max="2828" width="4.109375" style="234" customWidth="1"/>
    <col min="2829" max="3072" width="8.88671875" style="234"/>
    <col min="3073" max="3073" width="9.88671875" style="234" bestFit="1" customWidth="1"/>
    <col min="3074" max="3074" width="8.88671875" style="234"/>
    <col min="3075" max="3075" width="5.88671875" style="234" customWidth="1"/>
    <col min="3076" max="3077" width="6.77734375" style="234" customWidth="1"/>
    <col min="3078" max="3079" width="8.88671875" style="234"/>
    <col min="3080" max="3082" width="6.77734375" style="234" customWidth="1"/>
    <col min="3083" max="3083" width="6.44140625" style="234" customWidth="1"/>
    <col min="3084" max="3084" width="4.109375" style="234" customWidth="1"/>
    <col min="3085" max="3328" width="8.88671875" style="234"/>
    <col min="3329" max="3329" width="9.88671875" style="234" bestFit="1" customWidth="1"/>
    <col min="3330" max="3330" width="8.88671875" style="234"/>
    <col min="3331" max="3331" width="5.88671875" style="234" customWidth="1"/>
    <col min="3332" max="3333" width="6.77734375" style="234" customWidth="1"/>
    <col min="3334" max="3335" width="8.88671875" style="234"/>
    <col min="3336" max="3338" width="6.77734375" style="234" customWidth="1"/>
    <col min="3339" max="3339" width="6.44140625" style="234" customWidth="1"/>
    <col min="3340" max="3340" width="4.109375" style="234" customWidth="1"/>
    <col min="3341" max="3584" width="8.88671875" style="234"/>
    <col min="3585" max="3585" width="9.88671875" style="234" bestFit="1" customWidth="1"/>
    <col min="3586" max="3586" width="8.88671875" style="234"/>
    <col min="3587" max="3587" width="5.88671875" style="234" customWidth="1"/>
    <col min="3588" max="3589" width="6.77734375" style="234" customWidth="1"/>
    <col min="3590" max="3591" width="8.88671875" style="234"/>
    <col min="3592" max="3594" width="6.77734375" style="234" customWidth="1"/>
    <col min="3595" max="3595" width="6.44140625" style="234" customWidth="1"/>
    <col min="3596" max="3596" width="4.109375" style="234" customWidth="1"/>
    <col min="3597" max="3840" width="8.88671875" style="234"/>
    <col min="3841" max="3841" width="9.88671875" style="234" bestFit="1" customWidth="1"/>
    <col min="3842" max="3842" width="8.88671875" style="234"/>
    <col min="3843" max="3843" width="5.88671875" style="234" customWidth="1"/>
    <col min="3844" max="3845" width="6.77734375" style="234" customWidth="1"/>
    <col min="3846" max="3847" width="8.88671875" style="234"/>
    <col min="3848" max="3850" width="6.77734375" style="234" customWidth="1"/>
    <col min="3851" max="3851" width="6.44140625" style="234" customWidth="1"/>
    <col min="3852" max="3852" width="4.109375" style="234" customWidth="1"/>
    <col min="3853" max="4096" width="8.88671875" style="234"/>
    <col min="4097" max="4097" width="9.88671875" style="234" bestFit="1" customWidth="1"/>
    <col min="4098" max="4098" width="8.88671875" style="234"/>
    <col min="4099" max="4099" width="5.88671875" style="234" customWidth="1"/>
    <col min="4100" max="4101" width="6.77734375" style="234" customWidth="1"/>
    <col min="4102" max="4103" width="8.88671875" style="234"/>
    <col min="4104" max="4106" width="6.77734375" style="234" customWidth="1"/>
    <col min="4107" max="4107" width="6.44140625" style="234" customWidth="1"/>
    <col min="4108" max="4108" width="4.109375" style="234" customWidth="1"/>
    <col min="4109" max="4352" width="8.88671875" style="234"/>
    <col min="4353" max="4353" width="9.88671875" style="234" bestFit="1" customWidth="1"/>
    <col min="4354" max="4354" width="8.88671875" style="234"/>
    <col min="4355" max="4355" width="5.88671875" style="234" customWidth="1"/>
    <col min="4356" max="4357" width="6.77734375" style="234" customWidth="1"/>
    <col min="4358" max="4359" width="8.88671875" style="234"/>
    <col min="4360" max="4362" width="6.77734375" style="234" customWidth="1"/>
    <col min="4363" max="4363" width="6.44140625" style="234" customWidth="1"/>
    <col min="4364" max="4364" width="4.109375" style="234" customWidth="1"/>
    <col min="4365" max="4608" width="8.88671875" style="234"/>
    <col min="4609" max="4609" width="9.88671875" style="234" bestFit="1" customWidth="1"/>
    <col min="4610" max="4610" width="8.88671875" style="234"/>
    <col min="4611" max="4611" width="5.88671875" style="234" customWidth="1"/>
    <col min="4612" max="4613" width="6.77734375" style="234" customWidth="1"/>
    <col min="4614" max="4615" width="8.88671875" style="234"/>
    <col min="4616" max="4618" width="6.77734375" style="234" customWidth="1"/>
    <col min="4619" max="4619" width="6.44140625" style="234" customWidth="1"/>
    <col min="4620" max="4620" width="4.109375" style="234" customWidth="1"/>
    <col min="4621" max="4864" width="8.88671875" style="234"/>
    <col min="4865" max="4865" width="9.88671875" style="234" bestFit="1" customWidth="1"/>
    <col min="4866" max="4866" width="8.88671875" style="234"/>
    <col min="4867" max="4867" width="5.88671875" style="234" customWidth="1"/>
    <col min="4868" max="4869" width="6.77734375" style="234" customWidth="1"/>
    <col min="4870" max="4871" width="8.88671875" style="234"/>
    <col min="4872" max="4874" width="6.77734375" style="234" customWidth="1"/>
    <col min="4875" max="4875" width="6.44140625" style="234" customWidth="1"/>
    <col min="4876" max="4876" width="4.109375" style="234" customWidth="1"/>
    <col min="4877" max="5120" width="8.88671875" style="234"/>
    <col min="5121" max="5121" width="9.88671875" style="234" bestFit="1" customWidth="1"/>
    <col min="5122" max="5122" width="8.88671875" style="234"/>
    <col min="5123" max="5123" width="5.88671875" style="234" customWidth="1"/>
    <col min="5124" max="5125" width="6.77734375" style="234" customWidth="1"/>
    <col min="5126" max="5127" width="8.88671875" style="234"/>
    <col min="5128" max="5130" width="6.77734375" style="234" customWidth="1"/>
    <col min="5131" max="5131" width="6.44140625" style="234" customWidth="1"/>
    <col min="5132" max="5132" width="4.109375" style="234" customWidth="1"/>
    <col min="5133" max="5376" width="8.88671875" style="234"/>
    <col min="5377" max="5377" width="9.88671875" style="234" bestFit="1" customWidth="1"/>
    <col min="5378" max="5378" width="8.88671875" style="234"/>
    <col min="5379" max="5379" width="5.88671875" style="234" customWidth="1"/>
    <col min="5380" max="5381" width="6.77734375" style="234" customWidth="1"/>
    <col min="5382" max="5383" width="8.88671875" style="234"/>
    <col min="5384" max="5386" width="6.77734375" style="234" customWidth="1"/>
    <col min="5387" max="5387" width="6.44140625" style="234" customWidth="1"/>
    <col min="5388" max="5388" width="4.109375" style="234" customWidth="1"/>
    <col min="5389" max="5632" width="8.88671875" style="234"/>
    <col min="5633" max="5633" width="9.88671875" style="234" bestFit="1" customWidth="1"/>
    <col min="5634" max="5634" width="8.88671875" style="234"/>
    <col min="5635" max="5635" width="5.88671875" style="234" customWidth="1"/>
    <col min="5636" max="5637" width="6.77734375" style="234" customWidth="1"/>
    <col min="5638" max="5639" width="8.88671875" style="234"/>
    <col min="5640" max="5642" width="6.77734375" style="234" customWidth="1"/>
    <col min="5643" max="5643" width="6.44140625" style="234" customWidth="1"/>
    <col min="5644" max="5644" width="4.109375" style="234" customWidth="1"/>
    <col min="5645" max="5888" width="8.88671875" style="234"/>
    <col min="5889" max="5889" width="9.88671875" style="234" bestFit="1" customWidth="1"/>
    <col min="5890" max="5890" width="8.88671875" style="234"/>
    <col min="5891" max="5891" width="5.88671875" style="234" customWidth="1"/>
    <col min="5892" max="5893" width="6.77734375" style="234" customWidth="1"/>
    <col min="5894" max="5895" width="8.88671875" style="234"/>
    <col min="5896" max="5898" width="6.77734375" style="234" customWidth="1"/>
    <col min="5899" max="5899" width="6.44140625" style="234" customWidth="1"/>
    <col min="5900" max="5900" width="4.109375" style="234" customWidth="1"/>
    <col min="5901" max="6144" width="8.88671875" style="234"/>
    <col min="6145" max="6145" width="9.88671875" style="234" bestFit="1" customWidth="1"/>
    <col min="6146" max="6146" width="8.88671875" style="234"/>
    <col min="6147" max="6147" width="5.88671875" style="234" customWidth="1"/>
    <col min="6148" max="6149" width="6.77734375" style="234" customWidth="1"/>
    <col min="6150" max="6151" width="8.88671875" style="234"/>
    <col min="6152" max="6154" width="6.77734375" style="234" customWidth="1"/>
    <col min="6155" max="6155" width="6.44140625" style="234" customWidth="1"/>
    <col min="6156" max="6156" width="4.109375" style="234" customWidth="1"/>
    <col min="6157" max="6400" width="8.88671875" style="234"/>
    <col min="6401" max="6401" width="9.88671875" style="234" bestFit="1" customWidth="1"/>
    <col min="6402" max="6402" width="8.88671875" style="234"/>
    <col min="6403" max="6403" width="5.88671875" style="234" customWidth="1"/>
    <col min="6404" max="6405" width="6.77734375" style="234" customWidth="1"/>
    <col min="6406" max="6407" width="8.88671875" style="234"/>
    <col min="6408" max="6410" width="6.77734375" style="234" customWidth="1"/>
    <col min="6411" max="6411" width="6.44140625" style="234" customWidth="1"/>
    <col min="6412" max="6412" width="4.109375" style="234" customWidth="1"/>
    <col min="6413" max="6656" width="8.88671875" style="234"/>
    <col min="6657" max="6657" width="9.88671875" style="234" bestFit="1" customWidth="1"/>
    <col min="6658" max="6658" width="8.88671875" style="234"/>
    <col min="6659" max="6659" width="5.88671875" style="234" customWidth="1"/>
    <col min="6660" max="6661" width="6.77734375" style="234" customWidth="1"/>
    <col min="6662" max="6663" width="8.88671875" style="234"/>
    <col min="6664" max="6666" width="6.77734375" style="234" customWidth="1"/>
    <col min="6667" max="6667" width="6.44140625" style="234" customWidth="1"/>
    <col min="6668" max="6668" width="4.109375" style="234" customWidth="1"/>
    <col min="6669" max="6912" width="8.88671875" style="234"/>
    <col min="6913" max="6913" width="9.88671875" style="234" bestFit="1" customWidth="1"/>
    <col min="6914" max="6914" width="8.88671875" style="234"/>
    <col min="6915" max="6915" width="5.88671875" style="234" customWidth="1"/>
    <col min="6916" max="6917" width="6.77734375" style="234" customWidth="1"/>
    <col min="6918" max="6919" width="8.88671875" style="234"/>
    <col min="6920" max="6922" width="6.77734375" style="234" customWidth="1"/>
    <col min="6923" max="6923" width="6.44140625" style="234" customWidth="1"/>
    <col min="6924" max="6924" width="4.109375" style="234" customWidth="1"/>
    <col min="6925" max="7168" width="8.88671875" style="234"/>
    <col min="7169" max="7169" width="9.88671875" style="234" bestFit="1" customWidth="1"/>
    <col min="7170" max="7170" width="8.88671875" style="234"/>
    <col min="7171" max="7171" width="5.88671875" style="234" customWidth="1"/>
    <col min="7172" max="7173" width="6.77734375" style="234" customWidth="1"/>
    <col min="7174" max="7175" width="8.88671875" style="234"/>
    <col min="7176" max="7178" width="6.77734375" style="234" customWidth="1"/>
    <col min="7179" max="7179" width="6.44140625" style="234" customWidth="1"/>
    <col min="7180" max="7180" width="4.109375" style="234" customWidth="1"/>
    <col min="7181" max="7424" width="8.88671875" style="234"/>
    <col min="7425" max="7425" width="9.88671875" style="234" bestFit="1" customWidth="1"/>
    <col min="7426" max="7426" width="8.88671875" style="234"/>
    <col min="7427" max="7427" width="5.88671875" style="234" customWidth="1"/>
    <col min="7428" max="7429" width="6.77734375" style="234" customWidth="1"/>
    <col min="7430" max="7431" width="8.88671875" style="234"/>
    <col min="7432" max="7434" width="6.77734375" style="234" customWidth="1"/>
    <col min="7435" max="7435" width="6.44140625" style="234" customWidth="1"/>
    <col min="7436" max="7436" width="4.109375" style="234" customWidth="1"/>
    <col min="7437" max="7680" width="8.88671875" style="234"/>
    <col min="7681" max="7681" width="9.88671875" style="234" bestFit="1" customWidth="1"/>
    <col min="7682" max="7682" width="8.88671875" style="234"/>
    <col min="7683" max="7683" width="5.88671875" style="234" customWidth="1"/>
    <col min="7684" max="7685" width="6.77734375" style="234" customWidth="1"/>
    <col min="7686" max="7687" width="8.88671875" style="234"/>
    <col min="7688" max="7690" width="6.77734375" style="234" customWidth="1"/>
    <col min="7691" max="7691" width="6.44140625" style="234" customWidth="1"/>
    <col min="7692" max="7692" width="4.109375" style="234" customWidth="1"/>
    <col min="7693" max="7936" width="8.88671875" style="234"/>
    <col min="7937" max="7937" width="9.88671875" style="234" bestFit="1" customWidth="1"/>
    <col min="7938" max="7938" width="8.88671875" style="234"/>
    <col min="7939" max="7939" width="5.88671875" style="234" customWidth="1"/>
    <col min="7940" max="7941" width="6.77734375" style="234" customWidth="1"/>
    <col min="7942" max="7943" width="8.88671875" style="234"/>
    <col min="7944" max="7946" width="6.77734375" style="234" customWidth="1"/>
    <col min="7947" max="7947" width="6.44140625" style="234" customWidth="1"/>
    <col min="7948" max="7948" width="4.109375" style="234" customWidth="1"/>
    <col min="7949" max="8192" width="8.88671875" style="234"/>
    <col min="8193" max="8193" width="9.88671875" style="234" bestFit="1" customWidth="1"/>
    <col min="8194" max="8194" width="8.88671875" style="234"/>
    <col min="8195" max="8195" width="5.88671875" style="234" customWidth="1"/>
    <col min="8196" max="8197" width="6.77734375" style="234" customWidth="1"/>
    <col min="8198" max="8199" width="8.88671875" style="234"/>
    <col min="8200" max="8202" width="6.77734375" style="234" customWidth="1"/>
    <col min="8203" max="8203" width="6.44140625" style="234" customWidth="1"/>
    <col min="8204" max="8204" width="4.109375" style="234" customWidth="1"/>
    <col min="8205" max="8448" width="8.88671875" style="234"/>
    <col min="8449" max="8449" width="9.88671875" style="234" bestFit="1" customWidth="1"/>
    <col min="8450" max="8450" width="8.88671875" style="234"/>
    <col min="8451" max="8451" width="5.88671875" style="234" customWidth="1"/>
    <col min="8452" max="8453" width="6.77734375" style="234" customWidth="1"/>
    <col min="8454" max="8455" width="8.88671875" style="234"/>
    <col min="8456" max="8458" width="6.77734375" style="234" customWidth="1"/>
    <col min="8459" max="8459" width="6.44140625" style="234" customWidth="1"/>
    <col min="8460" max="8460" width="4.109375" style="234" customWidth="1"/>
    <col min="8461" max="8704" width="8.88671875" style="234"/>
    <col min="8705" max="8705" width="9.88671875" style="234" bestFit="1" customWidth="1"/>
    <col min="8706" max="8706" width="8.88671875" style="234"/>
    <col min="8707" max="8707" width="5.88671875" style="234" customWidth="1"/>
    <col min="8708" max="8709" width="6.77734375" style="234" customWidth="1"/>
    <col min="8710" max="8711" width="8.88671875" style="234"/>
    <col min="8712" max="8714" width="6.77734375" style="234" customWidth="1"/>
    <col min="8715" max="8715" width="6.44140625" style="234" customWidth="1"/>
    <col min="8716" max="8716" width="4.109375" style="234" customWidth="1"/>
    <col min="8717" max="8960" width="8.88671875" style="234"/>
    <col min="8961" max="8961" width="9.88671875" style="234" bestFit="1" customWidth="1"/>
    <col min="8962" max="8962" width="8.88671875" style="234"/>
    <col min="8963" max="8963" width="5.88671875" style="234" customWidth="1"/>
    <col min="8964" max="8965" width="6.77734375" style="234" customWidth="1"/>
    <col min="8966" max="8967" width="8.88671875" style="234"/>
    <col min="8968" max="8970" width="6.77734375" style="234" customWidth="1"/>
    <col min="8971" max="8971" width="6.44140625" style="234" customWidth="1"/>
    <col min="8972" max="8972" width="4.109375" style="234" customWidth="1"/>
    <col min="8973" max="9216" width="8.88671875" style="234"/>
    <col min="9217" max="9217" width="9.88671875" style="234" bestFit="1" customWidth="1"/>
    <col min="9218" max="9218" width="8.88671875" style="234"/>
    <col min="9219" max="9219" width="5.88671875" style="234" customWidth="1"/>
    <col min="9220" max="9221" width="6.77734375" style="234" customWidth="1"/>
    <col min="9222" max="9223" width="8.88671875" style="234"/>
    <col min="9224" max="9226" width="6.77734375" style="234" customWidth="1"/>
    <col min="9227" max="9227" width="6.44140625" style="234" customWidth="1"/>
    <col min="9228" max="9228" width="4.109375" style="234" customWidth="1"/>
    <col min="9229" max="9472" width="8.88671875" style="234"/>
    <col min="9473" max="9473" width="9.88671875" style="234" bestFit="1" customWidth="1"/>
    <col min="9474" max="9474" width="8.88671875" style="234"/>
    <col min="9475" max="9475" width="5.88671875" style="234" customWidth="1"/>
    <col min="9476" max="9477" width="6.77734375" style="234" customWidth="1"/>
    <col min="9478" max="9479" width="8.88671875" style="234"/>
    <col min="9480" max="9482" width="6.77734375" style="234" customWidth="1"/>
    <col min="9483" max="9483" width="6.44140625" style="234" customWidth="1"/>
    <col min="9484" max="9484" width="4.109375" style="234" customWidth="1"/>
    <col min="9485" max="9728" width="8.88671875" style="234"/>
    <col min="9729" max="9729" width="9.88671875" style="234" bestFit="1" customWidth="1"/>
    <col min="9730" max="9730" width="8.88671875" style="234"/>
    <col min="9731" max="9731" width="5.88671875" style="234" customWidth="1"/>
    <col min="9732" max="9733" width="6.77734375" style="234" customWidth="1"/>
    <col min="9734" max="9735" width="8.88671875" style="234"/>
    <col min="9736" max="9738" width="6.77734375" style="234" customWidth="1"/>
    <col min="9739" max="9739" width="6.44140625" style="234" customWidth="1"/>
    <col min="9740" max="9740" width="4.109375" style="234" customWidth="1"/>
    <col min="9741" max="9984" width="8.88671875" style="234"/>
    <col min="9985" max="9985" width="9.88671875" style="234" bestFit="1" customWidth="1"/>
    <col min="9986" max="9986" width="8.88671875" style="234"/>
    <col min="9987" max="9987" width="5.88671875" style="234" customWidth="1"/>
    <col min="9988" max="9989" width="6.77734375" style="234" customWidth="1"/>
    <col min="9990" max="9991" width="8.88671875" style="234"/>
    <col min="9992" max="9994" width="6.77734375" style="234" customWidth="1"/>
    <col min="9995" max="9995" width="6.44140625" style="234" customWidth="1"/>
    <col min="9996" max="9996" width="4.109375" style="234" customWidth="1"/>
    <col min="9997" max="10240" width="8.88671875" style="234"/>
    <col min="10241" max="10241" width="9.88671875" style="234" bestFit="1" customWidth="1"/>
    <col min="10242" max="10242" width="8.88671875" style="234"/>
    <col min="10243" max="10243" width="5.88671875" style="234" customWidth="1"/>
    <col min="10244" max="10245" width="6.77734375" style="234" customWidth="1"/>
    <col min="10246" max="10247" width="8.88671875" style="234"/>
    <col min="10248" max="10250" width="6.77734375" style="234" customWidth="1"/>
    <col min="10251" max="10251" width="6.44140625" style="234" customWidth="1"/>
    <col min="10252" max="10252" width="4.109375" style="234" customWidth="1"/>
    <col min="10253" max="10496" width="8.88671875" style="234"/>
    <col min="10497" max="10497" width="9.88671875" style="234" bestFit="1" customWidth="1"/>
    <col min="10498" max="10498" width="8.88671875" style="234"/>
    <col min="10499" max="10499" width="5.88671875" style="234" customWidth="1"/>
    <col min="10500" max="10501" width="6.77734375" style="234" customWidth="1"/>
    <col min="10502" max="10503" width="8.88671875" style="234"/>
    <col min="10504" max="10506" width="6.77734375" style="234" customWidth="1"/>
    <col min="10507" max="10507" width="6.44140625" style="234" customWidth="1"/>
    <col min="10508" max="10508" width="4.109375" style="234" customWidth="1"/>
    <col min="10509" max="10752" width="8.88671875" style="234"/>
    <col min="10753" max="10753" width="9.88671875" style="234" bestFit="1" customWidth="1"/>
    <col min="10754" max="10754" width="8.88671875" style="234"/>
    <col min="10755" max="10755" width="5.88671875" style="234" customWidth="1"/>
    <col min="10756" max="10757" width="6.77734375" style="234" customWidth="1"/>
    <col min="10758" max="10759" width="8.88671875" style="234"/>
    <col min="10760" max="10762" width="6.77734375" style="234" customWidth="1"/>
    <col min="10763" max="10763" width="6.44140625" style="234" customWidth="1"/>
    <col min="10764" max="10764" width="4.109375" style="234" customWidth="1"/>
    <col min="10765" max="11008" width="8.88671875" style="234"/>
    <col min="11009" max="11009" width="9.88671875" style="234" bestFit="1" customWidth="1"/>
    <col min="11010" max="11010" width="8.88671875" style="234"/>
    <col min="11011" max="11011" width="5.88671875" style="234" customWidth="1"/>
    <col min="11012" max="11013" width="6.77734375" style="234" customWidth="1"/>
    <col min="11014" max="11015" width="8.88671875" style="234"/>
    <col min="11016" max="11018" width="6.77734375" style="234" customWidth="1"/>
    <col min="11019" max="11019" width="6.44140625" style="234" customWidth="1"/>
    <col min="11020" max="11020" width="4.109375" style="234" customWidth="1"/>
    <col min="11021" max="11264" width="8.88671875" style="234"/>
    <col min="11265" max="11265" width="9.88671875" style="234" bestFit="1" customWidth="1"/>
    <col min="11266" max="11266" width="8.88671875" style="234"/>
    <col min="11267" max="11267" width="5.88671875" style="234" customWidth="1"/>
    <col min="11268" max="11269" width="6.77734375" style="234" customWidth="1"/>
    <col min="11270" max="11271" width="8.88671875" style="234"/>
    <col min="11272" max="11274" width="6.77734375" style="234" customWidth="1"/>
    <col min="11275" max="11275" width="6.44140625" style="234" customWidth="1"/>
    <col min="11276" max="11276" width="4.109375" style="234" customWidth="1"/>
    <col min="11277" max="11520" width="8.88671875" style="234"/>
    <col min="11521" max="11521" width="9.88671875" style="234" bestFit="1" customWidth="1"/>
    <col min="11522" max="11522" width="8.88671875" style="234"/>
    <col min="11523" max="11523" width="5.88671875" style="234" customWidth="1"/>
    <col min="11524" max="11525" width="6.77734375" style="234" customWidth="1"/>
    <col min="11526" max="11527" width="8.88671875" style="234"/>
    <col min="11528" max="11530" width="6.77734375" style="234" customWidth="1"/>
    <col min="11531" max="11531" width="6.44140625" style="234" customWidth="1"/>
    <col min="11532" max="11532" width="4.109375" style="234" customWidth="1"/>
    <col min="11533" max="11776" width="8.88671875" style="234"/>
    <col min="11777" max="11777" width="9.88671875" style="234" bestFit="1" customWidth="1"/>
    <col min="11778" max="11778" width="8.88671875" style="234"/>
    <col min="11779" max="11779" width="5.88671875" style="234" customWidth="1"/>
    <col min="11780" max="11781" width="6.77734375" style="234" customWidth="1"/>
    <col min="11782" max="11783" width="8.88671875" style="234"/>
    <col min="11784" max="11786" width="6.77734375" style="234" customWidth="1"/>
    <col min="11787" max="11787" width="6.44140625" style="234" customWidth="1"/>
    <col min="11788" max="11788" width="4.109375" style="234" customWidth="1"/>
    <col min="11789" max="12032" width="8.88671875" style="234"/>
    <col min="12033" max="12033" width="9.88671875" style="234" bestFit="1" customWidth="1"/>
    <col min="12034" max="12034" width="8.88671875" style="234"/>
    <col min="12035" max="12035" width="5.88671875" style="234" customWidth="1"/>
    <col min="12036" max="12037" width="6.77734375" style="234" customWidth="1"/>
    <col min="12038" max="12039" width="8.88671875" style="234"/>
    <col min="12040" max="12042" width="6.77734375" style="234" customWidth="1"/>
    <col min="12043" max="12043" width="6.44140625" style="234" customWidth="1"/>
    <col min="12044" max="12044" width="4.109375" style="234" customWidth="1"/>
    <col min="12045" max="12288" width="8.88671875" style="234"/>
    <col min="12289" max="12289" width="9.88671875" style="234" bestFit="1" customWidth="1"/>
    <col min="12290" max="12290" width="8.88671875" style="234"/>
    <col min="12291" max="12291" width="5.88671875" style="234" customWidth="1"/>
    <col min="12292" max="12293" width="6.77734375" style="234" customWidth="1"/>
    <col min="12294" max="12295" width="8.88671875" style="234"/>
    <col min="12296" max="12298" width="6.77734375" style="234" customWidth="1"/>
    <col min="12299" max="12299" width="6.44140625" style="234" customWidth="1"/>
    <col min="12300" max="12300" width="4.109375" style="234" customWidth="1"/>
    <col min="12301" max="12544" width="8.88671875" style="234"/>
    <col min="12545" max="12545" width="9.88671875" style="234" bestFit="1" customWidth="1"/>
    <col min="12546" max="12546" width="8.88671875" style="234"/>
    <col min="12547" max="12547" width="5.88671875" style="234" customWidth="1"/>
    <col min="12548" max="12549" width="6.77734375" style="234" customWidth="1"/>
    <col min="12550" max="12551" width="8.88671875" style="234"/>
    <col min="12552" max="12554" width="6.77734375" style="234" customWidth="1"/>
    <col min="12555" max="12555" width="6.44140625" style="234" customWidth="1"/>
    <col min="12556" max="12556" width="4.109375" style="234" customWidth="1"/>
    <col min="12557" max="12800" width="8.88671875" style="234"/>
    <col min="12801" max="12801" width="9.88671875" style="234" bestFit="1" customWidth="1"/>
    <col min="12802" max="12802" width="8.88671875" style="234"/>
    <col min="12803" max="12803" width="5.88671875" style="234" customWidth="1"/>
    <col min="12804" max="12805" width="6.77734375" style="234" customWidth="1"/>
    <col min="12806" max="12807" width="8.88671875" style="234"/>
    <col min="12808" max="12810" width="6.77734375" style="234" customWidth="1"/>
    <col min="12811" max="12811" width="6.44140625" style="234" customWidth="1"/>
    <col min="12812" max="12812" width="4.109375" style="234" customWidth="1"/>
    <col min="12813" max="13056" width="8.88671875" style="234"/>
    <col min="13057" max="13057" width="9.88671875" style="234" bestFit="1" customWidth="1"/>
    <col min="13058" max="13058" width="8.88671875" style="234"/>
    <col min="13059" max="13059" width="5.88671875" style="234" customWidth="1"/>
    <col min="13060" max="13061" width="6.77734375" style="234" customWidth="1"/>
    <col min="13062" max="13063" width="8.88671875" style="234"/>
    <col min="13064" max="13066" width="6.77734375" style="234" customWidth="1"/>
    <col min="13067" max="13067" width="6.44140625" style="234" customWidth="1"/>
    <col min="13068" max="13068" width="4.109375" style="234" customWidth="1"/>
    <col min="13069" max="13312" width="8.88671875" style="234"/>
    <col min="13313" max="13313" width="9.88671875" style="234" bestFit="1" customWidth="1"/>
    <col min="13314" max="13314" width="8.88671875" style="234"/>
    <col min="13315" max="13315" width="5.88671875" style="234" customWidth="1"/>
    <col min="13316" max="13317" width="6.77734375" style="234" customWidth="1"/>
    <col min="13318" max="13319" width="8.88671875" style="234"/>
    <col min="13320" max="13322" width="6.77734375" style="234" customWidth="1"/>
    <col min="13323" max="13323" width="6.44140625" style="234" customWidth="1"/>
    <col min="13324" max="13324" width="4.109375" style="234" customWidth="1"/>
    <col min="13325" max="13568" width="8.88671875" style="234"/>
    <col min="13569" max="13569" width="9.88671875" style="234" bestFit="1" customWidth="1"/>
    <col min="13570" max="13570" width="8.88671875" style="234"/>
    <col min="13571" max="13571" width="5.88671875" style="234" customWidth="1"/>
    <col min="13572" max="13573" width="6.77734375" style="234" customWidth="1"/>
    <col min="13574" max="13575" width="8.88671875" style="234"/>
    <col min="13576" max="13578" width="6.77734375" style="234" customWidth="1"/>
    <col min="13579" max="13579" width="6.44140625" style="234" customWidth="1"/>
    <col min="13580" max="13580" width="4.109375" style="234" customWidth="1"/>
    <col min="13581" max="13824" width="8.88671875" style="234"/>
    <col min="13825" max="13825" width="9.88671875" style="234" bestFit="1" customWidth="1"/>
    <col min="13826" max="13826" width="8.88671875" style="234"/>
    <col min="13827" max="13827" width="5.88671875" style="234" customWidth="1"/>
    <col min="13828" max="13829" width="6.77734375" style="234" customWidth="1"/>
    <col min="13830" max="13831" width="8.88671875" style="234"/>
    <col min="13832" max="13834" width="6.77734375" style="234" customWidth="1"/>
    <col min="13835" max="13835" width="6.44140625" style="234" customWidth="1"/>
    <col min="13836" max="13836" width="4.109375" style="234" customWidth="1"/>
    <col min="13837" max="14080" width="8.88671875" style="234"/>
    <col min="14081" max="14081" width="9.88671875" style="234" bestFit="1" customWidth="1"/>
    <col min="14082" max="14082" width="8.88671875" style="234"/>
    <col min="14083" max="14083" width="5.88671875" style="234" customWidth="1"/>
    <col min="14084" max="14085" width="6.77734375" style="234" customWidth="1"/>
    <col min="14086" max="14087" width="8.88671875" style="234"/>
    <col min="14088" max="14090" width="6.77734375" style="234" customWidth="1"/>
    <col min="14091" max="14091" width="6.44140625" style="234" customWidth="1"/>
    <col min="14092" max="14092" width="4.109375" style="234" customWidth="1"/>
    <col min="14093" max="14336" width="8.88671875" style="234"/>
    <col min="14337" max="14337" width="9.88671875" style="234" bestFit="1" customWidth="1"/>
    <col min="14338" max="14338" width="8.88671875" style="234"/>
    <col min="14339" max="14339" width="5.88671875" style="234" customWidth="1"/>
    <col min="14340" max="14341" width="6.77734375" style="234" customWidth="1"/>
    <col min="14342" max="14343" width="8.88671875" style="234"/>
    <col min="14344" max="14346" width="6.77734375" style="234" customWidth="1"/>
    <col min="14347" max="14347" width="6.44140625" style="234" customWidth="1"/>
    <col min="14348" max="14348" width="4.109375" style="234" customWidth="1"/>
    <col min="14349" max="14592" width="8.88671875" style="234"/>
    <col min="14593" max="14593" width="9.88671875" style="234" bestFit="1" customWidth="1"/>
    <col min="14594" max="14594" width="8.88671875" style="234"/>
    <col min="14595" max="14595" width="5.88671875" style="234" customWidth="1"/>
    <col min="14596" max="14597" width="6.77734375" style="234" customWidth="1"/>
    <col min="14598" max="14599" width="8.88671875" style="234"/>
    <col min="14600" max="14602" width="6.77734375" style="234" customWidth="1"/>
    <col min="14603" max="14603" width="6.44140625" style="234" customWidth="1"/>
    <col min="14604" max="14604" width="4.109375" style="234" customWidth="1"/>
    <col min="14605" max="14848" width="8.88671875" style="234"/>
    <col min="14849" max="14849" width="9.88671875" style="234" bestFit="1" customWidth="1"/>
    <col min="14850" max="14850" width="8.88671875" style="234"/>
    <col min="14851" max="14851" width="5.88671875" style="234" customWidth="1"/>
    <col min="14852" max="14853" width="6.77734375" style="234" customWidth="1"/>
    <col min="14854" max="14855" width="8.88671875" style="234"/>
    <col min="14856" max="14858" width="6.77734375" style="234" customWidth="1"/>
    <col min="14859" max="14859" width="6.44140625" style="234" customWidth="1"/>
    <col min="14860" max="14860" width="4.109375" style="234" customWidth="1"/>
    <col min="14861" max="15104" width="8.88671875" style="234"/>
    <col min="15105" max="15105" width="9.88671875" style="234" bestFit="1" customWidth="1"/>
    <col min="15106" max="15106" width="8.88671875" style="234"/>
    <col min="15107" max="15107" width="5.88671875" style="234" customWidth="1"/>
    <col min="15108" max="15109" width="6.77734375" style="234" customWidth="1"/>
    <col min="15110" max="15111" width="8.88671875" style="234"/>
    <col min="15112" max="15114" width="6.77734375" style="234" customWidth="1"/>
    <col min="15115" max="15115" width="6.44140625" style="234" customWidth="1"/>
    <col min="15116" max="15116" width="4.109375" style="234" customWidth="1"/>
    <col min="15117" max="15360" width="8.88671875" style="234"/>
    <col min="15361" max="15361" width="9.88671875" style="234" bestFit="1" customWidth="1"/>
    <col min="15362" max="15362" width="8.88671875" style="234"/>
    <col min="15363" max="15363" width="5.88671875" style="234" customWidth="1"/>
    <col min="15364" max="15365" width="6.77734375" style="234" customWidth="1"/>
    <col min="15366" max="15367" width="8.88671875" style="234"/>
    <col min="15368" max="15370" width="6.77734375" style="234" customWidth="1"/>
    <col min="15371" max="15371" width="6.44140625" style="234" customWidth="1"/>
    <col min="15372" max="15372" width="4.109375" style="234" customWidth="1"/>
    <col min="15373" max="15616" width="8.88671875" style="234"/>
    <col min="15617" max="15617" width="9.88671875" style="234" bestFit="1" customWidth="1"/>
    <col min="15618" max="15618" width="8.88671875" style="234"/>
    <col min="15619" max="15619" width="5.88671875" style="234" customWidth="1"/>
    <col min="15620" max="15621" width="6.77734375" style="234" customWidth="1"/>
    <col min="15622" max="15623" width="8.88671875" style="234"/>
    <col min="15624" max="15626" width="6.77734375" style="234" customWidth="1"/>
    <col min="15627" max="15627" width="6.44140625" style="234" customWidth="1"/>
    <col min="15628" max="15628" width="4.109375" style="234" customWidth="1"/>
    <col min="15629" max="15872" width="8.88671875" style="234"/>
    <col min="15873" max="15873" width="9.88671875" style="234" bestFit="1" customWidth="1"/>
    <col min="15874" max="15874" width="8.88671875" style="234"/>
    <col min="15875" max="15875" width="5.88671875" style="234" customWidth="1"/>
    <col min="15876" max="15877" width="6.77734375" style="234" customWidth="1"/>
    <col min="15878" max="15879" width="8.88671875" style="234"/>
    <col min="15880" max="15882" width="6.77734375" style="234" customWidth="1"/>
    <col min="15883" max="15883" width="6.44140625" style="234" customWidth="1"/>
    <col min="15884" max="15884" width="4.109375" style="234" customWidth="1"/>
    <col min="15885" max="16128" width="8.88671875" style="234"/>
    <col min="16129" max="16129" width="9.88671875" style="234" bestFit="1" customWidth="1"/>
    <col min="16130" max="16130" width="8.88671875" style="234"/>
    <col min="16131" max="16131" width="5.88671875" style="234" customWidth="1"/>
    <col min="16132" max="16133" width="6.77734375" style="234" customWidth="1"/>
    <col min="16134" max="16135" width="8.88671875" style="234"/>
    <col min="16136" max="16138" width="6.77734375" style="234" customWidth="1"/>
    <col min="16139" max="16139" width="6.44140625" style="234" customWidth="1"/>
    <col min="16140" max="16140" width="4.109375" style="234" customWidth="1"/>
    <col min="16141" max="16384" width="8.88671875" style="234"/>
  </cols>
  <sheetData>
    <row r="1" spans="1:12" ht="16.5" customHeight="1">
      <c r="A1" s="2013" t="s">
        <v>31</v>
      </c>
      <c r="B1" s="2009" t="s">
        <v>495</v>
      </c>
      <c r="C1" s="2009" t="s">
        <v>46</v>
      </c>
      <c r="D1" s="2009" t="s">
        <v>496</v>
      </c>
      <c r="E1" s="2009" t="s">
        <v>497</v>
      </c>
      <c r="F1" s="2009" t="s">
        <v>498</v>
      </c>
      <c r="G1" s="2009"/>
      <c r="H1" s="2009" t="s">
        <v>499</v>
      </c>
      <c r="I1" s="2009"/>
      <c r="J1" s="2009"/>
      <c r="K1" s="2010" t="s">
        <v>339</v>
      </c>
      <c r="L1" s="233"/>
    </row>
    <row r="2" spans="1:12" ht="16.5" customHeight="1">
      <c r="A2" s="2014"/>
      <c r="B2" s="2015"/>
      <c r="C2" s="2015"/>
      <c r="D2" s="2015"/>
      <c r="E2" s="2015"/>
      <c r="F2" s="235" t="s">
        <v>500</v>
      </c>
      <c r="G2" s="236" t="s">
        <v>501</v>
      </c>
      <c r="H2" s="235" t="s">
        <v>502</v>
      </c>
      <c r="I2" s="235"/>
      <c r="J2" s="235" t="s">
        <v>503</v>
      </c>
      <c r="K2" s="2011"/>
      <c r="L2" s="233"/>
    </row>
    <row r="3" spans="1:12" ht="20.100000000000001" customHeight="1">
      <c r="A3" s="237" t="s">
        <v>504</v>
      </c>
      <c r="B3" s="238" t="s">
        <v>505</v>
      </c>
      <c r="C3" s="238">
        <v>1</v>
      </c>
      <c r="D3" s="238">
        <v>400</v>
      </c>
      <c r="E3" s="238">
        <v>400</v>
      </c>
      <c r="F3" s="239">
        <v>38.5</v>
      </c>
      <c r="G3" s="239">
        <v>38.200000000000003</v>
      </c>
      <c r="H3" s="238">
        <f>F3-G3</f>
        <v>0.29999999999999716</v>
      </c>
      <c r="I3" s="238">
        <v>0.15</v>
      </c>
      <c r="J3" s="238">
        <f>H3+I3</f>
        <v>0.44999999999999718</v>
      </c>
      <c r="K3" s="240"/>
      <c r="L3" s="233">
        <v>1</v>
      </c>
    </row>
    <row r="4" spans="1:12" ht="20.100000000000001" customHeight="1">
      <c r="A4" s="241" t="s">
        <v>506</v>
      </c>
      <c r="B4" s="242" t="s">
        <v>507</v>
      </c>
      <c r="C4" s="242">
        <v>1</v>
      </c>
      <c r="D4" s="242">
        <v>300</v>
      </c>
      <c r="E4" s="242">
        <v>400</v>
      </c>
      <c r="F4" s="243">
        <v>50.81</v>
      </c>
      <c r="G4" s="243">
        <v>50.71</v>
      </c>
      <c r="H4" s="242">
        <f t="shared" ref="H4:H25" si="0">F4-G4</f>
        <v>0.10000000000000142</v>
      </c>
      <c r="I4" s="242">
        <v>0.15</v>
      </c>
      <c r="J4" s="242">
        <f t="shared" ref="J4:J25" si="1">H4+I4</f>
        <v>0.25000000000000144</v>
      </c>
      <c r="K4" s="244"/>
      <c r="L4" s="233">
        <v>1</v>
      </c>
    </row>
    <row r="5" spans="1:12" ht="20.100000000000001" customHeight="1">
      <c r="A5" s="241" t="s">
        <v>433</v>
      </c>
      <c r="B5" s="242" t="s">
        <v>508</v>
      </c>
      <c r="C5" s="242">
        <v>1</v>
      </c>
      <c r="D5" s="242">
        <v>300</v>
      </c>
      <c r="E5" s="242">
        <v>300</v>
      </c>
      <c r="F5" s="243">
        <v>53.86</v>
      </c>
      <c r="G5" s="243">
        <v>53.73</v>
      </c>
      <c r="H5" s="242">
        <f t="shared" si="0"/>
        <v>0.13000000000000256</v>
      </c>
      <c r="I5" s="242">
        <v>0.15</v>
      </c>
      <c r="J5" s="242">
        <f t="shared" si="1"/>
        <v>0.28000000000000258</v>
      </c>
      <c r="K5" s="244"/>
      <c r="L5" s="233">
        <v>1</v>
      </c>
    </row>
    <row r="6" spans="1:12" ht="20.100000000000001" customHeight="1">
      <c r="A6" s="241" t="s">
        <v>509</v>
      </c>
      <c r="B6" s="242" t="s">
        <v>510</v>
      </c>
      <c r="C6" s="242">
        <v>1</v>
      </c>
      <c r="D6" s="242">
        <v>300</v>
      </c>
      <c r="E6" s="242">
        <v>300</v>
      </c>
      <c r="F6" s="243">
        <v>42.8</v>
      </c>
      <c r="G6" s="243">
        <v>42.3</v>
      </c>
      <c r="H6" s="242">
        <f t="shared" si="0"/>
        <v>0.5</v>
      </c>
      <c r="I6" s="242">
        <v>0.15</v>
      </c>
      <c r="J6" s="242">
        <f t="shared" si="1"/>
        <v>0.65</v>
      </c>
      <c r="K6" s="244"/>
      <c r="L6" s="233">
        <v>1</v>
      </c>
    </row>
    <row r="7" spans="1:12" ht="20.100000000000001" customHeight="1">
      <c r="A7" s="241" t="s">
        <v>511</v>
      </c>
      <c r="B7" s="242" t="s">
        <v>512</v>
      </c>
      <c r="C7" s="242">
        <v>1</v>
      </c>
      <c r="D7" s="242">
        <v>300</v>
      </c>
      <c r="E7" s="242">
        <v>300</v>
      </c>
      <c r="F7" s="243">
        <v>60.67</v>
      </c>
      <c r="G7" s="243">
        <v>60.17</v>
      </c>
      <c r="H7" s="242">
        <f t="shared" si="0"/>
        <v>0.5</v>
      </c>
      <c r="I7" s="242">
        <v>0.15</v>
      </c>
      <c r="J7" s="242">
        <f t="shared" si="1"/>
        <v>0.65</v>
      </c>
      <c r="K7" s="244"/>
      <c r="L7" s="233">
        <v>1</v>
      </c>
    </row>
    <row r="8" spans="1:12" ht="20.100000000000001" customHeight="1">
      <c r="A8" s="2012" t="s">
        <v>513</v>
      </c>
      <c r="B8" s="242" t="s">
        <v>514</v>
      </c>
      <c r="C8" s="242">
        <v>1</v>
      </c>
      <c r="D8" s="242">
        <v>300</v>
      </c>
      <c r="E8" s="242">
        <v>300</v>
      </c>
      <c r="F8" s="243">
        <v>62.5</v>
      </c>
      <c r="G8" s="243">
        <v>62.17</v>
      </c>
      <c r="H8" s="242">
        <f t="shared" si="0"/>
        <v>0.32999999999999829</v>
      </c>
      <c r="I8" s="242">
        <v>0.15</v>
      </c>
      <c r="J8" s="242">
        <f t="shared" si="1"/>
        <v>0.47999999999999832</v>
      </c>
      <c r="K8" s="244"/>
      <c r="L8" s="233">
        <v>1</v>
      </c>
    </row>
    <row r="9" spans="1:12" ht="20.100000000000001" customHeight="1">
      <c r="A9" s="2012"/>
      <c r="B9" s="242" t="s">
        <v>334</v>
      </c>
      <c r="C9" s="242">
        <v>1</v>
      </c>
      <c r="D9" s="242">
        <v>300</v>
      </c>
      <c r="E9" s="242">
        <v>300</v>
      </c>
      <c r="F9" s="243">
        <v>60.59</v>
      </c>
      <c r="G9" s="243">
        <v>60.09</v>
      </c>
      <c r="H9" s="242">
        <f t="shared" si="0"/>
        <v>0.5</v>
      </c>
      <c r="I9" s="242">
        <v>0.15</v>
      </c>
      <c r="J9" s="242">
        <f t="shared" si="1"/>
        <v>0.65</v>
      </c>
      <c r="K9" s="244"/>
      <c r="L9" s="233">
        <v>1</v>
      </c>
    </row>
    <row r="10" spans="1:12" ht="20.100000000000001" customHeight="1">
      <c r="A10" s="241" t="s">
        <v>515</v>
      </c>
      <c r="B10" s="242" t="s">
        <v>516</v>
      </c>
      <c r="C10" s="242">
        <v>1</v>
      </c>
      <c r="D10" s="242">
        <v>200</v>
      </c>
      <c r="E10" s="242">
        <v>200</v>
      </c>
      <c r="F10" s="243">
        <v>47.06</v>
      </c>
      <c r="G10" s="243">
        <v>46.86</v>
      </c>
      <c r="H10" s="242">
        <f t="shared" si="0"/>
        <v>0.20000000000000284</v>
      </c>
      <c r="I10" s="242">
        <v>0.15</v>
      </c>
      <c r="J10" s="242">
        <f t="shared" si="1"/>
        <v>0.35000000000000286</v>
      </c>
      <c r="K10" s="244"/>
      <c r="L10" s="233">
        <v>1</v>
      </c>
    </row>
    <row r="11" spans="1:12" ht="20.100000000000001" customHeight="1">
      <c r="A11" s="2012" t="s">
        <v>517</v>
      </c>
      <c r="B11" s="242" t="s">
        <v>518</v>
      </c>
      <c r="C11" s="242">
        <v>1</v>
      </c>
      <c r="D11" s="242">
        <v>200</v>
      </c>
      <c r="E11" s="242">
        <v>200</v>
      </c>
      <c r="F11" s="243">
        <v>47.41</v>
      </c>
      <c r="G11" s="243">
        <v>47.31</v>
      </c>
      <c r="H11" s="242">
        <f>F11-G11</f>
        <v>9.9999999999994316E-2</v>
      </c>
      <c r="I11" s="242">
        <v>0.15</v>
      </c>
      <c r="J11" s="242">
        <f t="shared" si="1"/>
        <v>0.24999999999999431</v>
      </c>
      <c r="K11" s="244"/>
      <c r="L11" s="233">
        <v>1</v>
      </c>
    </row>
    <row r="12" spans="1:12" ht="20.100000000000001" customHeight="1">
      <c r="A12" s="2012"/>
      <c r="B12" s="242" t="s">
        <v>519</v>
      </c>
      <c r="C12" s="242">
        <v>1</v>
      </c>
      <c r="D12" s="242">
        <v>200</v>
      </c>
      <c r="E12" s="242">
        <v>200</v>
      </c>
      <c r="F12" s="243">
        <v>45.3</v>
      </c>
      <c r="G12" s="243">
        <v>44.8</v>
      </c>
      <c r="H12" s="242">
        <f>F12-G12</f>
        <v>0.5</v>
      </c>
      <c r="I12" s="242">
        <v>0.15</v>
      </c>
      <c r="J12" s="242">
        <f t="shared" si="1"/>
        <v>0.65</v>
      </c>
      <c r="K12" s="244"/>
      <c r="L12" s="233">
        <v>1</v>
      </c>
    </row>
    <row r="13" spans="1:12" ht="20.100000000000001" customHeight="1">
      <c r="A13" s="2012"/>
      <c r="B13" s="242" t="s">
        <v>520</v>
      </c>
      <c r="C13" s="242">
        <v>1</v>
      </c>
      <c r="D13" s="242">
        <v>200</v>
      </c>
      <c r="E13" s="242">
        <v>200</v>
      </c>
      <c r="F13" s="243">
        <v>43.14</v>
      </c>
      <c r="G13" s="243">
        <v>42.84</v>
      </c>
      <c r="H13" s="242">
        <f>F13-G13</f>
        <v>0.29999999999999716</v>
      </c>
      <c r="I13" s="242">
        <v>0.15</v>
      </c>
      <c r="J13" s="242">
        <f t="shared" si="1"/>
        <v>0.44999999999999718</v>
      </c>
      <c r="K13" s="244"/>
      <c r="L13" s="233">
        <v>1</v>
      </c>
    </row>
    <row r="14" spans="1:12" ht="20.100000000000001" customHeight="1">
      <c r="A14" s="241" t="s">
        <v>521</v>
      </c>
      <c r="B14" s="242" t="s">
        <v>534</v>
      </c>
      <c r="C14" s="242">
        <v>1</v>
      </c>
      <c r="D14" s="242">
        <v>200</v>
      </c>
      <c r="E14" s="242">
        <v>300</v>
      </c>
      <c r="F14" s="243">
        <v>40.549999999999997</v>
      </c>
      <c r="G14" s="243">
        <v>40.020000000000003</v>
      </c>
      <c r="H14" s="242">
        <f>F14-G14</f>
        <v>0.52999999999999403</v>
      </c>
      <c r="I14" s="242">
        <v>0.15</v>
      </c>
      <c r="J14" s="242">
        <f t="shared" si="1"/>
        <v>0.67999999999999405</v>
      </c>
      <c r="K14" s="244"/>
      <c r="L14" s="233">
        <v>1</v>
      </c>
    </row>
    <row r="15" spans="1:12" ht="20.100000000000001" customHeight="1">
      <c r="A15" s="241" t="s">
        <v>434</v>
      </c>
      <c r="B15" s="242" t="s">
        <v>522</v>
      </c>
      <c r="C15" s="242">
        <v>1</v>
      </c>
      <c r="D15" s="242">
        <v>200</v>
      </c>
      <c r="E15" s="242">
        <v>200</v>
      </c>
      <c r="F15" s="243">
        <v>40.31</v>
      </c>
      <c r="G15" s="243">
        <v>40.01</v>
      </c>
      <c r="H15" s="242">
        <f t="shared" si="0"/>
        <v>0.30000000000000426</v>
      </c>
      <c r="I15" s="242">
        <v>0.15</v>
      </c>
      <c r="J15" s="242">
        <f t="shared" si="1"/>
        <v>0.45000000000000429</v>
      </c>
      <c r="K15" s="244"/>
      <c r="L15" s="233">
        <v>1</v>
      </c>
    </row>
    <row r="16" spans="1:12" ht="20.100000000000001" customHeight="1">
      <c r="A16" s="241" t="s">
        <v>523</v>
      </c>
      <c r="B16" s="242" t="s">
        <v>524</v>
      </c>
      <c r="C16" s="242">
        <v>1</v>
      </c>
      <c r="D16" s="242">
        <v>200</v>
      </c>
      <c r="E16" s="242">
        <v>200</v>
      </c>
      <c r="F16" s="243">
        <v>44.39</v>
      </c>
      <c r="G16" s="243">
        <v>44.27</v>
      </c>
      <c r="H16" s="242">
        <f t="shared" si="0"/>
        <v>0.11999999999999744</v>
      </c>
      <c r="I16" s="242">
        <v>0.15</v>
      </c>
      <c r="J16" s="242">
        <f t="shared" si="1"/>
        <v>0.26999999999999746</v>
      </c>
      <c r="K16" s="244"/>
      <c r="L16" s="233">
        <v>1</v>
      </c>
    </row>
    <row r="17" spans="1:12" ht="20.100000000000001" customHeight="1">
      <c r="A17" s="241" t="s">
        <v>525</v>
      </c>
      <c r="B17" s="242" t="s">
        <v>461</v>
      </c>
      <c r="C17" s="242">
        <v>1</v>
      </c>
      <c r="D17" s="242">
        <v>200</v>
      </c>
      <c r="E17" s="242">
        <v>300</v>
      </c>
      <c r="F17" s="243">
        <v>42.77</v>
      </c>
      <c r="G17" s="243">
        <v>42.24</v>
      </c>
      <c r="H17" s="242">
        <f t="shared" si="0"/>
        <v>0.53000000000000114</v>
      </c>
      <c r="I17" s="242">
        <v>0.15</v>
      </c>
      <c r="J17" s="242">
        <f t="shared" si="1"/>
        <v>0.68000000000000116</v>
      </c>
      <c r="K17" s="244"/>
      <c r="L17" s="233">
        <v>1</v>
      </c>
    </row>
    <row r="18" spans="1:12" ht="20.100000000000001" customHeight="1">
      <c r="A18" s="2012" t="s">
        <v>526</v>
      </c>
      <c r="B18" s="242" t="s">
        <v>527</v>
      </c>
      <c r="C18" s="242">
        <v>1</v>
      </c>
      <c r="D18" s="242">
        <v>200</v>
      </c>
      <c r="E18" s="242">
        <v>200</v>
      </c>
      <c r="F18" s="243">
        <v>52.68</v>
      </c>
      <c r="G18" s="243">
        <v>52.58</v>
      </c>
      <c r="H18" s="242">
        <f t="shared" si="0"/>
        <v>0.10000000000000142</v>
      </c>
      <c r="I18" s="242">
        <v>0.15</v>
      </c>
      <c r="J18" s="242">
        <f t="shared" si="1"/>
        <v>0.25000000000000144</v>
      </c>
      <c r="K18" s="244"/>
      <c r="L18" s="233">
        <v>1</v>
      </c>
    </row>
    <row r="19" spans="1:12" ht="20.100000000000001" customHeight="1">
      <c r="A19" s="2012"/>
      <c r="B19" s="242" t="s">
        <v>422</v>
      </c>
      <c r="C19" s="242">
        <v>1</v>
      </c>
      <c r="D19" s="242">
        <v>200</v>
      </c>
      <c r="E19" s="242">
        <v>200</v>
      </c>
      <c r="F19" s="243">
        <v>51.26</v>
      </c>
      <c r="G19" s="243">
        <v>50.86</v>
      </c>
      <c r="H19" s="242">
        <f t="shared" si="0"/>
        <v>0.39999999999999858</v>
      </c>
      <c r="I19" s="242">
        <v>0.15</v>
      </c>
      <c r="J19" s="242">
        <f t="shared" si="1"/>
        <v>0.5499999999999986</v>
      </c>
      <c r="K19" s="244"/>
      <c r="L19" s="233">
        <v>1</v>
      </c>
    </row>
    <row r="20" spans="1:12" ht="20.100000000000001" customHeight="1">
      <c r="A20" s="2012"/>
      <c r="B20" s="242" t="s">
        <v>421</v>
      </c>
      <c r="C20" s="242">
        <v>1</v>
      </c>
      <c r="D20" s="242">
        <v>200</v>
      </c>
      <c r="E20" s="242">
        <v>200</v>
      </c>
      <c r="F20" s="243">
        <v>49.37</v>
      </c>
      <c r="G20" s="243">
        <v>48.97</v>
      </c>
      <c r="H20" s="242">
        <f t="shared" si="0"/>
        <v>0.39999999999999858</v>
      </c>
      <c r="I20" s="242">
        <v>0.15</v>
      </c>
      <c r="J20" s="242">
        <f t="shared" si="1"/>
        <v>0.5499999999999986</v>
      </c>
      <c r="K20" s="244"/>
      <c r="L20" s="233">
        <v>1</v>
      </c>
    </row>
    <row r="21" spans="1:12" ht="20.100000000000001" customHeight="1">
      <c r="A21" s="2012"/>
      <c r="B21" s="242" t="s">
        <v>420</v>
      </c>
      <c r="C21" s="242">
        <v>1</v>
      </c>
      <c r="D21" s="242">
        <v>200</v>
      </c>
      <c r="E21" s="242">
        <v>200</v>
      </c>
      <c r="F21" s="243">
        <v>46.63</v>
      </c>
      <c r="G21" s="243">
        <v>46.33</v>
      </c>
      <c r="H21" s="242">
        <f t="shared" si="0"/>
        <v>0.30000000000000426</v>
      </c>
      <c r="I21" s="242">
        <v>0.15</v>
      </c>
      <c r="J21" s="242">
        <f t="shared" si="1"/>
        <v>0.45000000000000429</v>
      </c>
      <c r="K21" s="244"/>
      <c r="L21" s="233">
        <v>1</v>
      </c>
    </row>
    <row r="22" spans="1:12" ht="20.100000000000001" customHeight="1">
      <c r="A22" s="2012"/>
      <c r="B22" s="242" t="s">
        <v>533</v>
      </c>
      <c r="C22" s="242">
        <v>1</v>
      </c>
      <c r="D22" s="242">
        <v>200</v>
      </c>
      <c r="E22" s="242">
        <v>300</v>
      </c>
      <c r="F22" s="243">
        <v>46.18</v>
      </c>
      <c r="G22" s="243">
        <v>46.08</v>
      </c>
      <c r="H22" s="242">
        <f t="shared" si="0"/>
        <v>0.10000000000000142</v>
      </c>
      <c r="I22" s="242">
        <v>0.15</v>
      </c>
      <c r="J22" s="242">
        <f t="shared" si="1"/>
        <v>0.25000000000000144</v>
      </c>
      <c r="K22" s="244"/>
      <c r="L22" s="233">
        <v>1</v>
      </c>
    </row>
    <row r="23" spans="1:12" ht="20.100000000000001" customHeight="1">
      <c r="A23" s="241" t="s">
        <v>528</v>
      </c>
      <c r="B23" s="242" t="s">
        <v>529</v>
      </c>
      <c r="C23" s="242">
        <v>1</v>
      </c>
      <c r="D23" s="242">
        <v>400</v>
      </c>
      <c r="E23" s="242">
        <v>400</v>
      </c>
      <c r="F23" s="243">
        <v>39.9</v>
      </c>
      <c r="G23" s="243">
        <v>39.5</v>
      </c>
      <c r="H23" s="242">
        <f t="shared" si="0"/>
        <v>0.39999999999999858</v>
      </c>
      <c r="I23" s="242">
        <v>0.15</v>
      </c>
      <c r="J23" s="242">
        <f t="shared" si="1"/>
        <v>0.5499999999999986</v>
      </c>
      <c r="K23" s="244"/>
      <c r="L23" s="233">
        <v>1</v>
      </c>
    </row>
    <row r="24" spans="1:12" ht="20.100000000000001" customHeight="1">
      <c r="A24" s="241" t="s">
        <v>530</v>
      </c>
      <c r="B24" s="242" t="s">
        <v>463</v>
      </c>
      <c r="C24" s="242">
        <v>1</v>
      </c>
      <c r="D24" s="242">
        <v>300</v>
      </c>
      <c r="E24" s="242">
        <v>400</v>
      </c>
      <c r="F24" s="243">
        <v>40.299999999999997</v>
      </c>
      <c r="G24" s="243">
        <v>40.200000000000003</v>
      </c>
      <c r="H24" s="242">
        <f t="shared" si="0"/>
        <v>9.9999999999994316E-2</v>
      </c>
      <c r="I24" s="242">
        <v>0.15</v>
      </c>
      <c r="J24" s="242">
        <f t="shared" si="1"/>
        <v>0.24999999999999431</v>
      </c>
      <c r="K24" s="244"/>
      <c r="L24" s="233">
        <v>1</v>
      </c>
    </row>
    <row r="25" spans="1:12" ht="20.100000000000001" customHeight="1">
      <c r="A25" s="241" t="s">
        <v>531</v>
      </c>
      <c r="B25" s="242" t="s">
        <v>462</v>
      </c>
      <c r="C25" s="242">
        <v>1</v>
      </c>
      <c r="D25" s="242">
        <v>400</v>
      </c>
      <c r="E25" s="242">
        <v>500</v>
      </c>
      <c r="F25" s="243">
        <v>39</v>
      </c>
      <c r="G25" s="243">
        <v>38.9</v>
      </c>
      <c r="H25" s="242">
        <f t="shared" si="0"/>
        <v>0.10000000000000142</v>
      </c>
      <c r="I25" s="242">
        <v>0.15</v>
      </c>
      <c r="J25" s="242">
        <f t="shared" si="1"/>
        <v>0.25000000000000144</v>
      </c>
      <c r="K25" s="244"/>
      <c r="L25" s="233">
        <v>1</v>
      </c>
    </row>
    <row r="26" spans="1:12" ht="20.100000000000001" customHeight="1">
      <c r="A26" s="245" t="s">
        <v>532</v>
      </c>
      <c r="B26" s="246"/>
      <c r="C26" s="246">
        <f>SUM(C3:C25)</f>
        <v>23</v>
      </c>
      <c r="D26" s="247">
        <f>AVERAGE(D3:D25)</f>
        <v>256.52173913043481</v>
      </c>
      <c r="E26" s="246"/>
      <c r="F26" s="248"/>
      <c r="G26" s="248"/>
      <c r="H26" s="246"/>
      <c r="I26" s="246"/>
      <c r="J26" s="249">
        <f>AVERAGE(J3:J25)</f>
        <v>0.44739130434782581</v>
      </c>
      <c r="K26" s="250"/>
    </row>
  </sheetData>
  <mergeCells count="11">
    <mergeCell ref="H1:J1"/>
    <mergeCell ref="K1:K2"/>
    <mergeCell ref="A8:A9"/>
    <mergeCell ref="A11:A13"/>
    <mergeCell ref="A18:A22"/>
    <mergeCell ref="A1:A2"/>
    <mergeCell ref="B1:B2"/>
    <mergeCell ref="C1:C2"/>
    <mergeCell ref="D1:D2"/>
    <mergeCell ref="E1:E2"/>
    <mergeCell ref="F1:G1"/>
  </mergeCells>
  <phoneticPr fontId="13" type="noConversion"/>
  <printOptions horizontalCentered="1"/>
  <pageMargins left="0.70866141732283472" right="0.70866141732283472" top="0.94488188976377963" bottom="0.59055118110236227" header="0.59055118110236227" footer="0.31496062992125984"/>
  <pageSetup paperSize="9" scale="87" orientation="portrait" r:id="rId1"/>
  <headerFooter>
    <oddHeader>&amp;C&amp;"돋움,굵게"&amp;16유입부 하부잡석포설산출조서(&amp;P/&amp;N)</oddHead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4"/>
  <dimension ref="A1:O49"/>
  <sheetViews>
    <sheetView topLeftCell="A13" workbookViewId="0">
      <selection activeCell="L74" sqref="L74"/>
    </sheetView>
  </sheetViews>
  <sheetFormatPr defaultColWidth="9" defaultRowHeight="12"/>
  <cols>
    <col min="1" max="1" width="7.21875" style="798" customWidth="1"/>
    <col min="2" max="2" width="2.6640625" style="798" customWidth="1"/>
    <col min="3" max="3" width="7.21875" style="798" customWidth="1"/>
    <col min="4" max="4" width="9" style="798" hidden="1" customWidth="1"/>
    <col min="5" max="6" width="9" style="798" customWidth="1"/>
    <col min="7" max="9" width="9" style="855" customWidth="1"/>
    <col min="10" max="10" width="9.33203125" style="855" customWidth="1"/>
    <col min="11" max="11" width="12.88671875" style="798" customWidth="1"/>
    <col min="12" max="12" width="9" style="797"/>
    <col min="13" max="249" width="9" style="798"/>
    <col min="250" max="252" width="7.77734375" style="798" customWidth="1"/>
    <col min="253" max="253" width="6.77734375" style="798" customWidth="1"/>
    <col min="254" max="257" width="7.77734375" style="798" customWidth="1"/>
    <col min="258" max="258" width="8.33203125" style="798" customWidth="1"/>
    <col min="259" max="259" width="9" style="798" customWidth="1"/>
    <col min="260" max="261" width="8.33203125" style="798" customWidth="1"/>
    <col min="262" max="262" width="5.77734375" style="798" customWidth="1"/>
    <col min="263" max="263" width="6.77734375" style="798" customWidth="1"/>
    <col min="264" max="264" width="4.77734375" style="798" customWidth="1"/>
    <col min="265" max="505" width="9" style="798"/>
    <col min="506" max="508" width="7.77734375" style="798" customWidth="1"/>
    <col min="509" max="509" width="6.77734375" style="798" customWidth="1"/>
    <col min="510" max="513" width="7.77734375" style="798" customWidth="1"/>
    <col min="514" max="514" width="8.33203125" style="798" customWidth="1"/>
    <col min="515" max="515" width="9" style="798" customWidth="1"/>
    <col min="516" max="517" width="8.33203125" style="798" customWidth="1"/>
    <col min="518" max="518" width="5.77734375" style="798" customWidth="1"/>
    <col min="519" max="519" width="6.77734375" style="798" customWidth="1"/>
    <col min="520" max="520" width="4.77734375" style="798" customWidth="1"/>
    <col min="521" max="761" width="9" style="798"/>
    <col min="762" max="764" width="7.77734375" style="798" customWidth="1"/>
    <col min="765" max="765" width="6.77734375" style="798" customWidth="1"/>
    <col min="766" max="769" width="7.77734375" style="798" customWidth="1"/>
    <col min="770" max="770" width="8.33203125" style="798" customWidth="1"/>
    <col min="771" max="771" width="9" style="798" customWidth="1"/>
    <col min="772" max="773" width="8.33203125" style="798" customWidth="1"/>
    <col min="774" max="774" width="5.77734375" style="798" customWidth="1"/>
    <col min="775" max="775" width="6.77734375" style="798" customWidth="1"/>
    <col min="776" max="776" width="4.77734375" style="798" customWidth="1"/>
    <col min="777" max="1017" width="9" style="798"/>
    <col min="1018" max="1020" width="7.77734375" style="798" customWidth="1"/>
    <col min="1021" max="1021" width="6.77734375" style="798" customWidth="1"/>
    <col min="1022" max="1025" width="7.77734375" style="798" customWidth="1"/>
    <col min="1026" max="1026" width="8.33203125" style="798" customWidth="1"/>
    <col min="1027" max="1027" width="9" style="798" customWidth="1"/>
    <col min="1028" max="1029" width="8.33203125" style="798" customWidth="1"/>
    <col min="1030" max="1030" width="5.77734375" style="798" customWidth="1"/>
    <col min="1031" max="1031" width="6.77734375" style="798" customWidth="1"/>
    <col min="1032" max="1032" width="4.77734375" style="798" customWidth="1"/>
    <col min="1033" max="1273" width="9" style="798"/>
    <col min="1274" max="1276" width="7.77734375" style="798" customWidth="1"/>
    <col min="1277" max="1277" width="6.77734375" style="798" customWidth="1"/>
    <col min="1278" max="1281" width="7.77734375" style="798" customWidth="1"/>
    <col min="1282" max="1282" width="8.33203125" style="798" customWidth="1"/>
    <col min="1283" max="1283" width="9" style="798" customWidth="1"/>
    <col min="1284" max="1285" width="8.33203125" style="798" customWidth="1"/>
    <col min="1286" max="1286" width="5.77734375" style="798" customWidth="1"/>
    <col min="1287" max="1287" width="6.77734375" style="798" customWidth="1"/>
    <col min="1288" max="1288" width="4.77734375" style="798" customWidth="1"/>
    <col min="1289" max="1529" width="9" style="798"/>
    <col min="1530" max="1532" width="7.77734375" style="798" customWidth="1"/>
    <col min="1533" max="1533" width="6.77734375" style="798" customWidth="1"/>
    <col min="1534" max="1537" width="7.77734375" style="798" customWidth="1"/>
    <col min="1538" max="1538" width="8.33203125" style="798" customWidth="1"/>
    <col min="1539" max="1539" width="9" style="798" customWidth="1"/>
    <col min="1540" max="1541" width="8.33203125" style="798" customWidth="1"/>
    <col min="1542" max="1542" width="5.77734375" style="798" customWidth="1"/>
    <col min="1543" max="1543" width="6.77734375" style="798" customWidth="1"/>
    <col min="1544" max="1544" width="4.77734375" style="798" customWidth="1"/>
    <col min="1545" max="1785" width="9" style="798"/>
    <col min="1786" max="1788" width="7.77734375" style="798" customWidth="1"/>
    <col min="1789" max="1789" width="6.77734375" style="798" customWidth="1"/>
    <col min="1790" max="1793" width="7.77734375" style="798" customWidth="1"/>
    <col min="1794" max="1794" width="8.33203125" style="798" customWidth="1"/>
    <col min="1795" max="1795" width="9" style="798" customWidth="1"/>
    <col min="1796" max="1797" width="8.33203125" style="798" customWidth="1"/>
    <col min="1798" max="1798" width="5.77734375" style="798" customWidth="1"/>
    <col min="1799" max="1799" width="6.77734375" style="798" customWidth="1"/>
    <col min="1800" max="1800" width="4.77734375" style="798" customWidth="1"/>
    <col min="1801" max="2041" width="9" style="798"/>
    <col min="2042" max="2044" width="7.77734375" style="798" customWidth="1"/>
    <col min="2045" max="2045" width="6.77734375" style="798" customWidth="1"/>
    <col min="2046" max="2049" width="7.77734375" style="798" customWidth="1"/>
    <col min="2050" max="2050" width="8.33203125" style="798" customWidth="1"/>
    <col min="2051" max="2051" width="9" style="798" customWidth="1"/>
    <col min="2052" max="2053" width="8.33203125" style="798" customWidth="1"/>
    <col min="2054" max="2054" width="5.77734375" style="798" customWidth="1"/>
    <col min="2055" max="2055" width="6.77734375" style="798" customWidth="1"/>
    <col min="2056" max="2056" width="4.77734375" style="798" customWidth="1"/>
    <col min="2057" max="2297" width="9" style="798"/>
    <col min="2298" max="2300" width="7.77734375" style="798" customWidth="1"/>
    <col min="2301" max="2301" width="6.77734375" style="798" customWidth="1"/>
    <col min="2302" max="2305" width="7.77734375" style="798" customWidth="1"/>
    <col min="2306" max="2306" width="8.33203125" style="798" customWidth="1"/>
    <col min="2307" max="2307" width="9" style="798" customWidth="1"/>
    <col min="2308" max="2309" width="8.33203125" style="798" customWidth="1"/>
    <col min="2310" max="2310" width="5.77734375" style="798" customWidth="1"/>
    <col min="2311" max="2311" width="6.77734375" style="798" customWidth="1"/>
    <col min="2312" max="2312" width="4.77734375" style="798" customWidth="1"/>
    <col min="2313" max="2553" width="9" style="798"/>
    <col min="2554" max="2556" width="7.77734375" style="798" customWidth="1"/>
    <col min="2557" max="2557" width="6.77734375" style="798" customWidth="1"/>
    <col min="2558" max="2561" width="7.77734375" style="798" customWidth="1"/>
    <col min="2562" max="2562" width="8.33203125" style="798" customWidth="1"/>
    <col min="2563" max="2563" width="9" style="798" customWidth="1"/>
    <col min="2564" max="2565" width="8.33203125" style="798" customWidth="1"/>
    <col min="2566" max="2566" width="5.77734375" style="798" customWidth="1"/>
    <col min="2567" max="2567" width="6.77734375" style="798" customWidth="1"/>
    <col min="2568" max="2568" width="4.77734375" style="798" customWidth="1"/>
    <col min="2569" max="2809" width="9" style="798"/>
    <col min="2810" max="2812" width="7.77734375" style="798" customWidth="1"/>
    <col min="2813" max="2813" width="6.77734375" style="798" customWidth="1"/>
    <col min="2814" max="2817" width="7.77734375" style="798" customWidth="1"/>
    <col min="2818" max="2818" width="8.33203125" style="798" customWidth="1"/>
    <col min="2819" max="2819" width="9" style="798" customWidth="1"/>
    <col min="2820" max="2821" width="8.33203125" style="798" customWidth="1"/>
    <col min="2822" max="2822" width="5.77734375" style="798" customWidth="1"/>
    <col min="2823" max="2823" width="6.77734375" style="798" customWidth="1"/>
    <col min="2824" max="2824" width="4.77734375" style="798" customWidth="1"/>
    <col min="2825" max="3065" width="9" style="798"/>
    <col min="3066" max="3068" width="7.77734375" style="798" customWidth="1"/>
    <col min="3069" max="3069" width="6.77734375" style="798" customWidth="1"/>
    <col min="3070" max="3073" width="7.77734375" style="798" customWidth="1"/>
    <col min="3074" max="3074" width="8.33203125" style="798" customWidth="1"/>
    <col min="3075" max="3075" width="9" style="798" customWidth="1"/>
    <col min="3076" max="3077" width="8.33203125" style="798" customWidth="1"/>
    <col min="3078" max="3078" width="5.77734375" style="798" customWidth="1"/>
    <col min="3079" max="3079" width="6.77734375" style="798" customWidth="1"/>
    <col min="3080" max="3080" width="4.77734375" style="798" customWidth="1"/>
    <col min="3081" max="3321" width="9" style="798"/>
    <col min="3322" max="3324" width="7.77734375" style="798" customWidth="1"/>
    <col min="3325" max="3325" width="6.77734375" style="798" customWidth="1"/>
    <col min="3326" max="3329" width="7.77734375" style="798" customWidth="1"/>
    <col min="3330" max="3330" width="8.33203125" style="798" customWidth="1"/>
    <col min="3331" max="3331" width="9" style="798" customWidth="1"/>
    <col min="3332" max="3333" width="8.33203125" style="798" customWidth="1"/>
    <col min="3334" max="3334" width="5.77734375" style="798" customWidth="1"/>
    <col min="3335" max="3335" width="6.77734375" style="798" customWidth="1"/>
    <col min="3336" max="3336" width="4.77734375" style="798" customWidth="1"/>
    <col min="3337" max="3577" width="9" style="798"/>
    <col min="3578" max="3580" width="7.77734375" style="798" customWidth="1"/>
    <col min="3581" max="3581" width="6.77734375" style="798" customWidth="1"/>
    <col min="3582" max="3585" width="7.77734375" style="798" customWidth="1"/>
    <col min="3586" max="3586" width="8.33203125" style="798" customWidth="1"/>
    <col min="3587" max="3587" width="9" style="798" customWidth="1"/>
    <col min="3588" max="3589" width="8.33203125" style="798" customWidth="1"/>
    <col min="3590" max="3590" width="5.77734375" style="798" customWidth="1"/>
    <col min="3591" max="3591" width="6.77734375" style="798" customWidth="1"/>
    <col min="3592" max="3592" width="4.77734375" style="798" customWidth="1"/>
    <col min="3593" max="3833" width="9" style="798"/>
    <col min="3834" max="3836" width="7.77734375" style="798" customWidth="1"/>
    <col min="3837" max="3837" width="6.77734375" style="798" customWidth="1"/>
    <col min="3838" max="3841" width="7.77734375" style="798" customWidth="1"/>
    <col min="3842" max="3842" width="8.33203125" style="798" customWidth="1"/>
    <col min="3843" max="3843" width="9" style="798" customWidth="1"/>
    <col min="3844" max="3845" width="8.33203125" style="798" customWidth="1"/>
    <col min="3846" max="3846" width="5.77734375" style="798" customWidth="1"/>
    <col min="3847" max="3847" width="6.77734375" style="798" customWidth="1"/>
    <col min="3848" max="3848" width="4.77734375" style="798" customWidth="1"/>
    <col min="3849" max="4089" width="9" style="798"/>
    <col min="4090" max="4092" width="7.77734375" style="798" customWidth="1"/>
    <col min="4093" max="4093" width="6.77734375" style="798" customWidth="1"/>
    <col min="4094" max="4097" width="7.77734375" style="798" customWidth="1"/>
    <col min="4098" max="4098" width="8.33203125" style="798" customWidth="1"/>
    <col min="4099" max="4099" width="9" style="798" customWidth="1"/>
    <col min="4100" max="4101" width="8.33203125" style="798" customWidth="1"/>
    <col min="4102" max="4102" width="5.77734375" style="798" customWidth="1"/>
    <col min="4103" max="4103" width="6.77734375" style="798" customWidth="1"/>
    <col min="4104" max="4104" width="4.77734375" style="798" customWidth="1"/>
    <col min="4105" max="4345" width="9" style="798"/>
    <col min="4346" max="4348" width="7.77734375" style="798" customWidth="1"/>
    <col min="4349" max="4349" width="6.77734375" style="798" customWidth="1"/>
    <col min="4350" max="4353" width="7.77734375" style="798" customWidth="1"/>
    <col min="4354" max="4354" width="8.33203125" style="798" customWidth="1"/>
    <col min="4355" max="4355" width="9" style="798" customWidth="1"/>
    <col min="4356" max="4357" width="8.33203125" style="798" customWidth="1"/>
    <col min="4358" max="4358" width="5.77734375" style="798" customWidth="1"/>
    <col min="4359" max="4359" width="6.77734375" style="798" customWidth="1"/>
    <col min="4360" max="4360" width="4.77734375" style="798" customWidth="1"/>
    <col min="4361" max="4601" width="9" style="798"/>
    <col min="4602" max="4604" width="7.77734375" style="798" customWidth="1"/>
    <col min="4605" max="4605" width="6.77734375" style="798" customWidth="1"/>
    <col min="4606" max="4609" width="7.77734375" style="798" customWidth="1"/>
    <col min="4610" max="4610" width="8.33203125" style="798" customWidth="1"/>
    <col min="4611" max="4611" width="9" style="798" customWidth="1"/>
    <col min="4612" max="4613" width="8.33203125" style="798" customWidth="1"/>
    <col min="4614" max="4614" width="5.77734375" style="798" customWidth="1"/>
    <col min="4615" max="4615" width="6.77734375" style="798" customWidth="1"/>
    <col min="4616" max="4616" width="4.77734375" style="798" customWidth="1"/>
    <col min="4617" max="4857" width="9" style="798"/>
    <col min="4858" max="4860" width="7.77734375" style="798" customWidth="1"/>
    <col min="4861" max="4861" width="6.77734375" style="798" customWidth="1"/>
    <col min="4862" max="4865" width="7.77734375" style="798" customWidth="1"/>
    <col min="4866" max="4866" width="8.33203125" style="798" customWidth="1"/>
    <col min="4867" max="4867" width="9" style="798" customWidth="1"/>
    <col min="4868" max="4869" width="8.33203125" style="798" customWidth="1"/>
    <col min="4870" max="4870" width="5.77734375" style="798" customWidth="1"/>
    <col min="4871" max="4871" width="6.77734375" style="798" customWidth="1"/>
    <col min="4872" max="4872" width="4.77734375" style="798" customWidth="1"/>
    <col min="4873" max="5113" width="9" style="798"/>
    <col min="5114" max="5116" width="7.77734375" style="798" customWidth="1"/>
    <col min="5117" max="5117" width="6.77734375" style="798" customWidth="1"/>
    <col min="5118" max="5121" width="7.77734375" style="798" customWidth="1"/>
    <col min="5122" max="5122" width="8.33203125" style="798" customWidth="1"/>
    <col min="5123" max="5123" width="9" style="798" customWidth="1"/>
    <col min="5124" max="5125" width="8.33203125" style="798" customWidth="1"/>
    <col min="5126" max="5126" width="5.77734375" style="798" customWidth="1"/>
    <col min="5127" max="5127" width="6.77734375" style="798" customWidth="1"/>
    <col min="5128" max="5128" width="4.77734375" style="798" customWidth="1"/>
    <col min="5129" max="5369" width="9" style="798"/>
    <col min="5370" max="5372" width="7.77734375" style="798" customWidth="1"/>
    <col min="5373" max="5373" width="6.77734375" style="798" customWidth="1"/>
    <col min="5374" max="5377" width="7.77734375" style="798" customWidth="1"/>
    <col min="5378" max="5378" width="8.33203125" style="798" customWidth="1"/>
    <col min="5379" max="5379" width="9" style="798" customWidth="1"/>
    <col min="5380" max="5381" width="8.33203125" style="798" customWidth="1"/>
    <col min="5382" max="5382" width="5.77734375" style="798" customWidth="1"/>
    <col min="5383" max="5383" width="6.77734375" style="798" customWidth="1"/>
    <col min="5384" max="5384" width="4.77734375" style="798" customWidth="1"/>
    <col min="5385" max="5625" width="9" style="798"/>
    <col min="5626" max="5628" width="7.77734375" style="798" customWidth="1"/>
    <col min="5629" max="5629" width="6.77734375" style="798" customWidth="1"/>
    <col min="5630" max="5633" width="7.77734375" style="798" customWidth="1"/>
    <col min="5634" max="5634" width="8.33203125" style="798" customWidth="1"/>
    <col min="5635" max="5635" width="9" style="798" customWidth="1"/>
    <col min="5636" max="5637" width="8.33203125" style="798" customWidth="1"/>
    <col min="5638" max="5638" width="5.77734375" style="798" customWidth="1"/>
    <col min="5639" max="5639" width="6.77734375" style="798" customWidth="1"/>
    <col min="5640" max="5640" width="4.77734375" style="798" customWidth="1"/>
    <col min="5641" max="5881" width="9" style="798"/>
    <col min="5882" max="5884" width="7.77734375" style="798" customWidth="1"/>
    <col min="5885" max="5885" width="6.77734375" style="798" customWidth="1"/>
    <col min="5886" max="5889" width="7.77734375" style="798" customWidth="1"/>
    <col min="5890" max="5890" width="8.33203125" style="798" customWidth="1"/>
    <col min="5891" max="5891" width="9" style="798" customWidth="1"/>
    <col min="5892" max="5893" width="8.33203125" style="798" customWidth="1"/>
    <col min="5894" max="5894" width="5.77734375" style="798" customWidth="1"/>
    <col min="5895" max="5895" width="6.77734375" style="798" customWidth="1"/>
    <col min="5896" max="5896" width="4.77734375" style="798" customWidth="1"/>
    <col min="5897" max="6137" width="9" style="798"/>
    <col min="6138" max="6140" width="7.77734375" style="798" customWidth="1"/>
    <col min="6141" max="6141" width="6.77734375" style="798" customWidth="1"/>
    <col min="6142" max="6145" width="7.77734375" style="798" customWidth="1"/>
    <col min="6146" max="6146" width="8.33203125" style="798" customWidth="1"/>
    <col min="6147" max="6147" width="9" style="798" customWidth="1"/>
    <col min="6148" max="6149" width="8.33203125" style="798" customWidth="1"/>
    <col min="6150" max="6150" width="5.77734375" style="798" customWidth="1"/>
    <col min="6151" max="6151" width="6.77734375" style="798" customWidth="1"/>
    <col min="6152" max="6152" width="4.77734375" style="798" customWidth="1"/>
    <col min="6153" max="6393" width="9" style="798"/>
    <col min="6394" max="6396" width="7.77734375" style="798" customWidth="1"/>
    <col min="6397" max="6397" width="6.77734375" style="798" customWidth="1"/>
    <col min="6398" max="6401" width="7.77734375" style="798" customWidth="1"/>
    <col min="6402" max="6402" width="8.33203125" style="798" customWidth="1"/>
    <col min="6403" max="6403" width="9" style="798" customWidth="1"/>
    <col min="6404" max="6405" width="8.33203125" style="798" customWidth="1"/>
    <col min="6406" max="6406" width="5.77734375" style="798" customWidth="1"/>
    <col min="6407" max="6407" width="6.77734375" style="798" customWidth="1"/>
    <col min="6408" max="6408" width="4.77734375" style="798" customWidth="1"/>
    <col min="6409" max="6649" width="9" style="798"/>
    <col min="6650" max="6652" width="7.77734375" style="798" customWidth="1"/>
    <col min="6653" max="6653" width="6.77734375" style="798" customWidth="1"/>
    <col min="6654" max="6657" width="7.77734375" style="798" customWidth="1"/>
    <col min="6658" max="6658" width="8.33203125" style="798" customWidth="1"/>
    <col min="6659" max="6659" width="9" style="798" customWidth="1"/>
    <col min="6660" max="6661" width="8.33203125" style="798" customWidth="1"/>
    <col min="6662" max="6662" width="5.77734375" style="798" customWidth="1"/>
    <col min="6663" max="6663" width="6.77734375" style="798" customWidth="1"/>
    <col min="6664" max="6664" width="4.77734375" style="798" customWidth="1"/>
    <col min="6665" max="6905" width="9" style="798"/>
    <col min="6906" max="6908" width="7.77734375" style="798" customWidth="1"/>
    <col min="6909" max="6909" width="6.77734375" style="798" customWidth="1"/>
    <col min="6910" max="6913" width="7.77734375" style="798" customWidth="1"/>
    <col min="6914" max="6914" width="8.33203125" style="798" customWidth="1"/>
    <col min="6915" max="6915" width="9" style="798" customWidth="1"/>
    <col min="6916" max="6917" width="8.33203125" style="798" customWidth="1"/>
    <col min="6918" max="6918" width="5.77734375" style="798" customWidth="1"/>
    <col min="6919" max="6919" width="6.77734375" style="798" customWidth="1"/>
    <col min="6920" max="6920" width="4.77734375" style="798" customWidth="1"/>
    <col min="6921" max="7161" width="9" style="798"/>
    <col min="7162" max="7164" width="7.77734375" style="798" customWidth="1"/>
    <col min="7165" max="7165" width="6.77734375" style="798" customWidth="1"/>
    <col min="7166" max="7169" width="7.77734375" style="798" customWidth="1"/>
    <col min="7170" max="7170" width="8.33203125" style="798" customWidth="1"/>
    <col min="7171" max="7171" width="9" style="798" customWidth="1"/>
    <col min="7172" max="7173" width="8.33203125" style="798" customWidth="1"/>
    <col min="7174" max="7174" width="5.77734375" style="798" customWidth="1"/>
    <col min="7175" max="7175" width="6.77734375" style="798" customWidth="1"/>
    <col min="7176" max="7176" width="4.77734375" style="798" customWidth="1"/>
    <col min="7177" max="7417" width="9" style="798"/>
    <col min="7418" max="7420" width="7.77734375" style="798" customWidth="1"/>
    <col min="7421" max="7421" width="6.77734375" style="798" customWidth="1"/>
    <col min="7422" max="7425" width="7.77734375" style="798" customWidth="1"/>
    <col min="7426" max="7426" width="8.33203125" style="798" customWidth="1"/>
    <col min="7427" max="7427" width="9" style="798" customWidth="1"/>
    <col min="7428" max="7429" width="8.33203125" style="798" customWidth="1"/>
    <col min="7430" max="7430" width="5.77734375" style="798" customWidth="1"/>
    <col min="7431" max="7431" width="6.77734375" style="798" customWidth="1"/>
    <col min="7432" max="7432" width="4.77734375" style="798" customWidth="1"/>
    <col min="7433" max="7673" width="9" style="798"/>
    <col min="7674" max="7676" width="7.77734375" style="798" customWidth="1"/>
    <col min="7677" max="7677" width="6.77734375" style="798" customWidth="1"/>
    <col min="7678" max="7681" width="7.77734375" style="798" customWidth="1"/>
    <col min="7682" max="7682" width="8.33203125" style="798" customWidth="1"/>
    <col min="7683" max="7683" width="9" style="798" customWidth="1"/>
    <col min="7684" max="7685" width="8.33203125" style="798" customWidth="1"/>
    <col min="7686" max="7686" width="5.77734375" style="798" customWidth="1"/>
    <col min="7687" max="7687" width="6.77734375" style="798" customWidth="1"/>
    <col min="7688" max="7688" width="4.77734375" style="798" customWidth="1"/>
    <col min="7689" max="7929" width="9" style="798"/>
    <col min="7930" max="7932" width="7.77734375" style="798" customWidth="1"/>
    <col min="7933" max="7933" width="6.77734375" style="798" customWidth="1"/>
    <col min="7934" max="7937" width="7.77734375" style="798" customWidth="1"/>
    <col min="7938" max="7938" width="8.33203125" style="798" customWidth="1"/>
    <col min="7939" max="7939" width="9" style="798" customWidth="1"/>
    <col min="7940" max="7941" width="8.33203125" style="798" customWidth="1"/>
    <col min="7942" max="7942" width="5.77734375" style="798" customWidth="1"/>
    <col min="7943" max="7943" width="6.77734375" style="798" customWidth="1"/>
    <col min="7944" max="7944" width="4.77734375" style="798" customWidth="1"/>
    <col min="7945" max="8185" width="9" style="798"/>
    <col min="8186" max="8188" width="7.77734375" style="798" customWidth="1"/>
    <col min="8189" max="8189" width="6.77734375" style="798" customWidth="1"/>
    <col min="8190" max="8193" width="7.77734375" style="798" customWidth="1"/>
    <col min="8194" max="8194" width="8.33203125" style="798" customWidth="1"/>
    <col min="8195" max="8195" width="9" style="798" customWidth="1"/>
    <col min="8196" max="8197" width="8.33203125" style="798" customWidth="1"/>
    <col min="8198" max="8198" width="5.77734375" style="798" customWidth="1"/>
    <col min="8199" max="8199" width="6.77734375" style="798" customWidth="1"/>
    <col min="8200" max="8200" width="4.77734375" style="798" customWidth="1"/>
    <col min="8201" max="8441" width="9" style="798"/>
    <col min="8442" max="8444" width="7.77734375" style="798" customWidth="1"/>
    <col min="8445" max="8445" width="6.77734375" style="798" customWidth="1"/>
    <col min="8446" max="8449" width="7.77734375" style="798" customWidth="1"/>
    <col min="8450" max="8450" width="8.33203125" style="798" customWidth="1"/>
    <col min="8451" max="8451" width="9" style="798" customWidth="1"/>
    <col min="8452" max="8453" width="8.33203125" style="798" customWidth="1"/>
    <col min="8454" max="8454" width="5.77734375" style="798" customWidth="1"/>
    <col min="8455" max="8455" width="6.77734375" style="798" customWidth="1"/>
    <col min="8456" max="8456" width="4.77734375" style="798" customWidth="1"/>
    <col min="8457" max="8697" width="9" style="798"/>
    <col min="8698" max="8700" width="7.77734375" style="798" customWidth="1"/>
    <col min="8701" max="8701" width="6.77734375" style="798" customWidth="1"/>
    <col min="8702" max="8705" width="7.77734375" style="798" customWidth="1"/>
    <col min="8706" max="8706" width="8.33203125" style="798" customWidth="1"/>
    <col min="8707" max="8707" width="9" style="798" customWidth="1"/>
    <col min="8708" max="8709" width="8.33203125" style="798" customWidth="1"/>
    <col min="8710" max="8710" width="5.77734375" style="798" customWidth="1"/>
    <col min="8711" max="8711" width="6.77734375" style="798" customWidth="1"/>
    <col min="8712" max="8712" width="4.77734375" style="798" customWidth="1"/>
    <col min="8713" max="8953" width="9" style="798"/>
    <col min="8954" max="8956" width="7.77734375" style="798" customWidth="1"/>
    <col min="8957" max="8957" width="6.77734375" style="798" customWidth="1"/>
    <col min="8958" max="8961" width="7.77734375" style="798" customWidth="1"/>
    <col min="8962" max="8962" width="8.33203125" style="798" customWidth="1"/>
    <col min="8963" max="8963" width="9" style="798" customWidth="1"/>
    <col min="8964" max="8965" width="8.33203125" style="798" customWidth="1"/>
    <col min="8966" max="8966" width="5.77734375" style="798" customWidth="1"/>
    <col min="8967" max="8967" width="6.77734375" style="798" customWidth="1"/>
    <col min="8968" max="8968" width="4.77734375" style="798" customWidth="1"/>
    <col min="8969" max="9209" width="9" style="798"/>
    <col min="9210" max="9212" width="7.77734375" style="798" customWidth="1"/>
    <col min="9213" max="9213" width="6.77734375" style="798" customWidth="1"/>
    <col min="9214" max="9217" width="7.77734375" style="798" customWidth="1"/>
    <col min="9218" max="9218" width="8.33203125" style="798" customWidth="1"/>
    <col min="9219" max="9219" width="9" style="798" customWidth="1"/>
    <col min="9220" max="9221" width="8.33203125" style="798" customWidth="1"/>
    <col min="9222" max="9222" width="5.77734375" style="798" customWidth="1"/>
    <col min="9223" max="9223" width="6.77734375" style="798" customWidth="1"/>
    <col min="9224" max="9224" width="4.77734375" style="798" customWidth="1"/>
    <col min="9225" max="9465" width="9" style="798"/>
    <col min="9466" max="9468" width="7.77734375" style="798" customWidth="1"/>
    <col min="9469" max="9469" width="6.77734375" style="798" customWidth="1"/>
    <col min="9470" max="9473" width="7.77734375" style="798" customWidth="1"/>
    <col min="9474" max="9474" width="8.33203125" style="798" customWidth="1"/>
    <col min="9475" max="9475" width="9" style="798" customWidth="1"/>
    <col min="9476" max="9477" width="8.33203125" style="798" customWidth="1"/>
    <col min="9478" max="9478" width="5.77734375" style="798" customWidth="1"/>
    <col min="9479" max="9479" width="6.77734375" style="798" customWidth="1"/>
    <col min="9480" max="9480" width="4.77734375" style="798" customWidth="1"/>
    <col min="9481" max="9721" width="9" style="798"/>
    <col min="9722" max="9724" width="7.77734375" style="798" customWidth="1"/>
    <col min="9725" max="9725" width="6.77734375" style="798" customWidth="1"/>
    <col min="9726" max="9729" width="7.77734375" style="798" customWidth="1"/>
    <col min="9730" max="9730" width="8.33203125" style="798" customWidth="1"/>
    <col min="9731" max="9731" width="9" style="798" customWidth="1"/>
    <col min="9732" max="9733" width="8.33203125" style="798" customWidth="1"/>
    <col min="9734" max="9734" width="5.77734375" style="798" customWidth="1"/>
    <col min="9735" max="9735" width="6.77734375" style="798" customWidth="1"/>
    <col min="9736" max="9736" width="4.77734375" style="798" customWidth="1"/>
    <col min="9737" max="9977" width="9" style="798"/>
    <col min="9978" max="9980" width="7.77734375" style="798" customWidth="1"/>
    <col min="9981" max="9981" width="6.77734375" style="798" customWidth="1"/>
    <col min="9982" max="9985" width="7.77734375" style="798" customWidth="1"/>
    <col min="9986" max="9986" width="8.33203125" style="798" customWidth="1"/>
    <col min="9987" max="9987" width="9" style="798" customWidth="1"/>
    <col min="9988" max="9989" width="8.33203125" style="798" customWidth="1"/>
    <col min="9990" max="9990" width="5.77734375" style="798" customWidth="1"/>
    <col min="9991" max="9991" width="6.77734375" style="798" customWidth="1"/>
    <col min="9992" max="9992" width="4.77734375" style="798" customWidth="1"/>
    <col min="9993" max="10233" width="9" style="798"/>
    <col min="10234" max="10236" width="7.77734375" style="798" customWidth="1"/>
    <col min="10237" max="10237" width="6.77734375" style="798" customWidth="1"/>
    <col min="10238" max="10241" width="7.77734375" style="798" customWidth="1"/>
    <col min="10242" max="10242" width="8.33203125" style="798" customWidth="1"/>
    <col min="10243" max="10243" width="9" style="798" customWidth="1"/>
    <col min="10244" max="10245" width="8.33203125" style="798" customWidth="1"/>
    <col min="10246" max="10246" width="5.77734375" style="798" customWidth="1"/>
    <col min="10247" max="10247" width="6.77734375" style="798" customWidth="1"/>
    <col min="10248" max="10248" width="4.77734375" style="798" customWidth="1"/>
    <col min="10249" max="10489" width="9" style="798"/>
    <col min="10490" max="10492" width="7.77734375" style="798" customWidth="1"/>
    <col min="10493" max="10493" width="6.77734375" style="798" customWidth="1"/>
    <col min="10494" max="10497" width="7.77734375" style="798" customWidth="1"/>
    <col min="10498" max="10498" width="8.33203125" style="798" customWidth="1"/>
    <col min="10499" max="10499" width="9" style="798" customWidth="1"/>
    <col min="10500" max="10501" width="8.33203125" style="798" customWidth="1"/>
    <col min="10502" max="10502" width="5.77734375" style="798" customWidth="1"/>
    <col min="10503" max="10503" width="6.77734375" style="798" customWidth="1"/>
    <col min="10504" max="10504" width="4.77734375" style="798" customWidth="1"/>
    <col min="10505" max="10745" width="9" style="798"/>
    <col min="10746" max="10748" width="7.77734375" style="798" customWidth="1"/>
    <col min="10749" max="10749" width="6.77734375" style="798" customWidth="1"/>
    <col min="10750" max="10753" width="7.77734375" style="798" customWidth="1"/>
    <col min="10754" max="10754" width="8.33203125" style="798" customWidth="1"/>
    <col min="10755" max="10755" width="9" style="798" customWidth="1"/>
    <col min="10756" max="10757" width="8.33203125" style="798" customWidth="1"/>
    <col min="10758" max="10758" width="5.77734375" style="798" customWidth="1"/>
    <col min="10759" max="10759" width="6.77734375" style="798" customWidth="1"/>
    <col min="10760" max="10760" width="4.77734375" style="798" customWidth="1"/>
    <col min="10761" max="11001" width="9" style="798"/>
    <col min="11002" max="11004" width="7.77734375" style="798" customWidth="1"/>
    <col min="11005" max="11005" width="6.77734375" style="798" customWidth="1"/>
    <col min="11006" max="11009" width="7.77734375" style="798" customWidth="1"/>
    <col min="11010" max="11010" width="8.33203125" style="798" customWidth="1"/>
    <col min="11011" max="11011" width="9" style="798" customWidth="1"/>
    <col min="11012" max="11013" width="8.33203125" style="798" customWidth="1"/>
    <col min="11014" max="11014" width="5.77734375" style="798" customWidth="1"/>
    <col min="11015" max="11015" width="6.77734375" style="798" customWidth="1"/>
    <col min="11016" max="11016" width="4.77734375" style="798" customWidth="1"/>
    <col min="11017" max="11257" width="9" style="798"/>
    <col min="11258" max="11260" width="7.77734375" style="798" customWidth="1"/>
    <col min="11261" max="11261" width="6.77734375" style="798" customWidth="1"/>
    <col min="11262" max="11265" width="7.77734375" style="798" customWidth="1"/>
    <col min="11266" max="11266" width="8.33203125" style="798" customWidth="1"/>
    <col min="11267" max="11267" width="9" style="798" customWidth="1"/>
    <col min="11268" max="11269" width="8.33203125" style="798" customWidth="1"/>
    <col min="11270" max="11270" width="5.77734375" style="798" customWidth="1"/>
    <col min="11271" max="11271" width="6.77734375" style="798" customWidth="1"/>
    <col min="11272" max="11272" width="4.77734375" style="798" customWidth="1"/>
    <col min="11273" max="11513" width="9" style="798"/>
    <col min="11514" max="11516" width="7.77734375" style="798" customWidth="1"/>
    <col min="11517" max="11517" width="6.77734375" style="798" customWidth="1"/>
    <col min="11518" max="11521" width="7.77734375" style="798" customWidth="1"/>
    <col min="11522" max="11522" width="8.33203125" style="798" customWidth="1"/>
    <col min="11523" max="11523" width="9" style="798" customWidth="1"/>
    <col min="11524" max="11525" width="8.33203125" style="798" customWidth="1"/>
    <col min="11526" max="11526" width="5.77734375" style="798" customWidth="1"/>
    <col min="11527" max="11527" width="6.77734375" style="798" customWidth="1"/>
    <col min="11528" max="11528" width="4.77734375" style="798" customWidth="1"/>
    <col min="11529" max="11769" width="9" style="798"/>
    <col min="11770" max="11772" width="7.77734375" style="798" customWidth="1"/>
    <col min="11773" max="11773" width="6.77734375" style="798" customWidth="1"/>
    <col min="11774" max="11777" width="7.77734375" style="798" customWidth="1"/>
    <col min="11778" max="11778" width="8.33203125" style="798" customWidth="1"/>
    <col min="11779" max="11779" width="9" style="798" customWidth="1"/>
    <col min="11780" max="11781" width="8.33203125" style="798" customWidth="1"/>
    <col min="11782" max="11782" width="5.77734375" style="798" customWidth="1"/>
    <col min="11783" max="11783" width="6.77734375" style="798" customWidth="1"/>
    <col min="11784" max="11784" width="4.77734375" style="798" customWidth="1"/>
    <col min="11785" max="12025" width="9" style="798"/>
    <col min="12026" max="12028" width="7.77734375" style="798" customWidth="1"/>
    <col min="12029" max="12029" width="6.77734375" style="798" customWidth="1"/>
    <col min="12030" max="12033" width="7.77734375" style="798" customWidth="1"/>
    <col min="12034" max="12034" width="8.33203125" style="798" customWidth="1"/>
    <col min="12035" max="12035" width="9" style="798" customWidth="1"/>
    <col min="12036" max="12037" width="8.33203125" style="798" customWidth="1"/>
    <col min="12038" max="12038" width="5.77734375" style="798" customWidth="1"/>
    <col min="12039" max="12039" width="6.77734375" style="798" customWidth="1"/>
    <col min="12040" max="12040" width="4.77734375" style="798" customWidth="1"/>
    <col min="12041" max="12281" width="9" style="798"/>
    <col min="12282" max="12284" width="7.77734375" style="798" customWidth="1"/>
    <col min="12285" max="12285" width="6.77734375" style="798" customWidth="1"/>
    <col min="12286" max="12289" width="7.77734375" style="798" customWidth="1"/>
    <col min="12290" max="12290" width="8.33203125" style="798" customWidth="1"/>
    <col min="12291" max="12291" width="9" style="798" customWidth="1"/>
    <col min="12292" max="12293" width="8.33203125" style="798" customWidth="1"/>
    <col min="12294" max="12294" width="5.77734375" style="798" customWidth="1"/>
    <col min="12295" max="12295" width="6.77734375" style="798" customWidth="1"/>
    <col min="12296" max="12296" width="4.77734375" style="798" customWidth="1"/>
    <col min="12297" max="12537" width="9" style="798"/>
    <col min="12538" max="12540" width="7.77734375" style="798" customWidth="1"/>
    <col min="12541" max="12541" width="6.77734375" style="798" customWidth="1"/>
    <col min="12542" max="12545" width="7.77734375" style="798" customWidth="1"/>
    <col min="12546" max="12546" width="8.33203125" style="798" customWidth="1"/>
    <col min="12547" max="12547" width="9" style="798" customWidth="1"/>
    <col min="12548" max="12549" width="8.33203125" style="798" customWidth="1"/>
    <col min="12550" max="12550" width="5.77734375" style="798" customWidth="1"/>
    <col min="12551" max="12551" width="6.77734375" style="798" customWidth="1"/>
    <col min="12552" max="12552" width="4.77734375" style="798" customWidth="1"/>
    <col min="12553" max="12793" width="9" style="798"/>
    <col min="12794" max="12796" width="7.77734375" style="798" customWidth="1"/>
    <col min="12797" max="12797" width="6.77734375" style="798" customWidth="1"/>
    <col min="12798" max="12801" width="7.77734375" style="798" customWidth="1"/>
    <col min="12802" max="12802" width="8.33203125" style="798" customWidth="1"/>
    <col min="12803" max="12803" width="9" style="798" customWidth="1"/>
    <col min="12804" max="12805" width="8.33203125" style="798" customWidth="1"/>
    <col min="12806" max="12806" width="5.77734375" style="798" customWidth="1"/>
    <col min="12807" max="12807" width="6.77734375" style="798" customWidth="1"/>
    <col min="12808" max="12808" width="4.77734375" style="798" customWidth="1"/>
    <col min="12809" max="13049" width="9" style="798"/>
    <col min="13050" max="13052" width="7.77734375" style="798" customWidth="1"/>
    <col min="13053" max="13053" width="6.77734375" style="798" customWidth="1"/>
    <col min="13054" max="13057" width="7.77734375" style="798" customWidth="1"/>
    <col min="13058" max="13058" width="8.33203125" style="798" customWidth="1"/>
    <col min="13059" max="13059" width="9" style="798" customWidth="1"/>
    <col min="13060" max="13061" width="8.33203125" style="798" customWidth="1"/>
    <col min="13062" max="13062" width="5.77734375" style="798" customWidth="1"/>
    <col min="13063" max="13063" width="6.77734375" style="798" customWidth="1"/>
    <col min="13064" max="13064" width="4.77734375" style="798" customWidth="1"/>
    <col min="13065" max="13305" width="9" style="798"/>
    <col min="13306" max="13308" width="7.77734375" style="798" customWidth="1"/>
    <col min="13309" max="13309" width="6.77734375" style="798" customWidth="1"/>
    <col min="13310" max="13313" width="7.77734375" style="798" customWidth="1"/>
    <col min="13314" max="13314" width="8.33203125" style="798" customWidth="1"/>
    <col min="13315" max="13315" width="9" style="798" customWidth="1"/>
    <col min="13316" max="13317" width="8.33203125" style="798" customWidth="1"/>
    <col min="13318" max="13318" width="5.77734375" style="798" customWidth="1"/>
    <col min="13319" max="13319" width="6.77734375" style="798" customWidth="1"/>
    <col min="13320" max="13320" width="4.77734375" style="798" customWidth="1"/>
    <col min="13321" max="13561" width="9" style="798"/>
    <col min="13562" max="13564" width="7.77734375" style="798" customWidth="1"/>
    <col min="13565" max="13565" width="6.77734375" style="798" customWidth="1"/>
    <col min="13566" max="13569" width="7.77734375" style="798" customWidth="1"/>
    <col min="13570" max="13570" width="8.33203125" style="798" customWidth="1"/>
    <col min="13571" max="13571" width="9" style="798" customWidth="1"/>
    <col min="13572" max="13573" width="8.33203125" style="798" customWidth="1"/>
    <col min="13574" max="13574" width="5.77734375" style="798" customWidth="1"/>
    <col min="13575" max="13575" width="6.77734375" style="798" customWidth="1"/>
    <col min="13576" max="13576" width="4.77734375" style="798" customWidth="1"/>
    <col min="13577" max="13817" width="9" style="798"/>
    <col min="13818" max="13820" width="7.77734375" style="798" customWidth="1"/>
    <col min="13821" max="13821" width="6.77734375" style="798" customWidth="1"/>
    <col min="13822" max="13825" width="7.77734375" style="798" customWidth="1"/>
    <col min="13826" max="13826" width="8.33203125" style="798" customWidth="1"/>
    <col min="13827" max="13827" width="9" style="798" customWidth="1"/>
    <col min="13828" max="13829" width="8.33203125" style="798" customWidth="1"/>
    <col min="13830" max="13830" width="5.77734375" style="798" customWidth="1"/>
    <col min="13831" max="13831" width="6.77734375" style="798" customWidth="1"/>
    <col min="13832" max="13832" width="4.77734375" style="798" customWidth="1"/>
    <col min="13833" max="14073" width="9" style="798"/>
    <col min="14074" max="14076" width="7.77734375" style="798" customWidth="1"/>
    <col min="14077" max="14077" width="6.77734375" style="798" customWidth="1"/>
    <col min="14078" max="14081" width="7.77734375" style="798" customWidth="1"/>
    <col min="14082" max="14082" width="8.33203125" style="798" customWidth="1"/>
    <col min="14083" max="14083" width="9" style="798" customWidth="1"/>
    <col min="14084" max="14085" width="8.33203125" style="798" customWidth="1"/>
    <col min="14086" max="14086" width="5.77734375" style="798" customWidth="1"/>
    <col min="14087" max="14087" width="6.77734375" style="798" customWidth="1"/>
    <col min="14088" max="14088" width="4.77734375" style="798" customWidth="1"/>
    <col min="14089" max="14329" width="9" style="798"/>
    <col min="14330" max="14332" width="7.77734375" style="798" customWidth="1"/>
    <col min="14333" max="14333" width="6.77734375" style="798" customWidth="1"/>
    <col min="14334" max="14337" width="7.77734375" style="798" customWidth="1"/>
    <col min="14338" max="14338" width="8.33203125" style="798" customWidth="1"/>
    <col min="14339" max="14339" width="9" style="798" customWidth="1"/>
    <col min="14340" max="14341" width="8.33203125" style="798" customWidth="1"/>
    <col min="14342" max="14342" width="5.77734375" style="798" customWidth="1"/>
    <col min="14343" max="14343" width="6.77734375" style="798" customWidth="1"/>
    <col min="14344" max="14344" width="4.77734375" style="798" customWidth="1"/>
    <col min="14345" max="14585" width="9" style="798"/>
    <col min="14586" max="14588" width="7.77734375" style="798" customWidth="1"/>
    <col min="14589" max="14589" width="6.77734375" style="798" customWidth="1"/>
    <col min="14590" max="14593" width="7.77734375" style="798" customWidth="1"/>
    <col min="14594" max="14594" width="8.33203125" style="798" customWidth="1"/>
    <col min="14595" max="14595" width="9" style="798" customWidth="1"/>
    <col min="14596" max="14597" width="8.33203125" style="798" customWidth="1"/>
    <col min="14598" max="14598" width="5.77734375" style="798" customWidth="1"/>
    <col min="14599" max="14599" width="6.77734375" style="798" customWidth="1"/>
    <col min="14600" max="14600" width="4.77734375" style="798" customWidth="1"/>
    <col min="14601" max="14841" width="9" style="798"/>
    <col min="14842" max="14844" width="7.77734375" style="798" customWidth="1"/>
    <col min="14845" max="14845" width="6.77734375" style="798" customWidth="1"/>
    <col min="14846" max="14849" width="7.77734375" style="798" customWidth="1"/>
    <col min="14850" max="14850" width="8.33203125" style="798" customWidth="1"/>
    <col min="14851" max="14851" width="9" style="798" customWidth="1"/>
    <col min="14852" max="14853" width="8.33203125" style="798" customWidth="1"/>
    <col min="14854" max="14854" width="5.77734375" style="798" customWidth="1"/>
    <col min="14855" max="14855" width="6.77734375" style="798" customWidth="1"/>
    <col min="14856" max="14856" width="4.77734375" style="798" customWidth="1"/>
    <col min="14857" max="15097" width="9" style="798"/>
    <col min="15098" max="15100" width="7.77734375" style="798" customWidth="1"/>
    <col min="15101" max="15101" width="6.77734375" style="798" customWidth="1"/>
    <col min="15102" max="15105" width="7.77734375" style="798" customWidth="1"/>
    <col min="15106" max="15106" width="8.33203125" style="798" customWidth="1"/>
    <col min="15107" max="15107" width="9" style="798" customWidth="1"/>
    <col min="15108" max="15109" width="8.33203125" style="798" customWidth="1"/>
    <col min="15110" max="15110" width="5.77734375" style="798" customWidth="1"/>
    <col min="15111" max="15111" width="6.77734375" style="798" customWidth="1"/>
    <col min="15112" max="15112" width="4.77734375" style="798" customWidth="1"/>
    <col min="15113" max="15353" width="9" style="798"/>
    <col min="15354" max="15356" width="7.77734375" style="798" customWidth="1"/>
    <col min="15357" max="15357" width="6.77734375" style="798" customWidth="1"/>
    <col min="15358" max="15361" width="7.77734375" style="798" customWidth="1"/>
    <col min="15362" max="15362" width="8.33203125" style="798" customWidth="1"/>
    <col min="15363" max="15363" width="9" style="798" customWidth="1"/>
    <col min="15364" max="15365" width="8.33203125" style="798" customWidth="1"/>
    <col min="15366" max="15366" width="5.77734375" style="798" customWidth="1"/>
    <col min="15367" max="15367" width="6.77734375" style="798" customWidth="1"/>
    <col min="15368" max="15368" width="4.77734375" style="798" customWidth="1"/>
    <col min="15369" max="15609" width="9" style="798"/>
    <col min="15610" max="15612" width="7.77734375" style="798" customWidth="1"/>
    <col min="15613" max="15613" width="6.77734375" style="798" customWidth="1"/>
    <col min="15614" max="15617" width="7.77734375" style="798" customWidth="1"/>
    <col min="15618" max="15618" width="8.33203125" style="798" customWidth="1"/>
    <col min="15619" max="15619" width="9" style="798" customWidth="1"/>
    <col min="15620" max="15621" width="8.33203125" style="798" customWidth="1"/>
    <col min="15622" max="15622" width="5.77734375" style="798" customWidth="1"/>
    <col min="15623" max="15623" width="6.77734375" style="798" customWidth="1"/>
    <col min="15624" max="15624" width="4.77734375" style="798" customWidth="1"/>
    <col min="15625" max="15865" width="9" style="798"/>
    <col min="15866" max="15868" width="7.77734375" style="798" customWidth="1"/>
    <col min="15869" max="15869" width="6.77734375" style="798" customWidth="1"/>
    <col min="15870" max="15873" width="7.77734375" style="798" customWidth="1"/>
    <col min="15874" max="15874" width="8.33203125" style="798" customWidth="1"/>
    <col min="15875" max="15875" width="9" style="798" customWidth="1"/>
    <col min="15876" max="15877" width="8.33203125" style="798" customWidth="1"/>
    <col min="15878" max="15878" width="5.77734375" style="798" customWidth="1"/>
    <col min="15879" max="15879" width="6.77734375" style="798" customWidth="1"/>
    <col min="15880" max="15880" width="4.77734375" style="798" customWidth="1"/>
    <col min="15881" max="16121" width="9" style="798"/>
    <col min="16122" max="16124" width="7.77734375" style="798" customWidth="1"/>
    <col min="16125" max="16125" width="6.77734375" style="798" customWidth="1"/>
    <col min="16126" max="16129" width="7.77734375" style="798" customWidth="1"/>
    <col min="16130" max="16130" width="8.33203125" style="798" customWidth="1"/>
    <col min="16131" max="16131" width="9" style="798" customWidth="1"/>
    <col min="16132" max="16133" width="8.33203125" style="798" customWidth="1"/>
    <col min="16134" max="16134" width="5.77734375" style="798" customWidth="1"/>
    <col min="16135" max="16135" width="6.77734375" style="798" customWidth="1"/>
    <col min="16136" max="16136" width="4.77734375" style="798" customWidth="1"/>
    <col min="16137" max="16384" width="9" style="798"/>
  </cols>
  <sheetData>
    <row r="1" spans="1:15" ht="24.95" customHeight="1">
      <c r="A1" s="2016" t="s">
        <v>452</v>
      </c>
      <c r="B1" s="2016"/>
      <c r="C1" s="2016"/>
      <c r="D1" s="2016"/>
      <c r="E1" s="2016"/>
      <c r="F1" s="2016"/>
      <c r="G1" s="2016"/>
      <c r="H1" s="2016"/>
      <c r="I1" s="2016"/>
      <c r="J1" s="2016"/>
      <c r="K1" s="2016"/>
    </row>
    <row r="2" spans="1:15" ht="24.95" customHeight="1">
      <c r="A2" s="2017" t="s">
        <v>453</v>
      </c>
      <c r="B2" s="2018"/>
      <c r="C2" s="2018"/>
      <c r="D2" s="799"/>
      <c r="E2" s="799" t="s">
        <v>454</v>
      </c>
      <c r="F2" s="800" t="s">
        <v>633</v>
      </c>
      <c r="G2" s="801" t="s">
        <v>455</v>
      </c>
      <c r="H2" s="801" t="s">
        <v>456</v>
      </c>
      <c r="I2" s="801" t="s">
        <v>457</v>
      </c>
      <c r="J2" s="802" t="s">
        <v>458</v>
      </c>
      <c r="K2" s="803" t="s">
        <v>355</v>
      </c>
      <c r="N2" s="798" t="s">
        <v>963</v>
      </c>
    </row>
    <row r="3" spans="1:15" ht="20.100000000000001" customHeight="1">
      <c r="A3" s="804" t="str">
        <f t="shared" ref="A3:A9" si="0">N3</f>
        <v>A002</v>
      </c>
      <c r="B3" s="805" t="s">
        <v>459</v>
      </c>
      <c r="C3" s="806" t="str">
        <f>VLOOKUP(A3,'수리계산결과 붙여넣기'!$A$7:$X$298,2,FALSE)</f>
        <v>A003</v>
      </c>
      <c r="D3" s="807"/>
      <c r="E3" s="808">
        <f>VLOOKUP(A3,'수리계산결과 붙여넣기'!$A$7:$X$298,6,FALSE)</f>
        <v>300</v>
      </c>
      <c r="F3" s="805">
        <v>1</v>
      </c>
      <c r="G3" s="809">
        <f>VLOOKUP(A3,'수리계산결과 붙여넣기'!$A$7:$X$298,13,FALSE)</f>
        <v>20.29</v>
      </c>
      <c r="H3" s="810">
        <f>VLOOKUP(C3,'수리계산결과 붙여넣기'!$A$7:$X$298,12,FALSE)</f>
        <v>18.8</v>
      </c>
      <c r="I3" s="810">
        <f t="shared" ref="I3:I9" si="1">G3-H3</f>
        <v>1.4899999999999984</v>
      </c>
      <c r="J3" s="810">
        <f>I3</f>
        <v>1.4899999999999984</v>
      </c>
      <c r="K3" s="811" t="s">
        <v>1400</v>
      </c>
      <c r="N3" s="812" t="s">
        <v>1080</v>
      </c>
      <c r="O3" s="812" t="s">
        <v>1081</v>
      </c>
    </row>
    <row r="4" spans="1:15" ht="20.100000000000001" customHeight="1">
      <c r="A4" s="813" t="str">
        <f t="shared" si="0"/>
        <v>A003</v>
      </c>
      <c r="B4" s="814" t="s">
        <v>459</v>
      </c>
      <c r="C4" s="815" t="str">
        <f>VLOOKUP(A4,'수리계산결과 붙여넣기'!$A$7:$X$298,2,FALSE)</f>
        <v>A004</v>
      </c>
      <c r="D4" s="816"/>
      <c r="E4" s="817">
        <f>VLOOKUP(A4,'수리계산결과 붙여넣기'!$A$7:$X$298,6,FALSE)</f>
        <v>300</v>
      </c>
      <c r="F4" s="814">
        <v>1</v>
      </c>
      <c r="G4" s="818">
        <f>VLOOKUP(A4,'수리계산결과 붙여넣기'!$A$7:$X$298,13,FALSE)</f>
        <v>18.14</v>
      </c>
      <c r="H4" s="819">
        <f>VLOOKUP(C4,'수리계산결과 붙여넣기'!$A$7:$X$298,12,FALSE)</f>
        <v>16.649999999999999</v>
      </c>
      <c r="I4" s="819">
        <f t="shared" si="1"/>
        <v>1.490000000000002</v>
      </c>
      <c r="J4" s="819">
        <f t="shared" ref="J4:J9" si="2">I4</f>
        <v>1.490000000000002</v>
      </c>
      <c r="K4" s="820" t="s">
        <v>1331</v>
      </c>
      <c r="N4" s="812" t="s">
        <v>1081</v>
      </c>
      <c r="O4" s="812" t="s">
        <v>1082</v>
      </c>
    </row>
    <row r="5" spans="1:15" ht="20.100000000000001" customHeight="1">
      <c r="A5" s="813" t="str">
        <f t="shared" si="0"/>
        <v>A024</v>
      </c>
      <c r="B5" s="814" t="s">
        <v>459</v>
      </c>
      <c r="C5" s="815" t="str">
        <f>VLOOKUP(A5,'수리계산결과 붙여넣기'!$A$7:$X$298,2,FALSE)</f>
        <v>A025</v>
      </c>
      <c r="D5" s="816"/>
      <c r="E5" s="817">
        <f>VLOOKUP(A5,'수리계산결과 붙여넣기'!$A$7:$X$298,6,FALSE)</f>
        <v>300</v>
      </c>
      <c r="F5" s="814">
        <v>1</v>
      </c>
      <c r="G5" s="818">
        <f>VLOOKUP(A5,'수리계산결과 붙여넣기'!$A$7:$X$298,13,FALSE)</f>
        <v>12.3</v>
      </c>
      <c r="H5" s="819">
        <f>VLOOKUP(C5,'수리계산결과 붙여넣기'!$A$7:$X$298,12,FALSE)</f>
        <v>11.3</v>
      </c>
      <c r="I5" s="819">
        <f t="shared" si="1"/>
        <v>1</v>
      </c>
      <c r="J5" s="819">
        <f t="shared" si="2"/>
        <v>1</v>
      </c>
      <c r="K5" s="820" t="s">
        <v>1226</v>
      </c>
      <c r="N5" s="812" t="s">
        <v>1101</v>
      </c>
      <c r="O5" s="812" t="s">
        <v>1102</v>
      </c>
    </row>
    <row r="6" spans="1:15" ht="20.100000000000001" customHeight="1">
      <c r="A6" s="813" t="str">
        <f t="shared" si="0"/>
        <v>A055</v>
      </c>
      <c r="B6" s="814" t="s">
        <v>459</v>
      </c>
      <c r="C6" s="815" t="str">
        <f>VLOOKUP(A6,'수리계산결과 붙여넣기'!$A$7:$X$298,2,FALSE)</f>
        <v>A056</v>
      </c>
      <c r="D6" s="816"/>
      <c r="E6" s="817">
        <f>VLOOKUP(A6,'수리계산결과 붙여넣기'!$A$7:$X$298,6,FALSE)</f>
        <v>200</v>
      </c>
      <c r="F6" s="814">
        <v>1</v>
      </c>
      <c r="G6" s="818">
        <f>VLOOKUP(A6,'수리계산결과 붙여넣기'!$A$7:$X$298,13,FALSE)</f>
        <v>33.090000000000003</v>
      </c>
      <c r="H6" s="819">
        <f>VLOOKUP(C6,'수리계산결과 붙여넣기'!$A$7:$X$298,12,FALSE)</f>
        <v>32.07</v>
      </c>
      <c r="I6" s="819">
        <f t="shared" si="1"/>
        <v>1.0200000000000031</v>
      </c>
      <c r="J6" s="819">
        <f t="shared" si="2"/>
        <v>1.0200000000000031</v>
      </c>
      <c r="K6" s="820" t="s">
        <v>1401</v>
      </c>
      <c r="N6" s="812" t="s">
        <v>1122</v>
      </c>
      <c r="O6" s="812" t="s">
        <v>1123</v>
      </c>
    </row>
    <row r="7" spans="1:15" ht="20.100000000000001" customHeight="1">
      <c r="A7" s="813" t="str">
        <f t="shared" si="0"/>
        <v>A057</v>
      </c>
      <c r="B7" s="814" t="s">
        <v>459</v>
      </c>
      <c r="C7" s="815" t="str">
        <f>VLOOKUP(A7,'수리계산결과 붙여넣기'!$A$7:$X$298,2,FALSE)</f>
        <v>A058</v>
      </c>
      <c r="D7" s="816"/>
      <c r="E7" s="817">
        <f>VLOOKUP(A7,'수리계산결과 붙여넣기'!$A$7:$X$298,6,FALSE)</f>
        <v>200</v>
      </c>
      <c r="F7" s="814">
        <v>1</v>
      </c>
      <c r="G7" s="818">
        <f>VLOOKUP(A7,'수리계산결과 붙여넣기'!$A$7:$X$298,13,FALSE)</f>
        <v>29.3</v>
      </c>
      <c r="H7" s="819">
        <f>VLOOKUP(C7,'수리계산결과 붙여넣기'!$A$7:$X$298,12,FALSE)</f>
        <v>28.2</v>
      </c>
      <c r="I7" s="819">
        <f t="shared" si="1"/>
        <v>1.1000000000000014</v>
      </c>
      <c r="J7" s="819">
        <f t="shared" si="2"/>
        <v>1.1000000000000014</v>
      </c>
      <c r="K7" s="820" t="s">
        <v>1386</v>
      </c>
      <c r="N7" s="812" t="s">
        <v>1124</v>
      </c>
      <c r="O7" s="812" t="s">
        <v>1125</v>
      </c>
    </row>
    <row r="8" spans="1:15" ht="20.100000000000001" customHeight="1">
      <c r="A8" s="813" t="str">
        <f t="shared" si="0"/>
        <v>A061</v>
      </c>
      <c r="B8" s="814" t="s">
        <v>459</v>
      </c>
      <c r="C8" s="815" t="str">
        <f>VLOOKUP(A8,'수리계산결과 붙여넣기'!$A$7:$X$298,2,FALSE)</f>
        <v>A062</v>
      </c>
      <c r="D8" s="816"/>
      <c r="E8" s="817">
        <f>VLOOKUP(A8,'수리계산결과 붙여넣기'!$A$7:$X$298,6,FALSE)</f>
        <v>200</v>
      </c>
      <c r="F8" s="814">
        <v>1</v>
      </c>
      <c r="G8" s="818">
        <f>VLOOKUP(A8,'수리계산결과 붙여넣기'!$A$7:$X$298,13,FALSE)</f>
        <v>23.9</v>
      </c>
      <c r="H8" s="819">
        <f>VLOOKUP(C8,'수리계산결과 붙여넣기'!$A$7:$X$298,12,FALSE)</f>
        <v>22.41</v>
      </c>
      <c r="I8" s="819">
        <f t="shared" si="1"/>
        <v>1.4899999999999984</v>
      </c>
      <c r="J8" s="819">
        <f t="shared" si="2"/>
        <v>1.4899999999999984</v>
      </c>
      <c r="K8" s="820" t="s">
        <v>1402</v>
      </c>
      <c r="N8" s="812" t="s">
        <v>1128</v>
      </c>
      <c r="O8" s="812" t="s">
        <v>1129</v>
      </c>
    </row>
    <row r="9" spans="1:15" ht="20.100000000000001" customHeight="1">
      <c r="A9" s="813" t="str">
        <f t="shared" si="0"/>
        <v>A062</v>
      </c>
      <c r="B9" s="814" t="s">
        <v>459</v>
      </c>
      <c r="C9" s="815" t="str">
        <f>VLOOKUP(A9,'수리계산결과 붙여넣기'!$A$7:$X$298,2,FALSE)</f>
        <v>A063</v>
      </c>
      <c r="D9" s="816"/>
      <c r="E9" s="817">
        <f>VLOOKUP(A9,'수리계산결과 붙여넣기'!$A$7:$X$298,6,FALSE)</f>
        <v>300</v>
      </c>
      <c r="F9" s="814">
        <v>1</v>
      </c>
      <c r="G9" s="818">
        <f>VLOOKUP(A9,'수리계산결과 붙여넣기'!$A$7:$X$298,13,FALSE)</f>
        <v>22.23</v>
      </c>
      <c r="H9" s="819">
        <f>VLOOKUP(C9,'수리계산결과 붙여넣기'!$A$7:$X$298,12,FALSE)</f>
        <v>20.74</v>
      </c>
      <c r="I9" s="819">
        <f t="shared" si="1"/>
        <v>1.490000000000002</v>
      </c>
      <c r="J9" s="819">
        <f t="shared" si="2"/>
        <v>1.490000000000002</v>
      </c>
      <c r="K9" s="820" t="s">
        <v>1403</v>
      </c>
      <c r="N9" s="812" t="s">
        <v>1129</v>
      </c>
      <c r="O9" s="812" t="s">
        <v>1130</v>
      </c>
    </row>
    <row r="10" spans="1:15" ht="20.100000000000001" customHeight="1">
      <c r="A10" s="813" t="str">
        <f t="shared" ref="A10:A27" si="3">N10</f>
        <v>A063</v>
      </c>
      <c r="B10" s="814" t="s">
        <v>459</v>
      </c>
      <c r="C10" s="815" t="str">
        <f>VLOOKUP(A10,'수리계산결과 붙여넣기'!$A$7:$X$298,2,FALSE)</f>
        <v>A064</v>
      </c>
      <c r="D10" s="816"/>
      <c r="E10" s="817">
        <f>VLOOKUP(A10,'수리계산결과 붙여넣기'!$A$7:$X$298,6,FALSE)</f>
        <v>300</v>
      </c>
      <c r="F10" s="814">
        <v>1</v>
      </c>
      <c r="G10" s="818">
        <f>VLOOKUP(A10,'수리계산결과 붙여넣기'!$A$7:$X$298,13,FALSE)</f>
        <v>20.53</v>
      </c>
      <c r="H10" s="819">
        <f>VLOOKUP(C10,'수리계산결과 붙여넣기'!$A$7:$X$298,12,FALSE)</f>
        <v>19.48</v>
      </c>
      <c r="I10" s="819">
        <f t="shared" ref="I10:I26" si="4">G10-H10</f>
        <v>1.0500000000000007</v>
      </c>
      <c r="J10" s="819">
        <f t="shared" ref="J10:J26" si="5">I10</f>
        <v>1.0500000000000007</v>
      </c>
      <c r="K10" s="820" t="s">
        <v>1399</v>
      </c>
      <c r="N10" s="812" t="s">
        <v>1130</v>
      </c>
      <c r="O10" s="812" t="s">
        <v>1131</v>
      </c>
    </row>
    <row r="11" spans="1:15" ht="20.100000000000001" customHeight="1">
      <c r="A11" s="813" t="str">
        <f t="shared" si="3"/>
        <v>A064</v>
      </c>
      <c r="B11" s="814" t="s">
        <v>459</v>
      </c>
      <c r="C11" s="815" t="str">
        <f>VLOOKUP(A11,'수리계산결과 붙여넣기'!$A$7:$X$298,2,FALSE)</f>
        <v>A065(1)</v>
      </c>
      <c r="D11" s="816"/>
      <c r="E11" s="817">
        <f>VLOOKUP(A11,'수리계산결과 붙여넣기'!$A$7:$X$298,6,FALSE)</f>
        <v>300</v>
      </c>
      <c r="F11" s="814">
        <v>1</v>
      </c>
      <c r="G11" s="818">
        <f>VLOOKUP(A11,'수리계산결과 붙여넣기'!$A$7:$X$298,13,FALSE)</f>
        <v>19.38</v>
      </c>
      <c r="H11" s="819">
        <f>VLOOKUP(C11,'수리계산결과 붙여넣기'!$A$7:$X$298,12,FALSE)</f>
        <v>17.89</v>
      </c>
      <c r="I11" s="819">
        <f t="shared" si="4"/>
        <v>1.4899999999999984</v>
      </c>
      <c r="J11" s="819">
        <f t="shared" si="5"/>
        <v>1.4899999999999984</v>
      </c>
      <c r="K11" s="820" t="s">
        <v>1404</v>
      </c>
      <c r="N11" s="812" t="s">
        <v>1131</v>
      </c>
      <c r="O11" s="812" t="s">
        <v>1323</v>
      </c>
    </row>
    <row r="12" spans="1:15" ht="20.100000000000001" customHeight="1">
      <c r="A12" s="813" t="str">
        <f t="shared" si="3"/>
        <v>A065(1)</v>
      </c>
      <c r="B12" s="814" t="s">
        <v>459</v>
      </c>
      <c r="C12" s="815" t="str">
        <f>VLOOKUP(A12,'수리계산결과 붙여넣기'!$A$7:$X$298,2,FALSE)</f>
        <v>A065(2)</v>
      </c>
      <c r="D12" s="816"/>
      <c r="E12" s="817">
        <f>VLOOKUP(A12,'수리계산결과 붙여넣기'!$A$7:$X$298,6,FALSE)</f>
        <v>300</v>
      </c>
      <c r="F12" s="814">
        <v>1</v>
      </c>
      <c r="G12" s="818">
        <f>VLOOKUP(A12,'수리계산결과 붙여넣기'!$A$7:$X$298,13,FALSE)</f>
        <v>17.829999999999998</v>
      </c>
      <c r="H12" s="819">
        <f>VLOOKUP(C12,'수리계산결과 붙여넣기'!$A$7:$X$298,12,FALSE)</f>
        <v>16.34</v>
      </c>
      <c r="I12" s="819">
        <f t="shared" si="4"/>
        <v>1.4899999999999984</v>
      </c>
      <c r="J12" s="819">
        <f t="shared" si="5"/>
        <v>1.4899999999999984</v>
      </c>
      <c r="K12" s="820" t="s">
        <v>1405</v>
      </c>
      <c r="N12" s="812" t="s">
        <v>1323</v>
      </c>
      <c r="O12" s="812" t="s">
        <v>1324</v>
      </c>
    </row>
    <row r="13" spans="1:15" ht="20.100000000000001" customHeight="1">
      <c r="A13" s="813" t="str">
        <f t="shared" si="3"/>
        <v>A065(2)</v>
      </c>
      <c r="B13" s="814" t="s">
        <v>459</v>
      </c>
      <c r="C13" s="815" t="str">
        <f>VLOOKUP(A13,'수리계산결과 붙여넣기'!$A$7:$X$298,2,FALSE)</f>
        <v>A066</v>
      </c>
      <c r="D13" s="816"/>
      <c r="E13" s="817">
        <f>VLOOKUP(A13,'수리계산결과 붙여넣기'!$A$7:$X$298,6,FALSE)</f>
        <v>300</v>
      </c>
      <c r="F13" s="814">
        <v>1</v>
      </c>
      <c r="G13" s="818">
        <f>VLOOKUP(A13,'수리계산결과 붙여넣기'!$A$7:$X$298,13,FALSE)</f>
        <v>16.25</v>
      </c>
      <c r="H13" s="819">
        <f>VLOOKUP(C13,'수리계산결과 붙여넣기'!$A$7:$X$298,12,FALSE)</f>
        <v>14.85</v>
      </c>
      <c r="I13" s="819">
        <f t="shared" si="4"/>
        <v>1.4000000000000004</v>
      </c>
      <c r="J13" s="819">
        <f t="shared" si="5"/>
        <v>1.4000000000000004</v>
      </c>
      <c r="K13" s="820" t="s">
        <v>1332</v>
      </c>
      <c r="N13" s="812" t="s">
        <v>1324</v>
      </c>
      <c r="O13" s="812" t="s">
        <v>1132</v>
      </c>
    </row>
    <row r="14" spans="1:15" ht="20.100000000000001" customHeight="1">
      <c r="A14" s="813" t="str">
        <f t="shared" si="3"/>
        <v>A069</v>
      </c>
      <c r="B14" s="814" t="s">
        <v>459</v>
      </c>
      <c r="C14" s="815" t="str">
        <f>VLOOKUP(A14,'수리계산결과 붙여넣기'!$A$7:$X$298,2,FALSE)</f>
        <v>A070</v>
      </c>
      <c r="D14" s="816"/>
      <c r="E14" s="817">
        <f>VLOOKUP(A14,'수리계산결과 붙여넣기'!$A$7:$X$298,6,FALSE)</f>
        <v>200</v>
      </c>
      <c r="F14" s="814">
        <v>1</v>
      </c>
      <c r="G14" s="818">
        <f>VLOOKUP(A14,'수리계산결과 붙여넣기'!$A$7:$X$298,13,FALSE)</f>
        <v>30.45</v>
      </c>
      <c r="H14" s="819">
        <f>VLOOKUP(C14,'수리계산결과 붙여넣기'!$A$7:$X$298,12,FALSE)</f>
        <v>29.48</v>
      </c>
      <c r="I14" s="819">
        <f t="shared" si="4"/>
        <v>0.96999999999999886</v>
      </c>
      <c r="J14" s="819">
        <f t="shared" si="5"/>
        <v>0.96999999999999886</v>
      </c>
      <c r="K14" s="820" t="s">
        <v>1406</v>
      </c>
      <c r="N14" s="821" t="s">
        <v>1135</v>
      </c>
      <c r="O14" s="821" t="s">
        <v>1136</v>
      </c>
    </row>
    <row r="15" spans="1:15" ht="20.100000000000001" customHeight="1">
      <c r="A15" s="813" t="str">
        <f t="shared" si="3"/>
        <v>A072</v>
      </c>
      <c r="B15" s="814" t="s">
        <v>459</v>
      </c>
      <c r="C15" s="815" t="str">
        <f>VLOOKUP(A15,'수리계산결과 붙여넣기'!$A$7:$X$298,2,FALSE)</f>
        <v>A070</v>
      </c>
      <c r="D15" s="816"/>
      <c r="E15" s="817">
        <f>VLOOKUP(A15,'수리계산결과 붙여넣기'!$A$7:$X$298,6,FALSE)</f>
        <v>200</v>
      </c>
      <c r="F15" s="814">
        <v>1</v>
      </c>
      <c r="G15" s="818">
        <f>VLOOKUP(A15,'수리계산결과 붙여넣기'!$A$7:$X$298,13,FALSE)</f>
        <v>30.2</v>
      </c>
      <c r="H15" s="819">
        <f>VLOOKUP(C15,'수리계산결과 붙여넣기'!$A$7:$X$298,12,FALSE)</f>
        <v>29.48</v>
      </c>
      <c r="I15" s="819">
        <f t="shared" si="4"/>
        <v>0.71999999999999886</v>
      </c>
      <c r="J15" s="819">
        <f t="shared" si="5"/>
        <v>0.71999999999999886</v>
      </c>
      <c r="K15" s="820" t="s">
        <v>1406</v>
      </c>
      <c r="N15" s="822" t="s">
        <v>1138</v>
      </c>
      <c r="O15" s="822" t="s">
        <v>1136</v>
      </c>
    </row>
    <row r="16" spans="1:15" ht="20.100000000000001" customHeight="1">
      <c r="A16" s="813" t="str">
        <f t="shared" si="3"/>
        <v>A075(1)</v>
      </c>
      <c r="B16" s="814" t="s">
        <v>459</v>
      </c>
      <c r="C16" s="815" t="str">
        <f>VLOOKUP(A16,'수리계산결과 붙여넣기'!$A$7:$X$298,2,FALSE)</f>
        <v>A075(2)</v>
      </c>
      <c r="D16" s="816"/>
      <c r="E16" s="817">
        <f>VLOOKUP(A16,'수리계산결과 붙여넣기'!$A$7:$X$298,6,FALSE)</f>
        <v>300</v>
      </c>
      <c r="F16" s="814">
        <v>1</v>
      </c>
      <c r="G16" s="818">
        <f>VLOOKUP(A16,'수리계산결과 붙여넣기'!$A$7:$X$298,13,FALSE)</f>
        <v>16.809999999999999</v>
      </c>
      <c r="H16" s="819">
        <f>VLOOKUP(C16,'수리계산결과 붙여넣기'!$A$7:$X$298,12,FALSE)</f>
        <v>15.32</v>
      </c>
      <c r="I16" s="819">
        <f t="shared" si="4"/>
        <v>1.4899999999999984</v>
      </c>
      <c r="J16" s="819">
        <f t="shared" si="5"/>
        <v>1.4899999999999984</v>
      </c>
      <c r="K16" s="820" t="s">
        <v>1407</v>
      </c>
      <c r="N16" s="822" t="s">
        <v>1325</v>
      </c>
      <c r="O16" s="822" t="s">
        <v>1326</v>
      </c>
    </row>
    <row r="17" spans="1:15" ht="20.100000000000001" customHeight="1">
      <c r="A17" s="813" t="str">
        <f t="shared" si="3"/>
        <v>A075(2)</v>
      </c>
      <c r="B17" s="814" t="s">
        <v>459</v>
      </c>
      <c r="C17" s="815" t="str">
        <f>VLOOKUP(A17,'수리계산결과 붙여넣기'!$A$7:$X$298,2,FALSE)</f>
        <v>A076(1)</v>
      </c>
      <c r="D17" s="816"/>
      <c r="E17" s="817">
        <f>VLOOKUP(A17,'수리계산결과 붙여넣기'!$A$7:$X$298,6,FALSE)</f>
        <v>300</v>
      </c>
      <c r="F17" s="814">
        <v>1</v>
      </c>
      <c r="G17" s="818">
        <f>VLOOKUP(A17,'수리계산결과 붙여넣기'!$A$7:$X$298,13,FALSE)</f>
        <v>15.2</v>
      </c>
      <c r="H17" s="819">
        <f>VLOOKUP(C17,'수리계산결과 붙여넣기'!$A$7:$X$298,12,FALSE)</f>
        <v>13.8</v>
      </c>
      <c r="I17" s="819">
        <f t="shared" si="4"/>
        <v>1.3999999999999986</v>
      </c>
      <c r="J17" s="819">
        <f t="shared" si="5"/>
        <v>1.3999999999999986</v>
      </c>
      <c r="K17" s="820" t="s">
        <v>1333</v>
      </c>
      <c r="N17" s="822" t="s">
        <v>1326</v>
      </c>
      <c r="O17" s="822" t="s">
        <v>1327</v>
      </c>
    </row>
    <row r="18" spans="1:15" ht="20.100000000000001" customHeight="1">
      <c r="A18" s="813" t="str">
        <f t="shared" ref="A18:A19" si="6">N18</f>
        <v>A093</v>
      </c>
      <c r="B18" s="814" t="s">
        <v>459</v>
      </c>
      <c r="C18" s="815" t="str">
        <f>VLOOKUP(A18,'수리계산결과 붙여넣기'!$A$7:$X$298,2,FALSE)</f>
        <v>A016</v>
      </c>
      <c r="D18" s="816"/>
      <c r="E18" s="817">
        <f>VLOOKUP(A18,'수리계산결과 붙여넣기'!$A$7:$X$298,6,FALSE)</f>
        <v>300</v>
      </c>
      <c r="F18" s="814">
        <v>1</v>
      </c>
      <c r="G18" s="818">
        <f>VLOOKUP(A18,'수리계산결과 붙여넣기'!$A$7:$X$298,13,FALSE)</f>
        <v>15.19</v>
      </c>
      <c r="H18" s="819">
        <f>VLOOKUP(C18,'수리계산결과 붙여넣기'!$A$7:$X$298,12,FALSE)</f>
        <v>13.7</v>
      </c>
      <c r="I18" s="819">
        <f t="shared" ref="I18:I19" si="7">G18-H18</f>
        <v>1.4900000000000002</v>
      </c>
      <c r="J18" s="819">
        <f t="shared" ref="J18:J19" si="8">I18</f>
        <v>1.4900000000000002</v>
      </c>
      <c r="K18" s="820" t="s">
        <v>1494</v>
      </c>
      <c r="N18" s="822" t="s">
        <v>1156</v>
      </c>
      <c r="O18" s="822" t="s">
        <v>1093</v>
      </c>
    </row>
    <row r="19" spans="1:15" ht="20.100000000000001" customHeight="1">
      <c r="A19" s="813" t="str">
        <f t="shared" si="6"/>
        <v>A094</v>
      </c>
      <c r="B19" s="814" t="s">
        <v>459</v>
      </c>
      <c r="C19" s="815" t="str">
        <f>VLOOKUP(A19,'수리계산결과 붙여넣기'!$A$7:$X$298,2,FALSE)</f>
        <v>A023</v>
      </c>
      <c r="D19" s="816"/>
      <c r="E19" s="817">
        <f>VLOOKUP(A19,'수리계산결과 붙여넣기'!$A$7:$X$298,6,FALSE)</f>
        <v>300</v>
      </c>
      <c r="F19" s="814">
        <v>1</v>
      </c>
      <c r="G19" s="818">
        <f>VLOOKUP(A19,'수리계산결과 붙여넣기'!$A$7:$X$298,13,FALSE)</f>
        <v>14.15</v>
      </c>
      <c r="H19" s="819">
        <f>VLOOKUP(C19,'수리계산결과 붙여넣기'!$A$7:$X$298,12,FALSE)</f>
        <v>12.66</v>
      </c>
      <c r="I19" s="819">
        <f t="shared" si="7"/>
        <v>1.4900000000000002</v>
      </c>
      <c r="J19" s="819">
        <f t="shared" si="8"/>
        <v>1.4900000000000002</v>
      </c>
      <c r="K19" s="820" t="s">
        <v>1539</v>
      </c>
      <c r="N19" s="822" t="s">
        <v>1157</v>
      </c>
      <c r="O19" s="822" t="s">
        <v>1100</v>
      </c>
    </row>
    <row r="20" spans="1:15" ht="20.100000000000001" customHeight="1">
      <c r="A20" s="813" t="str">
        <f t="shared" si="3"/>
        <v>A095</v>
      </c>
      <c r="B20" s="814" t="s">
        <v>459</v>
      </c>
      <c r="C20" s="815" t="str">
        <f>VLOOKUP(A20,'수리계산결과 붙여넣기'!$A$7:$X$298,2,FALSE)</f>
        <v>A096</v>
      </c>
      <c r="D20" s="816"/>
      <c r="E20" s="817">
        <f>VLOOKUP(A20,'수리계산결과 붙여넣기'!$A$7:$X$298,6,FALSE)</f>
        <v>300</v>
      </c>
      <c r="F20" s="814">
        <v>1</v>
      </c>
      <c r="G20" s="818">
        <f>VLOOKUP(A20,'수리계산결과 붙여넣기'!$A$7:$X$298,13,FALSE)</f>
        <v>15.14</v>
      </c>
      <c r="H20" s="819">
        <f>VLOOKUP(C20,'수리계산결과 붙여넣기'!$A$7:$X$298,12,FALSE)</f>
        <v>13.74</v>
      </c>
      <c r="I20" s="819">
        <f t="shared" si="4"/>
        <v>1.4000000000000004</v>
      </c>
      <c r="J20" s="819">
        <f t="shared" si="5"/>
        <v>1.4000000000000004</v>
      </c>
      <c r="K20" s="820" t="s">
        <v>1227</v>
      </c>
      <c r="N20" s="822" t="s">
        <v>1158</v>
      </c>
      <c r="O20" s="822" t="s">
        <v>1159</v>
      </c>
    </row>
    <row r="21" spans="1:15" ht="20.100000000000001" customHeight="1">
      <c r="A21" s="813" t="str">
        <f t="shared" si="3"/>
        <v>A096</v>
      </c>
      <c r="B21" s="814" t="s">
        <v>459</v>
      </c>
      <c r="C21" s="815" t="str">
        <f>VLOOKUP(A21,'수리계산결과 붙여넣기'!$A$7:$X$298,2,FALSE)</f>
        <v>A097</v>
      </c>
      <c r="D21" s="816"/>
      <c r="E21" s="817">
        <f>VLOOKUP(A21,'수리계산결과 붙여넣기'!$A$7:$X$298,6,FALSE)</f>
        <v>300</v>
      </c>
      <c r="F21" s="814">
        <v>1</v>
      </c>
      <c r="G21" s="818">
        <f>VLOOKUP(A21,'수리계산결과 붙여넣기'!$A$7:$X$298,13,FALSE)</f>
        <v>11.76</v>
      </c>
      <c r="H21" s="819">
        <f>VLOOKUP(C21,'수리계산결과 붙여넣기'!$A$7:$X$298,12,FALSE)</f>
        <v>10.36</v>
      </c>
      <c r="I21" s="819">
        <f t="shared" si="4"/>
        <v>1.4000000000000004</v>
      </c>
      <c r="J21" s="819">
        <f t="shared" si="5"/>
        <v>1.4000000000000004</v>
      </c>
      <c r="K21" s="820" t="s">
        <v>1228</v>
      </c>
      <c r="N21" s="822" t="s">
        <v>1159</v>
      </c>
      <c r="O21" s="822" t="s">
        <v>1160</v>
      </c>
    </row>
    <row r="22" spans="1:15" ht="20.100000000000001" customHeight="1">
      <c r="A22" s="813" t="str">
        <f t="shared" si="3"/>
        <v>A097</v>
      </c>
      <c r="B22" s="814" t="s">
        <v>459</v>
      </c>
      <c r="C22" s="815" t="str">
        <f>VLOOKUP(A22,'수리계산결과 붙여넣기'!$A$7:$X$298,2,FALSE)</f>
        <v>A098</v>
      </c>
      <c r="D22" s="816"/>
      <c r="E22" s="817">
        <f>VLOOKUP(A22,'수리계산결과 붙여넣기'!$A$7:$X$298,6,FALSE)</f>
        <v>300</v>
      </c>
      <c r="F22" s="814">
        <v>1</v>
      </c>
      <c r="G22" s="818">
        <f>VLOOKUP(A22,'수리계산결과 붙여넣기'!$A$7:$X$298,13,FALSE)</f>
        <v>10.029999999999999</v>
      </c>
      <c r="H22" s="819">
        <f>VLOOKUP(C22,'수리계산결과 붙여넣기'!$A$7:$X$298,12,FALSE)</f>
        <v>8.6300000000000008</v>
      </c>
      <c r="I22" s="819">
        <f t="shared" si="4"/>
        <v>1.3999999999999986</v>
      </c>
      <c r="J22" s="819">
        <f t="shared" si="5"/>
        <v>1.3999999999999986</v>
      </c>
      <c r="K22" s="820" t="s">
        <v>1229</v>
      </c>
      <c r="N22" s="822" t="s">
        <v>1160</v>
      </c>
      <c r="O22" s="822" t="s">
        <v>1161</v>
      </c>
    </row>
    <row r="23" spans="1:15" ht="20.100000000000001" customHeight="1">
      <c r="A23" s="813" t="str">
        <f t="shared" ref="A23:A24" si="9">N23</f>
        <v>A101</v>
      </c>
      <c r="B23" s="814" t="s">
        <v>459</v>
      </c>
      <c r="C23" s="815" t="str">
        <f>VLOOKUP(A23,'수리계산결과 붙여넣기'!$A$7:$X$298,2,FALSE)</f>
        <v>A034</v>
      </c>
      <c r="D23" s="816"/>
      <c r="E23" s="817">
        <f>VLOOKUP(A23,'수리계산결과 붙여넣기'!$A$7:$X$298,6,FALSE)</f>
        <v>300</v>
      </c>
      <c r="F23" s="814">
        <v>1</v>
      </c>
      <c r="G23" s="818">
        <f>VLOOKUP(A23,'수리계산결과 붙여넣기'!$A$7:$X$298,13,FALSE)</f>
        <v>9.5</v>
      </c>
      <c r="H23" s="819">
        <f>VLOOKUP(C23,'수리계산결과 붙여넣기'!$A$7:$X$298,12,FALSE)</f>
        <v>8.01</v>
      </c>
      <c r="I23" s="819">
        <f t="shared" ref="I23:I24" si="10">G23-H23</f>
        <v>1.4900000000000002</v>
      </c>
      <c r="J23" s="819">
        <f t="shared" ref="J23:J24" si="11">I23</f>
        <v>1.4900000000000002</v>
      </c>
      <c r="K23" s="820" t="s">
        <v>1540</v>
      </c>
      <c r="N23" s="822" t="s">
        <v>1164</v>
      </c>
      <c r="O23" s="822" t="s">
        <v>1111</v>
      </c>
    </row>
    <row r="24" spans="1:15" ht="20.100000000000001" customHeight="1">
      <c r="A24" s="813" t="str">
        <f t="shared" si="9"/>
        <v>A102</v>
      </c>
      <c r="B24" s="814" t="s">
        <v>459</v>
      </c>
      <c r="C24" s="815" t="str">
        <f>VLOOKUP(A24,'수리계산결과 붙여넣기'!$A$7:$X$298,2,FALSE)</f>
        <v>A038</v>
      </c>
      <c r="D24" s="816"/>
      <c r="E24" s="817">
        <f>VLOOKUP(A24,'수리계산결과 붙여넣기'!$A$7:$X$298,6,FALSE)</f>
        <v>300</v>
      </c>
      <c r="F24" s="814">
        <v>1</v>
      </c>
      <c r="G24" s="818">
        <f>VLOOKUP(A24,'수리계산결과 붙여넣기'!$A$7:$X$298,13,FALSE)</f>
        <v>8.89</v>
      </c>
      <c r="H24" s="819">
        <f>VLOOKUP(C24,'수리계산결과 붙여넣기'!$A$7:$X$298,12,FALSE)</f>
        <v>7.4</v>
      </c>
      <c r="I24" s="819">
        <f t="shared" si="10"/>
        <v>1.4900000000000002</v>
      </c>
      <c r="J24" s="819">
        <f t="shared" si="11"/>
        <v>1.4900000000000002</v>
      </c>
      <c r="K24" s="820" t="s">
        <v>1256</v>
      </c>
      <c r="N24" s="822" t="s">
        <v>1165</v>
      </c>
      <c r="O24" s="822" t="s">
        <v>1115</v>
      </c>
    </row>
    <row r="25" spans="1:15" ht="20.100000000000001" customHeight="1">
      <c r="A25" s="813" t="str">
        <f t="shared" si="3"/>
        <v>A108</v>
      </c>
      <c r="B25" s="814" t="s">
        <v>459</v>
      </c>
      <c r="C25" s="815" t="str">
        <f>VLOOKUP(A25,'수리계산결과 붙여넣기'!$A$7:$X$298,2,FALSE)</f>
        <v>A109</v>
      </c>
      <c r="D25" s="816"/>
      <c r="E25" s="817">
        <f>VLOOKUP(A25,'수리계산결과 붙여넣기'!$A$7:$X$298,6,FALSE)</f>
        <v>300</v>
      </c>
      <c r="F25" s="814">
        <v>1</v>
      </c>
      <c r="G25" s="818">
        <f>VLOOKUP(A25,'수리계산결과 붙여넣기'!$A$7:$X$298,13,FALSE)</f>
        <v>9.7899999999999991</v>
      </c>
      <c r="H25" s="819">
        <f>VLOOKUP(C25,'수리계산결과 붙여넣기'!$A$7:$X$298,12,FALSE)</f>
        <v>9.11</v>
      </c>
      <c r="I25" s="819">
        <f t="shared" si="4"/>
        <v>0.67999999999999972</v>
      </c>
      <c r="J25" s="819">
        <f t="shared" si="5"/>
        <v>0.67999999999999972</v>
      </c>
      <c r="K25" s="820" t="s">
        <v>1390</v>
      </c>
      <c r="N25" s="822" t="s">
        <v>1171</v>
      </c>
      <c r="O25" s="822" t="s">
        <v>1172</v>
      </c>
    </row>
    <row r="26" spans="1:15" ht="20.100000000000001" customHeight="1">
      <c r="A26" s="813" t="str">
        <f t="shared" si="3"/>
        <v>A109</v>
      </c>
      <c r="B26" s="814" t="s">
        <v>459</v>
      </c>
      <c r="C26" s="815" t="str">
        <f>VLOOKUP(A26,'수리계산결과 붙여넣기'!$A$7:$X$298,2,FALSE)</f>
        <v>A110</v>
      </c>
      <c r="D26" s="816"/>
      <c r="E26" s="817">
        <f>VLOOKUP(A26,'수리계산결과 붙여넣기'!$A$7:$X$298,6,FALSE)</f>
        <v>300</v>
      </c>
      <c r="F26" s="814">
        <v>1</v>
      </c>
      <c r="G26" s="818">
        <f>VLOOKUP(A26,'수리계산결과 붙여넣기'!$A$7:$X$298,13,FALSE)</f>
        <v>8.9499999999999993</v>
      </c>
      <c r="H26" s="819">
        <f>VLOOKUP(C26,'수리계산결과 붙여넣기'!$A$7:$X$298,12,FALSE)</f>
        <v>8.33</v>
      </c>
      <c r="I26" s="819">
        <f t="shared" si="4"/>
        <v>0.61999999999999922</v>
      </c>
      <c r="J26" s="819">
        <f t="shared" si="5"/>
        <v>0.61999999999999922</v>
      </c>
      <c r="K26" s="820" t="s">
        <v>1408</v>
      </c>
      <c r="N26" s="822" t="s">
        <v>1172</v>
      </c>
      <c r="O26" s="822" t="s">
        <v>1173</v>
      </c>
    </row>
    <row r="27" spans="1:15" ht="20.100000000000001" customHeight="1">
      <c r="A27" s="813" t="str">
        <f t="shared" si="3"/>
        <v>A122</v>
      </c>
      <c r="B27" s="814" t="s">
        <v>459</v>
      </c>
      <c r="C27" s="815" t="str">
        <f>VLOOKUP(A27,'수리계산결과 붙여넣기'!$A$7:$X$298,2,FALSE)</f>
        <v>A074</v>
      </c>
      <c r="D27" s="816"/>
      <c r="E27" s="817">
        <f>VLOOKUP(A27,'수리계산결과 붙여넣기'!$A$7:$X$298,6,FALSE)</f>
        <v>300</v>
      </c>
      <c r="F27" s="814">
        <v>1</v>
      </c>
      <c r="G27" s="818">
        <f>VLOOKUP(A27,'수리계산결과 붙여넣기'!$A$7:$X$298,13,FALSE)</f>
        <v>19.72</v>
      </c>
      <c r="H27" s="819">
        <f>VLOOKUP(C27,'수리계산결과 붙여넣기'!$A$7:$X$298,12,FALSE)</f>
        <v>18.23</v>
      </c>
      <c r="I27" s="819">
        <f t="shared" ref="I27" si="12">G27-H27</f>
        <v>1.4899999999999984</v>
      </c>
      <c r="J27" s="819">
        <f t="shared" ref="J27" si="13">I27</f>
        <v>1.4899999999999984</v>
      </c>
      <c r="K27" s="820" t="s">
        <v>1388</v>
      </c>
      <c r="N27" s="822" t="s">
        <v>1329</v>
      </c>
      <c r="O27" s="822" t="s">
        <v>1140</v>
      </c>
    </row>
    <row r="28" spans="1:15" ht="20.100000000000001" customHeight="1">
      <c r="A28" s="813" t="str">
        <f t="shared" ref="A28" si="14">N28</f>
        <v>B044</v>
      </c>
      <c r="B28" s="814" t="s">
        <v>459</v>
      </c>
      <c r="C28" s="815" t="str">
        <f>VLOOKUP(A28,'수리계산결과 붙여넣기'!$A$7:$X$298,2,FALSE)</f>
        <v>B015</v>
      </c>
      <c r="D28" s="816"/>
      <c r="E28" s="817">
        <f>VLOOKUP(A28,'수리계산결과 붙여넣기'!$A$7:$X$298,6,FALSE)</f>
        <v>300</v>
      </c>
      <c r="F28" s="814">
        <v>1</v>
      </c>
      <c r="G28" s="818">
        <f>VLOOKUP(A28,'수리계산결과 붙여넣기'!$A$7:$X$298,13,FALSE)</f>
        <v>9.4700000000000006</v>
      </c>
      <c r="H28" s="819">
        <f>VLOOKUP(C28,'수리계산결과 붙여넣기'!$A$7:$X$298,12,FALSE)</f>
        <v>7.98</v>
      </c>
      <c r="I28" s="819">
        <f t="shared" ref="I28" si="15">G28-H28</f>
        <v>1.4900000000000002</v>
      </c>
      <c r="J28" s="819">
        <f t="shared" ref="J28" si="16">I28</f>
        <v>1.4900000000000002</v>
      </c>
      <c r="K28" s="820" t="s">
        <v>1541</v>
      </c>
      <c r="N28" s="822" t="s">
        <v>1225</v>
      </c>
      <c r="O28" s="822" t="s">
        <v>1199</v>
      </c>
    </row>
    <row r="29" spans="1:15" ht="20.100000000000001" hidden="1" customHeight="1">
      <c r="A29" s="813"/>
      <c r="B29" s="814"/>
      <c r="C29" s="815"/>
      <c r="D29" s="816"/>
      <c r="E29" s="817"/>
      <c r="F29" s="814"/>
      <c r="G29" s="818"/>
      <c r="H29" s="819"/>
      <c r="I29" s="819"/>
      <c r="J29" s="819"/>
      <c r="K29" s="820"/>
      <c r="N29" s="822"/>
      <c r="O29" s="822"/>
    </row>
    <row r="30" spans="1:15" ht="20.100000000000001" hidden="1" customHeight="1">
      <c r="A30" s="813"/>
      <c r="B30" s="814"/>
      <c r="C30" s="815"/>
      <c r="D30" s="816"/>
      <c r="E30" s="817"/>
      <c r="F30" s="814"/>
      <c r="G30" s="818"/>
      <c r="H30" s="819"/>
      <c r="I30" s="819"/>
      <c r="J30" s="819"/>
      <c r="K30" s="820"/>
      <c r="N30" s="822"/>
      <c r="O30" s="822"/>
    </row>
    <row r="31" spans="1:15" ht="20.100000000000001" hidden="1" customHeight="1">
      <c r="A31" s="823"/>
      <c r="B31" s="824"/>
      <c r="C31" s="825"/>
      <c r="D31" s="826"/>
      <c r="E31" s="827"/>
      <c r="F31" s="824"/>
      <c r="G31" s="828"/>
      <c r="H31" s="829"/>
      <c r="I31" s="829"/>
      <c r="J31" s="829"/>
      <c r="K31" s="830"/>
      <c r="N31" s="822"/>
      <c r="O31" s="822"/>
    </row>
    <row r="32" spans="1:15" ht="24.95" customHeight="1">
      <c r="A32" s="2034" t="s">
        <v>0</v>
      </c>
      <c r="B32" s="2035"/>
      <c r="C32" s="2035"/>
      <c r="D32" s="2036"/>
      <c r="E32" s="831"/>
      <c r="F32" s="832">
        <f>SUM(F3:F31)</f>
        <v>26</v>
      </c>
      <c r="G32" s="833"/>
      <c r="H32" s="834"/>
      <c r="I32" s="835">
        <f>ROUND(SUM(I3:I31),2)</f>
        <v>33.53</v>
      </c>
      <c r="J32" s="836">
        <f>SUM(J3:J31)</f>
        <v>33.529999999999994</v>
      </c>
      <c r="K32" s="837"/>
    </row>
    <row r="33" spans="1:12" ht="20.25" customHeight="1">
      <c r="A33" s="838"/>
      <c r="B33" s="839"/>
      <c r="C33" s="840"/>
      <c r="D33" s="841"/>
      <c r="E33" s="842"/>
      <c r="F33" s="839"/>
      <c r="G33" s="843"/>
      <c r="H33" s="844"/>
      <c r="I33" s="844"/>
      <c r="J33" s="844"/>
      <c r="K33" s="845"/>
    </row>
    <row r="34" spans="1:12" ht="24.95" customHeight="1">
      <c r="A34" s="2037" t="s">
        <v>470</v>
      </c>
      <c r="B34" s="2038"/>
      <c r="C34" s="2038"/>
      <c r="D34" s="2039"/>
      <c r="E34" s="2043" t="s">
        <v>454</v>
      </c>
      <c r="F34" s="2045" t="s">
        <v>471</v>
      </c>
      <c r="G34" s="2047" t="s">
        <v>472</v>
      </c>
      <c r="H34" s="2048"/>
      <c r="I34" s="2049"/>
      <c r="J34" s="2050"/>
      <c r="K34" s="2051"/>
    </row>
    <row r="35" spans="1:12" ht="24.95" customHeight="1">
      <c r="A35" s="2040"/>
      <c r="B35" s="2041"/>
      <c r="C35" s="2041"/>
      <c r="D35" s="2042"/>
      <c r="E35" s="2044"/>
      <c r="F35" s="2046"/>
      <c r="G35" s="846" t="s">
        <v>473</v>
      </c>
      <c r="H35" s="847" t="s">
        <v>474</v>
      </c>
      <c r="I35" s="2052"/>
      <c r="J35" s="2053"/>
      <c r="K35" s="2054"/>
    </row>
    <row r="36" spans="1:12" ht="24.95" customHeight="1">
      <c r="A36" s="2025" t="s">
        <v>417</v>
      </c>
      <c r="B36" s="2026"/>
      <c r="C36" s="2026"/>
      <c r="D36" s="2027"/>
      <c r="E36" s="817">
        <v>200</v>
      </c>
      <c r="F36" s="814">
        <f>SUMIF($E$3:$E$31,$E36,$F$3:$F$31)</f>
        <v>5</v>
      </c>
      <c r="G36" s="848">
        <f>SUMIF($E$3:$E$31,$E36,$I$3:$I$31)</f>
        <v>5.3000000000000007</v>
      </c>
      <c r="H36" s="819">
        <f>ROUND(G36/F36,2)</f>
        <v>1.06</v>
      </c>
      <c r="I36" s="2019"/>
      <c r="J36" s="2020"/>
      <c r="K36" s="2021"/>
    </row>
    <row r="37" spans="1:12" ht="24.95" customHeight="1">
      <c r="A37" s="2028"/>
      <c r="B37" s="2029"/>
      <c r="C37" s="2029"/>
      <c r="D37" s="2030"/>
      <c r="E37" s="817">
        <v>300</v>
      </c>
      <c r="F37" s="814">
        <f>SUMIF($E$3:$E$31,$E37,$F$3:$F$31)</f>
        <v>21</v>
      </c>
      <c r="G37" s="848">
        <f>SUMIF($E$3:$E$31,$E37,$I$3:$I$31)</f>
        <v>28.22999999999999</v>
      </c>
      <c r="H37" s="819">
        <f>ROUND(G37/F37,2)</f>
        <v>1.34</v>
      </c>
      <c r="I37" s="2019"/>
      <c r="J37" s="2020"/>
      <c r="K37" s="2021"/>
    </row>
    <row r="38" spans="1:12" ht="24.95" hidden="1" customHeight="1">
      <c r="A38" s="2028"/>
      <c r="B38" s="2029"/>
      <c r="C38" s="2029"/>
      <c r="D38" s="2030"/>
      <c r="E38" s="817">
        <v>400</v>
      </c>
      <c r="F38" s="814">
        <f>SUMIF($E$3:$E$31,$E38,$F$3:$F$31)</f>
        <v>0</v>
      </c>
      <c r="G38" s="848">
        <f>SUMIF($E$3:$E$31,$E38,$I$3:$I$31)</f>
        <v>0</v>
      </c>
      <c r="H38" s="819" t="e">
        <f>ROUND(G38/F38,2)</f>
        <v>#DIV/0!</v>
      </c>
      <c r="I38" s="2019"/>
      <c r="J38" s="2020"/>
      <c r="K38" s="2021"/>
    </row>
    <row r="39" spans="1:12" ht="24.95" hidden="1" customHeight="1">
      <c r="A39" s="2028"/>
      <c r="B39" s="2029"/>
      <c r="C39" s="2029"/>
      <c r="D39" s="2030"/>
      <c r="E39" s="817">
        <v>500</v>
      </c>
      <c r="F39" s="814">
        <f>SUMIF($E$3:$E$31,$E39,$F$3:$F$31)</f>
        <v>0</v>
      </c>
      <c r="G39" s="848">
        <f>SUMIF($E$3:$E$31,$E39,$I$3:$I$31)</f>
        <v>0</v>
      </c>
      <c r="H39" s="819" t="e">
        <f>ROUND(G39/F39,2)</f>
        <v>#DIV/0!</v>
      </c>
      <c r="I39" s="2019"/>
      <c r="J39" s="2020"/>
      <c r="K39" s="2021"/>
    </row>
    <row r="40" spans="1:12" ht="24.95" hidden="1" customHeight="1">
      <c r="A40" s="2031"/>
      <c r="B40" s="2032"/>
      <c r="C40" s="2032"/>
      <c r="D40" s="2033"/>
      <c r="E40" s="817">
        <v>600</v>
      </c>
      <c r="F40" s="814">
        <f>SUMIF($E$3:$E$31,$E40,$F$3:$F$31)</f>
        <v>0</v>
      </c>
      <c r="G40" s="848">
        <f>SUMIF($E$3:$E$31,$E40,$I$3:$I$31)</f>
        <v>0</v>
      </c>
      <c r="H40" s="819" t="e">
        <f>ROUND(G40/F40,2)</f>
        <v>#DIV/0!</v>
      </c>
      <c r="I40" s="2019"/>
      <c r="J40" s="2020"/>
      <c r="K40" s="2021"/>
    </row>
    <row r="41" spans="1:12" s="852" customFormat="1" ht="24.95" customHeight="1">
      <c r="A41" s="2055" t="s">
        <v>460</v>
      </c>
      <c r="B41" s="2056"/>
      <c r="C41" s="2056"/>
      <c r="D41" s="2056"/>
      <c r="E41" s="2057"/>
      <c r="F41" s="800">
        <f>SUM(F36:F40)</f>
        <v>26</v>
      </c>
      <c r="G41" s="849">
        <f>SUM(G36:G40)</f>
        <v>33.529999999999987</v>
      </c>
      <c r="H41" s="850"/>
      <c r="I41" s="2022"/>
      <c r="J41" s="2023"/>
      <c r="K41" s="2024"/>
      <c r="L41" s="851"/>
    </row>
    <row r="42" spans="1:12" ht="24.95" customHeight="1">
      <c r="A42" s="853"/>
      <c r="B42" s="853"/>
      <c r="C42" s="853"/>
      <c r="D42" s="853"/>
      <c r="E42" s="853"/>
      <c r="F42" s="853"/>
      <c r="G42" s="854"/>
      <c r="H42" s="854"/>
      <c r="I42" s="854"/>
      <c r="J42" s="854"/>
      <c r="K42" s="853"/>
    </row>
    <row r="43" spans="1:12" ht="15" customHeight="1">
      <c r="E43" s="797"/>
      <c r="F43" s="797"/>
    </row>
    <row r="44" spans="1:12" ht="15" customHeight="1"/>
    <row r="45" spans="1:12" ht="15" customHeight="1"/>
    <row r="46" spans="1:12" ht="15" customHeight="1"/>
    <row r="47" spans="1:12" s="855" customFormat="1" ht="15" customHeight="1">
      <c r="E47" s="798"/>
      <c r="F47" s="798"/>
      <c r="L47" s="856"/>
    </row>
    <row r="48" spans="1:12" s="855" customFormat="1" ht="15" customHeight="1">
      <c r="E48" s="798"/>
      <c r="F48" s="798"/>
      <c r="L48" s="856"/>
    </row>
    <row r="49" spans="5:12" s="855" customFormat="1" ht="15" customHeight="1">
      <c r="E49" s="798"/>
      <c r="F49" s="798"/>
      <c r="L49" s="856"/>
    </row>
  </sheetData>
  <mergeCells count="16">
    <mergeCell ref="A1:K1"/>
    <mergeCell ref="A2:C2"/>
    <mergeCell ref="I39:K39"/>
    <mergeCell ref="I41:K41"/>
    <mergeCell ref="A36:D40"/>
    <mergeCell ref="A32:D32"/>
    <mergeCell ref="A34:D35"/>
    <mergeCell ref="E34:E35"/>
    <mergeCell ref="F34:F35"/>
    <mergeCell ref="G34:H34"/>
    <mergeCell ref="I34:K35"/>
    <mergeCell ref="I36:K36"/>
    <mergeCell ref="I37:K37"/>
    <mergeCell ref="I38:K38"/>
    <mergeCell ref="I40:K40"/>
    <mergeCell ref="A41:E41"/>
  </mergeCells>
  <phoneticPr fontId="13" type="noConversion"/>
  <printOptions horizontalCentered="1"/>
  <pageMargins left="0.70866141732283472" right="0.70866141732283472" top="1.1811023622047245" bottom="0.74803149606299213" header="0.78740157480314965" footer="0.31496062992125984"/>
  <pageSetup paperSize="9" scale="90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5">
    <tabColor rgb="FFFF0000"/>
  </sheetPr>
  <dimension ref="A1"/>
  <sheetViews>
    <sheetView workbookViewId="0">
      <selection activeCell="L74" sqref="L74"/>
    </sheetView>
  </sheetViews>
  <sheetFormatPr defaultRowHeight="13.5"/>
  <sheetData/>
  <phoneticPr fontId="13" type="noConversion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6">
    <tabColor rgb="FFC00000"/>
  </sheetPr>
  <dimension ref="A1:Y273"/>
  <sheetViews>
    <sheetView topLeftCell="A127" zoomScale="85" zoomScaleNormal="85" workbookViewId="0">
      <selection activeCell="L74" sqref="L74"/>
    </sheetView>
  </sheetViews>
  <sheetFormatPr defaultRowHeight="13.5"/>
  <cols>
    <col min="1" max="15" width="8.88671875" style="776"/>
    <col min="16" max="16" width="8.88671875" style="776" hidden="1" customWidth="1"/>
    <col min="17" max="19" width="8.88671875" style="776"/>
    <col min="20" max="23" width="8.88671875" style="776" hidden="1" customWidth="1"/>
    <col min="24" max="16384" width="8.88671875" style="776"/>
  </cols>
  <sheetData>
    <row r="1" spans="1:25">
      <c r="A1" s="776">
        <v>1</v>
      </c>
      <c r="B1" s="776">
        <v>2</v>
      </c>
      <c r="C1" s="776">
        <v>3</v>
      </c>
      <c r="D1" s="776">
        <v>4</v>
      </c>
      <c r="E1" s="776">
        <v>5</v>
      </c>
      <c r="F1" s="776">
        <v>6</v>
      </c>
      <c r="G1" s="776">
        <v>7</v>
      </c>
      <c r="H1" s="776">
        <v>8</v>
      </c>
      <c r="I1" s="776">
        <v>9</v>
      </c>
      <c r="J1" s="776">
        <v>10</v>
      </c>
      <c r="K1" s="776">
        <v>11</v>
      </c>
      <c r="L1" s="776">
        <v>12</v>
      </c>
      <c r="M1" s="776">
        <v>13</v>
      </c>
      <c r="N1" s="776">
        <v>14</v>
      </c>
      <c r="O1" s="776">
        <v>15</v>
      </c>
      <c r="P1" s="776">
        <v>16</v>
      </c>
      <c r="Q1" s="776">
        <v>17</v>
      </c>
      <c r="R1" s="776">
        <v>18</v>
      </c>
      <c r="S1" s="776">
        <v>19</v>
      </c>
      <c r="T1" s="776">
        <v>20</v>
      </c>
      <c r="U1" s="776">
        <v>21</v>
      </c>
      <c r="V1" s="776">
        <v>22</v>
      </c>
      <c r="W1" s="776">
        <v>23</v>
      </c>
      <c r="X1" s="776">
        <v>24</v>
      </c>
    </row>
    <row r="2" spans="1:25" ht="13.5" customHeight="1">
      <c r="A2" s="2058" t="s">
        <v>978</v>
      </c>
      <c r="B2" s="2059"/>
      <c r="C2" s="2064" t="s">
        <v>1004</v>
      </c>
      <c r="D2" s="2065"/>
      <c r="E2" s="2066"/>
      <c r="F2" s="2067" t="s">
        <v>936</v>
      </c>
      <c r="G2" s="2068"/>
      <c r="H2" s="2068"/>
      <c r="I2" s="2068"/>
      <c r="J2" s="2068"/>
      <c r="K2" s="2068"/>
      <c r="L2" s="2068"/>
      <c r="M2" s="2068"/>
      <c r="N2" s="2068"/>
      <c r="O2" s="2068"/>
      <c r="P2" s="2068"/>
      <c r="Q2" s="2068"/>
      <c r="R2" s="2068"/>
      <c r="S2" s="2068"/>
      <c r="T2" s="2068"/>
      <c r="U2" s="2068"/>
      <c r="V2" s="2068"/>
      <c r="W2" s="2068"/>
      <c r="X2" s="2069"/>
      <c r="Y2" s="2070" t="s">
        <v>979</v>
      </c>
    </row>
    <row r="3" spans="1:25" ht="13.5" customHeight="1">
      <c r="A3" s="2060"/>
      <c r="B3" s="2061"/>
      <c r="C3" s="2073" t="s">
        <v>980</v>
      </c>
      <c r="D3" s="2073" t="s">
        <v>980</v>
      </c>
      <c r="E3" s="2073" t="s">
        <v>981</v>
      </c>
      <c r="F3" s="2073" t="s">
        <v>1005</v>
      </c>
      <c r="G3" s="2076" t="s">
        <v>982</v>
      </c>
      <c r="H3" s="2079" t="s">
        <v>1006</v>
      </c>
      <c r="I3" s="2080"/>
      <c r="J3" s="2079" t="s">
        <v>983</v>
      </c>
      <c r="K3" s="2080"/>
      <c r="L3" s="2079" t="s">
        <v>984</v>
      </c>
      <c r="M3" s="2080"/>
      <c r="N3" s="2083" t="s">
        <v>985</v>
      </c>
      <c r="O3" s="2084"/>
      <c r="P3" s="2076" t="s">
        <v>986</v>
      </c>
      <c r="Q3" s="2087" t="s">
        <v>987</v>
      </c>
      <c r="R3" s="2073" t="s">
        <v>988</v>
      </c>
      <c r="S3" s="2073" t="s">
        <v>989</v>
      </c>
      <c r="T3" s="2090" t="s">
        <v>990</v>
      </c>
      <c r="U3" s="2090" t="s">
        <v>991</v>
      </c>
      <c r="V3" s="2090" t="s">
        <v>1007</v>
      </c>
      <c r="W3" s="2090" t="s">
        <v>992</v>
      </c>
      <c r="X3" s="2073" t="s">
        <v>1008</v>
      </c>
      <c r="Y3" s="2071"/>
    </row>
    <row r="4" spans="1:25">
      <c r="A4" s="2060"/>
      <c r="B4" s="2061"/>
      <c r="C4" s="2074"/>
      <c r="D4" s="2074"/>
      <c r="E4" s="2074"/>
      <c r="F4" s="2074"/>
      <c r="G4" s="2077"/>
      <c r="H4" s="2081"/>
      <c r="I4" s="2082"/>
      <c r="J4" s="2081"/>
      <c r="K4" s="2082"/>
      <c r="L4" s="2081"/>
      <c r="M4" s="2082"/>
      <c r="N4" s="2085"/>
      <c r="O4" s="2086"/>
      <c r="P4" s="2077"/>
      <c r="Q4" s="2088"/>
      <c r="R4" s="2074"/>
      <c r="S4" s="2074"/>
      <c r="T4" s="2091"/>
      <c r="U4" s="2091"/>
      <c r="V4" s="2091"/>
      <c r="W4" s="2091"/>
      <c r="X4" s="2074"/>
      <c r="Y4" s="2071"/>
    </row>
    <row r="5" spans="1:25">
      <c r="A5" s="2062"/>
      <c r="B5" s="2063"/>
      <c r="C5" s="2075"/>
      <c r="D5" s="2075"/>
      <c r="E5" s="2075"/>
      <c r="F5" s="2075"/>
      <c r="G5" s="2078"/>
      <c r="H5" s="781" t="s">
        <v>1009</v>
      </c>
      <c r="I5" s="781" t="s">
        <v>993</v>
      </c>
      <c r="J5" s="781" t="s">
        <v>1009</v>
      </c>
      <c r="K5" s="781" t="s">
        <v>993</v>
      </c>
      <c r="L5" s="781" t="s">
        <v>1009</v>
      </c>
      <c r="M5" s="781" t="s">
        <v>993</v>
      </c>
      <c r="N5" s="760" t="s">
        <v>1010</v>
      </c>
      <c r="O5" s="782" t="s">
        <v>994</v>
      </c>
      <c r="P5" s="2078"/>
      <c r="Q5" s="2089"/>
      <c r="R5" s="2075"/>
      <c r="S5" s="2075"/>
      <c r="T5" s="2092"/>
      <c r="U5" s="2092"/>
      <c r="V5" s="2092"/>
      <c r="W5" s="2092"/>
      <c r="X5" s="2075"/>
      <c r="Y5" s="2071"/>
    </row>
    <row r="6" spans="1:25">
      <c r="A6" s="780" t="s">
        <v>995</v>
      </c>
      <c r="B6" s="780" t="s">
        <v>996</v>
      </c>
      <c r="C6" s="761" t="s">
        <v>997</v>
      </c>
      <c r="D6" s="761" t="s">
        <v>937</v>
      </c>
      <c r="E6" s="761" t="s">
        <v>1011</v>
      </c>
      <c r="F6" s="761" t="s">
        <v>938</v>
      </c>
      <c r="G6" s="781" t="s">
        <v>975</v>
      </c>
      <c r="H6" s="781" t="s">
        <v>975</v>
      </c>
      <c r="I6" s="781" t="s">
        <v>975</v>
      </c>
      <c r="J6" s="781" t="s">
        <v>975</v>
      </c>
      <c r="K6" s="781" t="s">
        <v>975</v>
      </c>
      <c r="L6" s="781" t="s">
        <v>1012</v>
      </c>
      <c r="M6" s="781" t="s">
        <v>975</v>
      </c>
      <c r="N6" s="760" t="s">
        <v>939</v>
      </c>
      <c r="O6" s="782" t="s">
        <v>998</v>
      </c>
      <c r="P6" s="781" t="s">
        <v>975</v>
      </c>
      <c r="Q6" s="783" t="s">
        <v>975</v>
      </c>
      <c r="R6" s="761" t="s">
        <v>976</v>
      </c>
      <c r="S6" s="761" t="s">
        <v>1013</v>
      </c>
      <c r="T6" s="777" t="s">
        <v>1014</v>
      </c>
      <c r="U6" s="777" t="s">
        <v>977</v>
      </c>
      <c r="V6" s="777" t="s">
        <v>1014</v>
      </c>
      <c r="W6" s="777" t="s">
        <v>1015</v>
      </c>
      <c r="X6" s="761" t="s">
        <v>1016</v>
      </c>
      <c r="Y6" s="2072"/>
    </row>
    <row r="7" spans="1:25">
      <c r="A7" s="762" t="s">
        <v>1079</v>
      </c>
      <c r="B7" s="762" t="s">
        <v>1080</v>
      </c>
      <c r="C7" s="763">
        <v>36.5</v>
      </c>
      <c r="D7" s="764">
        <v>4.224537037037037E-4</v>
      </c>
      <c r="E7" s="765">
        <v>4.224537037037037E-4</v>
      </c>
      <c r="F7" s="778">
        <v>300</v>
      </c>
      <c r="G7" s="763">
        <v>6.83</v>
      </c>
      <c r="H7" s="763">
        <v>23.03</v>
      </c>
      <c r="I7" s="763">
        <v>23.19</v>
      </c>
      <c r="J7" s="779">
        <v>1.3730000000000013</v>
      </c>
      <c r="K7" s="779">
        <v>1.7630000000000019</v>
      </c>
      <c r="L7" s="766">
        <v>21.34</v>
      </c>
      <c r="M7" s="766">
        <v>21.11</v>
      </c>
      <c r="N7" s="767">
        <v>-23.43</v>
      </c>
      <c r="O7" s="768">
        <v>33.674999999999997</v>
      </c>
      <c r="P7" s="769"/>
      <c r="Q7" s="770">
        <v>0.23000000000000043</v>
      </c>
      <c r="R7" s="768">
        <v>2.9668935150001809</v>
      </c>
      <c r="S7" s="768">
        <v>0.20971730096047009</v>
      </c>
      <c r="T7" s="774">
        <v>2.0143960549222051E-3</v>
      </c>
      <c r="U7" s="774">
        <v>0.1966154282631502</v>
      </c>
      <c r="V7" s="774">
        <v>3.3209786751399073E-2</v>
      </c>
      <c r="W7" s="775">
        <v>0.58333703906292367</v>
      </c>
      <c r="X7" s="771">
        <v>49643</v>
      </c>
      <c r="Y7" s="772"/>
    </row>
    <row r="8" spans="1:25">
      <c r="A8" s="762" t="s">
        <v>1080</v>
      </c>
      <c r="B8" s="762" t="s">
        <v>1081</v>
      </c>
      <c r="C8" s="763">
        <v>10.8996</v>
      </c>
      <c r="D8" s="764">
        <v>1.2615277777777776E-4</v>
      </c>
      <c r="E8" s="765">
        <v>5.4860648148148151E-4</v>
      </c>
      <c r="F8" s="778">
        <v>300</v>
      </c>
      <c r="G8" s="763">
        <v>58.51</v>
      </c>
      <c r="H8" s="763">
        <v>23.19</v>
      </c>
      <c r="I8" s="763">
        <v>24.17</v>
      </c>
      <c r="J8" s="779">
        <v>1.7630000000000019</v>
      </c>
      <c r="K8" s="779">
        <v>3.5630000000000028</v>
      </c>
      <c r="L8" s="766">
        <v>21.11</v>
      </c>
      <c r="M8" s="766">
        <v>20.29</v>
      </c>
      <c r="N8" s="767">
        <v>-16.75</v>
      </c>
      <c r="O8" s="768">
        <v>14.015000000000001</v>
      </c>
      <c r="P8" s="769"/>
      <c r="Q8" s="770">
        <v>0.82000000000000028</v>
      </c>
      <c r="R8" s="768">
        <v>1.9140122285973658</v>
      </c>
      <c r="S8" s="768">
        <v>0.13529352386843224</v>
      </c>
      <c r="T8" s="774">
        <v>4.0549352681136476E-3</v>
      </c>
      <c r="U8" s="774">
        <v>0.24306815488170144</v>
      </c>
      <c r="V8" s="774">
        <v>4.5928413087459152E-2</v>
      </c>
      <c r="W8" s="775">
        <v>0.46523542082617503</v>
      </c>
      <c r="X8" s="771">
        <v>24662</v>
      </c>
      <c r="Y8" s="772"/>
    </row>
    <row r="9" spans="1:25">
      <c r="A9" s="762" t="s">
        <v>1081</v>
      </c>
      <c r="B9" s="762" t="s">
        <v>1082</v>
      </c>
      <c r="C9" s="763">
        <v>0</v>
      </c>
      <c r="D9" s="764">
        <v>0</v>
      </c>
      <c r="E9" s="765">
        <v>5.4860648148148151E-4</v>
      </c>
      <c r="F9" s="778">
        <v>300</v>
      </c>
      <c r="G9" s="763">
        <v>19.829999999999998</v>
      </c>
      <c r="H9" s="763">
        <v>24.17</v>
      </c>
      <c r="I9" s="763">
        <v>23.94</v>
      </c>
      <c r="J9" s="779">
        <v>5.0530000000000008</v>
      </c>
      <c r="K9" s="779">
        <v>5.4830000000000005</v>
      </c>
      <c r="L9" s="766">
        <v>18.8</v>
      </c>
      <c r="M9" s="766">
        <v>18.14</v>
      </c>
      <c r="N9" s="767">
        <v>11.6</v>
      </c>
      <c r="O9" s="768">
        <v>33.283000000000001</v>
      </c>
      <c r="P9" s="769"/>
      <c r="Q9" s="770">
        <v>0.66000000000000014</v>
      </c>
      <c r="R9" s="768">
        <v>2.9495746331111561</v>
      </c>
      <c r="S9" s="768">
        <v>0.20849310159266121</v>
      </c>
      <c r="T9" s="774">
        <v>2.6312932048625248E-3</v>
      </c>
      <c r="U9" s="774">
        <v>0.21313833500163765</v>
      </c>
      <c r="V9" s="774">
        <v>3.7560885916725073E-2</v>
      </c>
      <c r="W9" s="775">
        <v>0.62866742626437799</v>
      </c>
      <c r="X9" s="771">
        <v>38005</v>
      </c>
      <c r="Y9" s="772"/>
    </row>
    <row r="10" spans="1:25">
      <c r="A10" s="762" t="s">
        <v>1082</v>
      </c>
      <c r="B10" s="762" t="s">
        <v>1083</v>
      </c>
      <c r="C10" s="763">
        <v>19.699992000000002</v>
      </c>
      <c r="D10" s="764">
        <v>2.2800916666666668E-4</v>
      </c>
      <c r="E10" s="765">
        <v>7.7661564814814825E-4</v>
      </c>
      <c r="F10" s="778">
        <v>300</v>
      </c>
      <c r="G10" s="763">
        <v>10.220000000000001</v>
      </c>
      <c r="H10" s="763">
        <v>23.94</v>
      </c>
      <c r="I10" s="763">
        <v>17.62</v>
      </c>
      <c r="J10" s="779">
        <v>6.9730000000000025</v>
      </c>
      <c r="K10" s="779">
        <v>1.0030000000000003</v>
      </c>
      <c r="L10" s="766">
        <v>16.649999999999999</v>
      </c>
      <c r="M10" s="766">
        <v>16.3</v>
      </c>
      <c r="N10" s="767">
        <v>618.4</v>
      </c>
      <c r="O10" s="768">
        <v>34.247</v>
      </c>
      <c r="P10" s="769"/>
      <c r="Q10" s="770">
        <v>0.34999999999999787</v>
      </c>
      <c r="R10" s="768">
        <v>2.9919850832180086</v>
      </c>
      <c r="S10" s="768">
        <v>0.21149091903503317</v>
      </c>
      <c r="T10" s="774">
        <v>3.6720992640800003E-3</v>
      </c>
      <c r="U10" s="774">
        <v>0.23552429633953931</v>
      </c>
      <c r="V10" s="774">
        <v>4.3761252925844429E-2</v>
      </c>
      <c r="W10" s="775">
        <v>0.70468518138331948</v>
      </c>
      <c r="X10" s="771">
        <v>27233</v>
      </c>
      <c r="Y10" s="773"/>
    </row>
    <row r="11" spans="1:25">
      <c r="A11" s="762" t="s">
        <v>1083</v>
      </c>
      <c r="B11" s="762" t="s">
        <v>1084</v>
      </c>
      <c r="C11" s="763">
        <v>0</v>
      </c>
      <c r="D11" s="764">
        <v>0</v>
      </c>
      <c r="E11" s="765">
        <v>7.7661564814814825E-4</v>
      </c>
      <c r="F11" s="778">
        <v>300</v>
      </c>
      <c r="G11" s="763">
        <v>22.18</v>
      </c>
      <c r="H11" s="763">
        <v>17.62</v>
      </c>
      <c r="I11" s="763">
        <v>21.88</v>
      </c>
      <c r="J11" s="779">
        <v>1.0030000000000003</v>
      </c>
      <c r="K11" s="779">
        <v>5.6129999999999995</v>
      </c>
      <c r="L11" s="766">
        <v>16.3</v>
      </c>
      <c r="M11" s="766">
        <v>15.95</v>
      </c>
      <c r="N11" s="767">
        <v>-192.06</v>
      </c>
      <c r="O11" s="768">
        <v>15.78</v>
      </c>
      <c r="P11" s="769"/>
      <c r="Q11" s="770">
        <v>0.35000000000000142</v>
      </c>
      <c r="R11" s="768">
        <v>2.0309613399568338</v>
      </c>
      <c r="S11" s="768">
        <v>0.14356016770314756</v>
      </c>
      <c r="T11" s="774">
        <v>5.4096875238682307E-3</v>
      </c>
      <c r="U11" s="774">
        <v>0.26591857013415876</v>
      </c>
      <c r="V11" s="774">
        <v>5.272768008098716E-2</v>
      </c>
      <c r="W11" s="775">
        <v>0.54007033551907635</v>
      </c>
      <c r="X11" s="771">
        <v>18486</v>
      </c>
      <c r="Y11" s="773"/>
    </row>
    <row r="12" spans="1:25">
      <c r="A12" s="762" t="s">
        <v>1084</v>
      </c>
      <c r="B12" s="762" t="s">
        <v>1085</v>
      </c>
      <c r="C12" s="763">
        <v>0</v>
      </c>
      <c r="D12" s="764">
        <v>0</v>
      </c>
      <c r="E12" s="765">
        <v>7.7661564814814825E-4</v>
      </c>
      <c r="F12" s="778">
        <v>300</v>
      </c>
      <c r="G12" s="763">
        <v>32.25</v>
      </c>
      <c r="H12" s="763">
        <v>21.88</v>
      </c>
      <c r="I12" s="763">
        <v>22.32</v>
      </c>
      <c r="J12" s="779">
        <v>5.6129999999999995</v>
      </c>
      <c r="K12" s="779">
        <v>6.3030000000000008</v>
      </c>
      <c r="L12" s="766">
        <v>15.95</v>
      </c>
      <c r="M12" s="766">
        <v>15.7</v>
      </c>
      <c r="N12" s="767">
        <v>-13.64</v>
      </c>
      <c r="O12" s="768">
        <v>7.7519999999999998</v>
      </c>
      <c r="P12" s="769"/>
      <c r="Q12" s="770">
        <v>0.25</v>
      </c>
      <c r="R12" s="768">
        <v>1.4234920274075005</v>
      </c>
      <c r="S12" s="768">
        <v>0.10062070122076164</v>
      </c>
      <c r="T12" s="774">
        <v>7.718249214386361E-3</v>
      </c>
      <c r="U12" s="774">
        <v>0.2948839586463462</v>
      </c>
      <c r="V12" s="774">
        <v>6.1846659978067819E-2</v>
      </c>
      <c r="W12" s="775">
        <v>0.41976496414343689</v>
      </c>
      <c r="X12" s="771">
        <v>12957</v>
      </c>
      <c r="Y12" s="773"/>
    </row>
    <row r="13" spans="1:25">
      <c r="A13" s="762" t="s">
        <v>1085</v>
      </c>
      <c r="B13" s="762" t="s">
        <v>1321</v>
      </c>
      <c r="C13" s="763">
        <v>8.9997600000000002</v>
      </c>
      <c r="D13" s="764">
        <v>1.0416388888888888E-4</v>
      </c>
      <c r="E13" s="765">
        <v>8.8077953703703717E-4</v>
      </c>
      <c r="F13" s="778">
        <v>300</v>
      </c>
      <c r="G13" s="763">
        <v>19.61</v>
      </c>
      <c r="H13" s="763">
        <v>22.32</v>
      </c>
      <c r="I13" s="763">
        <v>21.74</v>
      </c>
      <c r="J13" s="779">
        <v>6.3030000000000008</v>
      </c>
      <c r="K13" s="779">
        <v>6.0029999999999983</v>
      </c>
      <c r="L13" s="766">
        <v>15.7</v>
      </c>
      <c r="M13" s="766">
        <v>15.42</v>
      </c>
      <c r="N13" s="767">
        <v>29.58</v>
      </c>
      <c r="O13" s="768">
        <v>14.278</v>
      </c>
      <c r="P13" s="769"/>
      <c r="Q13" s="770">
        <v>0.27999999999999936</v>
      </c>
      <c r="R13" s="768">
        <v>1.9318875598647665</v>
      </c>
      <c r="S13" s="768">
        <v>0.13655705631684009</v>
      </c>
      <c r="T13" s="774">
        <v>6.4499013144619184E-3</v>
      </c>
      <c r="U13" s="774">
        <v>0.27938500232365943</v>
      </c>
      <c r="V13" s="774">
        <v>5.68982103843923E-2</v>
      </c>
      <c r="W13" s="775">
        <v>0.53974041040186649</v>
      </c>
      <c r="X13" s="771">
        <v>15505</v>
      </c>
      <c r="Y13" s="773"/>
    </row>
    <row r="14" spans="1:25">
      <c r="A14" s="762" t="s">
        <v>1321</v>
      </c>
      <c r="B14" s="762" t="s">
        <v>1322</v>
      </c>
      <c r="C14" s="763">
        <v>9.8471399999999996</v>
      </c>
      <c r="D14" s="764">
        <v>1.1397152777777778E-4</v>
      </c>
      <c r="E14" s="765">
        <v>9.9475106481481486E-4</v>
      </c>
      <c r="F14" s="778">
        <v>300</v>
      </c>
      <c r="G14" s="763">
        <v>11.77</v>
      </c>
      <c r="H14" s="763">
        <v>21.74</v>
      </c>
      <c r="I14" s="763">
        <v>21.48</v>
      </c>
      <c r="J14" s="779">
        <v>6.0029999999999983</v>
      </c>
      <c r="K14" s="779">
        <v>6.1430000000000007</v>
      </c>
      <c r="L14" s="766">
        <v>15.42</v>
      </c>
      <c r="M14" s="766">
        <v>15.02</v>
      </c>
      <c r="N14" s="767">
        <v>22.09</v>
      </c>
      <c r="O14" s="768">
        <v>33.984999999999999</v>
      </c>
      <c r="P14" s="769"/>
      <c r="Q14" s="770">
        <v>0.40000000000000036</v>
      </c>
      <c r="R14" s="768">
        <v>2.9805183106097761</v>
      </c>
      <c r="S14" s="768">
        <v>0.21068038081046672</v>
      </c>
      <c r="T14" s="774">
        <v>4.7216122402480255E-3</v>
      </c>
      <c r="U14" s="774">
        <v>0.25445407176700169</v>
      </c>
      <c r="V14" s="774">
        <v>4.927244144387688E-2</v>
      </c>
      <c r="W14" s="775">
        <v>0.75840502011076261</v>
      </c>
      <c r="X14" s="771">
        <v>21180</v>
      </c>
      <c r="Y14" s="772"/>
    </row>
    <row r="15" spans="1:25">
      <c r="A15" s="762" t="s">
        <v>1322</v>
      </c>
      <c r="B15" s="762" t="s">
        <v>1086</v>
      </c>
      <c r="C15" s="763">
        <v>0</v>
      </c>
      <c r="D15" s="764">
        <v>0</v>
      </c>
      <c r="E15" s="765">
        <v>2.7274085532407403E-3</v>
      </c>
      <c r="F15" s="778">
        <v>300</v>
      </c>
      <c r="G15" s="763">
        <v>16.11</v>
      </c>
      <c r="H15" s="763">
        <v>21.48</v>
      </c>
      <c r="I15" s="763">
        <v>21.56</v>
      </c>
      <c r="J15" s="779">
        <v>6.6929999999999996</v>
      </c>
      <c r="K15" s="779">
        <v>6.8129999999999988</v>
      </c>
      <c r="L15" s="766">
        <v>14.47</v>
      </c>
      <c r="M15" s="766">
        <v>14.43</v>
      </c>
      <c r="N15" s="767">
        <v>-4.97</v>
      </c>
      <c r="O15" s="768">
        <v>2.4830000000000001</v>
      </c>
      <c r="P15" s="769"/>
      <c r="Q15" s="770">
        <v>4.0000000000000924E-2</v>
      </c>
      <c r="R15" s="768">
        <v>0.80563164504839402</v>
      </c>
      <c r="S15" s="768">
        <v>5.6946733448194675E-2</v>
      </c>
      <c r="T15" s="774">
        <v>4.7894029878323155E-2</v>
      </c>
      <c r="U15" s="774">
        <v>0.51318587401261406</v>
      </c>
      <c r="V15" s="774">
        <v>0.14830264859474651</v>
      </c>
      <c r="W15" s="775">
        <v>0.41343877989638017</v>
      </c>
      <c r="X15" s="771">
        <v>2088</v>
      </c>
      <c r="Y15" s="772"/>
    </row>
    <row r="16" spans="1:25">
      <c r="A16" s="762" t="s">
        <v>1086</v>
      </c>
      <c r="B16" s="762" t="s">
        <v>1087</v>
      </c>
      <c r="C16" s="763">
        <v>0</v>
      </c>
      <c r="D16" s="764">
        <v>0</v>
      </c>
      <c r="E16" s="765">
        <v>4.3570381828703705E-3</v>
      </c>
      <c r="F16" s="778">
        <v>300</v>
      </c>
      <c r="G16" s="763">
        <v>24.98</v>
      </c>
      <c r="H16" s="763">
        <v>21.56</v>
      </c>
      <c r="I16" s="763">
        <v>21.1</v>
      </c>
      <c r="J16" s="779">
        <v>6.8129999999999988</v>
      </c>
      <c r="K16" s="779">
        <v>6.4030000000000005</v>
      </c>
      <c r="L16" s="766">
        <v>14.43</v>
      </c>
      <c r="M16" s="766">
        <v>14.38</v>
      </c>
      <c r="N16" s="767">
        <v>18.41</v>
      </c>
      <c r="O16" s="768">
        <v>2.0019999999999998</v>
      </c>
      <c r="P16" s="769"/>
      <c r="Q16" s="770">
        <v>4.9999999999998934E-2</v>
      </c>
      <c r="R16" s="768">
        <v>0.72340281377066307</v>
      </c>
      <c r="S16" s="768">
        <v>5.1134321081686612E-2</v>
      </c>
      <c r="T16" s="774">
        <v>8.5207705719022683E-2</v>
      </c>
      <c r="U16" s="774">
        <v>0.60892427586855147</v>
      </c>
      <c r="V16" s="774">
        <v>0.19665882449899791</v>
      </c>
      <c r="W16" s="775">
        <v>0.44049753453657359</v>
      </c>
      <c r="X16" s="771">
        <v>1174</v>
      </c>
      <c r="Y16" s="773"/>
    </row>
    <row r="17" spans="1:25">
      <c r="A17" s="762" t="s">
        <v>1087</v>
      </c>
      <c r="B17" s="762" t="s">
        <v>1088</v>
      </c>
      <c r="C17" s="763">
        <v>0</v>
      </c>
      <c r="D17" s="764">
        <v>0</v>
      </c>
      <c r="E17" s="765">
        <v>4.3570381828703705E-3</v>
      </c>
      <c r="F17" s="778">
        <v>300</v>
      </c>
      <c r="G17" s="763">
        <v>13.34</v>
      </c>
      <c r="H17" s="763">
        <v>21.1</v>
      </c>
      <c r="I17" s="763">
        <v>20.73</v>
      </c>
      <c r="J17" s="779">
        <v>6.4030000000000005</v>
      </c>
      <c r="K17" s="779">
        <v>6.0630000000000006</v>
      </c>
      <c r="L17" s="766">
        <v>14.38</v>
      </c>
      <c r="M17" s="766">
        <v>14.35</v>
      </c>
      <c r="N17" s="767">
        <v>27.74</v>
      </c>
      <c r="O17" s="768">
        <v>2.2490000000000001</v>
      </c>
      <c r="P17" s="769"/>
      <c r="Q17" s="770">
        <v>3.0000000000001137E-2</v>
      </c>
      <c r="R17" s="768">
        <v>0.76673075650730682</v>
      </c>
      <c r="S17" s="768">
        <v>5.4196992242939321E-2</v>
      </c>
      <c r="T17" s="774">
        <v>8.0392619637264046E-2</v>
      </c>
      <c r="U17" s="774">
        <v>0.5993051646841252</v>
      </c>
      <c r="V17" s="774">
        <v>0.19148206242962351</v>
      </c>
      <c r="W17" s="775">
        <v>0.45950570229699539</v>
      </c>
      <c r="X17" s="771">
        <v>1244</v>
      </c>
      <c r="Y17" s="772"/>
    </row>
    <row r="18" spans="1:25">
      <c r="A18" s="762" t="s">
        <v>1088</v>
      </c>
      <c r="B18" s="762" t="s">
        <v>1089</v>
      </c>
      <c r="C18" s="763">
        <v>0</v>
      </c>
      <c r="D18" s="764">
        <v>0</v>
      </c>
      <c r="E18" s="765">
        <v>4.3570381828703705E-3</v>
      </c>
      <c r="F18" s="778">
        <v>300</v>
      </c>
      <c r="G18" s="763">
        <v>14.76</v>
      </c>
      <c r="H18" s="763">
        <v>20.73</v>
      </c>
      <c r="I18" s="763">
        <v>20.6</v>
      </c>
      <c r="J18" s="779">
        <v>6.0630000000000006</v>
      </c>
      <c r="K18" s="779">
        <v>6.1030000000000015</v>
      </c>
      <c r="L18" s="766">
        <v>14.35</v>
      </c>
      <c r="M18" s="766">
        <v>14.18</v>
      </c>
      <c r="N18" s="767">
        <v>8.81</v>
      </c>
      <c r="O18" s="768">
        <v>11.518000000000001</v>
      </c>
      <c r="P18" s="769"/>
      <c r="Q18" s="770">
        <v>0.16999999999999993</v>
      </c>
      <c r="R18" s="768">
        <v>1.7351486800334917</v>
      </c>
      <c r="S18" s="768">
        <v>0.12265040727008499</v>
      </c>
      <c r="T18" s="774">
        <v>3.5524041703961569E-2</v>
      </c>
      <c r="U18" s="774">
        <v>0.4694437934291546</v>
      </c>
      <c r="V18" s="774">
        <v>0.1284275872613016</v>
      </c>
      <c r="W18" s="775">
        <v>0.81455477851851277</v>
      </c>
      <c r="X18" s="771">
        <v>2815</v>
      </c>
      <c r="Y18" s="772"/>
    </row>
    <row r="19" spans="1:25">
      <c r="A19" s="762" t="s">
        <v>1089</v>
      </c>
      <c r="B19" s="762" t="s">
        <v>1090</v>
      </c>
      <c r="C19" s="763">
        <v>0</v>
      </c>
      <c r="D19" s="764">
        <v>0</v>
      </c>
      <c r="E19" s="765">
        <v>4.3570381828703705E-3</v>
      </c>
      <c r="F19" s="778">
        <v>300</v>
      </c>
      <c r="G19" s="763">
        <v>12.37</v>
      </c>
      <c r="H19" s="763">
        <v>20.6</v>
      </c>
      <c r="I19" s="763">
        <v>20.71</v>
      </c>
      <c r="J19" s="779">
        <v>6.1030000000000015</v>
      </c>
      <c r="K19" s="779">
        <v>6.3030000000000008</v>
      </c>
      <c r="L19" s="766">
        <v>14.18</v>
      </c>
      <c r="M19" s="766">
        <v>14.09</v>
      </c>
      <c r="N19" s="767">
        <v>-8.89</v>
      </c>
      <c r="O19" s="768">
        <v>7.2759999999999998</v>
      </c>
      <c r="P19" s="769"/>
      <c r="Q19" s="770">
        <v>8.9999999999999858E-2</v>
      </c>
      <c r="R19" s="768">
        <v>1.3790960110398296</v>
      </c>
      <c r="S19" s="768">
        <v>9.7482532399079405E-2</v>
      </c>
      <c r="T19" s="774">
        <v>4.4695578537427463E-2</v>
      </c>
      <c r="U19" s="774">
        <v>0.50327154346933733</v>
      </c>
      <c r="V19" s="774">
        <v>0.14368074053739577</v>
      </c>
      <c r="W19" s="775">
        <v>0.69405977806842134</v>
      </c>
      <c r="X19" s="771">
        <v>2238</v>
      </c>
      <c r="Y19" s="773"/>
    </row>
    <row r="20" spans="1:25">
      <c r="A20" s="762" t="s">
        <v>1090</v>
      </c>
      <c r="B20" s="762" t="s">
        <v>1091</v>
      </c>
      <c r="C20" s="763">
        <v>0</v>
      </c>
      <c r="D20" s="764">
        <v>0</v>
      </c>
      <c r="E20" s="765">
        <v>4.3570381828703705E-3</v>
      </c>
      <c r="F20" s="778">
        <v>300</v>
      </c>
      <c r="G20" s="763">
        <v>20.86</v>
      </c>
      <c r="H20" s="763">
        <v>20.71</v>
      </c>
      <c r="I20" s="763">
        <v>20.54</v>
      </c>
      <c r="J20" s="779">
        <v>6.3030000000000008</v>
      </c>
      <c r="K20" s="779">
        <v>6.302999999999999</v>
      </c>
      <c r="L20" s="766">
        <v>14.09</v>
      </c>
      <c r="M20" s="766">
        <v>13.92</v>
      </c>
      <c r="N20" s="767">
        <v>8.15</v>
      </c>
      <c r="O20" s="768">
        <v>8.15</v>
      </c>
      <c r="P20" s="769"/>
      <c r="Q20" s="770">
        <v>0.16999999999999993</v>
      </c>
      <c r="R20" s="768">
        <v>1.4595768330843097</v>
      </c>
      <c r="S20" s="768">
        <v>0.10317138529956756</v>
      </c>
      <c r="T20" s="774">
        <v>4.2231071824995969E-2</v>
      </c>
      <c r="U20" s="774">
        <v>0.49532712269923423</v>
      </c>
      <c r="V20" s="774">
        <v>0.14002713492775515</v>
      </c>
      <c r="W20" s="775">
        <v>0.72296799309011162</v>
      </c>
      <c r="X20" s="771">
        <v>2368</v>
      </c>
      <c r="Y20" s="772"/>
    </row>
    <row r="21" spans="1:25">
      <c r="A21" s="762" t="s">
        <v>1091</v>
      </c>
      <c r="B21" s="762" t="s">
        <v>1092</v>
      </c>
      <c r="C21" s="763">
        <v>0</v>
      </c>
      <c r="D21" s="764">
        <v>0</v>
      </c>
      <c r="E21" s="765">
        <v>4.3570381828703705E-3</v>
      </c>
      <c r="F21" s="778">
        <v>300</v>
      </c>
      <c r="G21" s="763">
        <v>12.37</v>
      </c>
      <c r="H21" s="763">
        <v>20.54</v>
      </c>
      <c r="I21" s="763">
        <v>20.2</v>
      </c>
      <c r="J21" s="779">
        <v>6.302999999999999</v>
      </c>
      <c r="K21" s="779">
        <v>6.1029999999999998</v>
      </c>
      <c r="L21" s="766">
        <v>13.92</v>
      </c>
      <c r="M21" s="766">
        <v>13.78</v>
      </c>
      <c r="N21" s="767">
        <v>27.49</v>
      </c>
      <c r="O21" s="768">
        <v>11.318</v>
      </c>
      <c r="P21" s="769"/>
      <c r="Q21" s="770">
        <v>0.14000000000000057</v>
      </c>
      <c r="R21" s="768">
        <v>1.7200180399080267</v>
      </c>
      <c r="S21" s="768">
        <v>0.12158088556569159</v>
      </c>
      <c r="T21" s="774">
        <v>3.5836539293145807E-2</v>
      </c>
      <c r="U21" s="774">
        <v>0.4714376682997552</v>
      </c>
      <c r="V21" s="774">
        <v>0.12930474953412763</v>
      </c>
      <c r="W21" s="775">
        <v>0.81088129416775534</v>
      </c>
      <c r="X21" s="771">
        <v>2791</v>
      </c>
      <c r="Y21" s="772"/>
    </row>
    <row r="22" spans="1:25">
      <c r="A22" s="762" t="s">
        <v>1092</v>
      </c>
      <c r="B22" s="762" t="s">
        <v>1093</v>
      </c>
      <c r="C22" s="763">
        <v>0</v>
      </c>
      <c r="D22" s="764">
        <v>0</v>
      </c>
      <c r="E22" s="765">
        <v>4.3570381828703705E-3</v>
      </c>
      <c r="F22" s="778">
        <v>300</v>
      </c>
      <c r="G22" s="763">
        <v>23.11</v>
      </c>
      <c r="H22" s="763">
        <v>20.2</v>
      </c>
      <c r="I22" s="763">
        <v>20.02</v>
      </c>
      <c r="J22" s="779">
        <v>6.1029999999999998</v>
      </c>
      <c r="K22" s="779">
        <v>6.0030000000000001</v>
      </c>
      <c r="L22" s="766">
        <v>13.78</v>
      </c>
      <c r="M22" s="766">
        <v>13.7</v>
      </c>
      <c r="N22" s="767">
        <v>7.79</v>
      </c>
      <c r="O22" s="768">
        <v>3.4620000000000002</v>
      </c>
      <c r="P22" s="769"/>
      <c r="Q22" s="770">
        <v>8.0000000000000071E-2</v>
      </c>
      <c r="R22" s="768">
        <v>0.95128727823177417</v>
      </c>
      <c r="S22" s="768">
        <v>6.7242521317381107E-2</v>
      </c>
      <c r="T22" s="774">
        <v>6.4795877630842894E-2</v>
      </c>
      <c r="U22" s="774">
        <v>0.56240834642824111</v>
      </c>
      <c r="V22" s="774">
        <v>0.17229991454410115</v>
      </c>
      <c r="W22" s="775">
        <v>0.53501190512855423</v>
      </c>
      <c r="X22" s="771">
        <v>1544</v>
      </c>
      <c r="Y22" s="772"/>
    </row>
    <row r="23" spans="1:25">
      <c r="A23" s="762" t="s">
        <v>1093</v>
      </c>
      <c r="B23" s="762" t="s">
        <v>1094</v>
      </c>
      <c r="C23" s="763">
        <v>0</v>
      </c>
      <c r="D23" s="764">
        <v>0</v>
      </c>
      <c r="E23" s="765">
        <v>1.7293133020833334E-2</v>
      </c>
      <c r="F23" s="778">
        <v>300</v>
      </c>
      <c r="G23" s="763">
        <v>22.94</v>
      </c>
      <c r="H23" s="763">
        <v>20.02</v>
      </c>
      <c r="I23" s="763">
        <v>20.100000000000001</v>
      </c>
      <c r="J23" s="779">
        <v>6.0030000000000001</v>
      </c>
      <c r="K23" s="779">
        <v>6.4430000000000014</v>
      </c>
      <c r="L23" s="766">
        <v>13.7</v>
      </c>
      <c r="M23" s="766">
        <v>13.34</v>
      </c>
      <c r="N23" s="767">
        <v>-3.49</v>
      </c>
      <c r="O23" s="768">
        <v>15.693</v>
      </c>
      <c r="P23" s="769"/>
      <c r="Q23" s="770">
        <v>0.35999999999999943</v>
      </c>
      <c r="R23" s="768">
        <v>2.0253549441435292</v>
      </c>
      <c r="S23" s="768">
        <v>0.14316387501783959</v>
      </c>
      <c r="T23" s="774">
        <v>0.12079257437449527</v>
      </c>
      <c r="U23" s="774">
        <v>0.6749750092212875</v>
      </c>
      <c r="V23" s="774">
        <v>0.23430071024095583</v>
      </c>
      <c r="W23" s="775">
        <v>1.3670639720996589</v>
      </c>
      <c r="X23" s="771">
        <v>828</v>
      </c>
      <c r="Y23" s="773"/>
    </row>
    <row r="24" spans="1:25">
      <c r="A24" s="762" t="s">
        <v>1094</v>
      </c>
      <c r="B24" s="762" t="s">
        <v>1095</v>
      </c>
      <c r="C24" s="763">
        <v>0</v>
      </c>
      <c r="D24" s="764">
        <v>0</v>
      </c>
      <c r="E24" s="765">
        <v>1.7293133020833334E-2</v>
      </c>
      <c r="F24" s="778">
        <v>300</v>
      </c>
      <c r="G24" s="763">
        <v>30.71</v>
      </c>
      <c r="H24" s="763">
        <v>20.100000000000001</v>
      </c>
      <c r="I24" s="763">
        <v>19.79</v>
      </c>
      <c r="J24" s="779">
        <v>6.4430000000000014</v>
      </c>
      <c r="K24" s="779">
        <v>6.302999999999999</v>
      </c>
      <c r="L24" s="766">
        <v>13.34</v>
      </c>
      <c r="M24" s="766">
        <v>13.17</v>
      </c>
      <c r="N24" s="767">
        <v>10.09</v>
      </c>
      <c r="O24" s="768">
        <v>5.5359999999999996</v>
      </c>
      <c r="P24" s="769"/>
      <c r="Q24" s="770">
        <v>0.16999999999999993</v>
      </c>
      <c r="R24" s="768">
        <v>1.2029461812623123</v>
      </c>
      <c r="S24" s="768">
        <v>8.5031237238395188E-2</v>
      </c>
      <c r="T24" s="774">
        <v>0.20337388449788138</v>
      </c>
      <c r="U24" s="774">
        <v>0.78323862677464695</v>
      </c>
      <c r="V24" s="774">
        <v>0.30503615610590329</v>
      </c>
      <c r="W24" s="775">
        <v>0.94219391509569905</v>
      </c>
      <c r="X24" s="771">
        <v>492</v>
      </c>
      <c r="Y24" s="772"/>
    </row>
    <row r="25" spans="1:25">
      <c r="A25" s="762" t="s">
        <v>1095</v>
      </c>
      <c r="B25" s="762" t="s">
        <v>1096</v>
      </c>
      <c r="C25" s="763">
        <v>0</v>
      </c>
      <c r="D25" s="764">
        <v>0</v>
      </c>
      <c r="E25" s="765">
        <v>1.7293133020833334E-2</v>
      </c>
      <c r="F25" s="778">
        <v>300</v>
      </c>
      <c r="G25" s="763">
        <v>12.37</v>
      </c>
      <c r="H25" s="763">
        <v>19.79</v>
      </c>
      <c r="I25" s="763">
        <v>19.97</v>
      </c>
      <c r="J25" s="779">
        <v>6.302999999999999</v>
      </c>
      <c r="K25" s="779">
        <v>6.5129999999999981</v>
      </c>
      <c r="L25" s="766">
        <v>13.17</v>
      </c>
      <c r="M25" s="766">
        <v>13.14</v>
      </c>
      <c r="N25" s="767">
        <v>-14.55</v>
      </c>
      <c r="O25" s="768">
        <v>2.4249999999999998</v>
      </c>
      <c r="P25" s="769"/>
      <c r="Q25" s="770">
        <v>2.9999999999999361E-2</v>
      </c>
      <c r="R25" s="768">
        <v>0.79616673572916563</v>
      </c>
      <c r="S25" s="768">
        <v>5.6277698571739365E-2</v>
      </c>
      <c r="T25" s="774">
        <v>0.30728216433351668</v>
      </c>
      <c r="U25" s="774">
        <v>0.87873352916907688</v>
      </c>
      <c r="V25" s="774">
        <v>0.3794624695834809</v>
      </c>
      <c r="W25" s="775">
        <v>0.69961840549431353</v>
      </c>
      <c r="X25" s="771">
        <v>326</v>
      </c>
      <c r="Y25" s="772"/>
    </row>
    <row r="26" spans="1:25">
      <c r="A26" s="762" t="s">
        <v>1096</v>
      </c>
      <c r="B26" s="762" t="s">
        <v>1097</v>
      </c>
      <c r="C26" s="763">
        <v>0</v>
      </c>
      <c r="D26" s="764">
        <v>0</v>
      </c>
      <c r="E26" s="765">
        <v>1.7293133020833334E-2</v>
      </c>
      <c r="F26" s="778">
        <v>300</v>
      </c>
      <c r="G26" s="763">
        <v>72.16</v>
      </c>
      <c r="H26" s="763">
        <v>19.97</v>
      </c>
      <c r="I26" s="763">
        <v>19.75</v>
      </c>
      <c r="J26" s="779">
        <v>6.5129999999999981</v>
      </c>
      <c r="K26" s="779">
        <v>6.4529999999999994</v>
      </c>
      <c r="L26" s="766">
        <v>13.14</v>
      </c>
      <c r="M26" s="766">
        <v>12.98</v>
      </c>
      <c r="N26" s="767">
        <v>3.05</v>
      </c>
      <c r="O26" s="768">
        <v>2.2170000000000001</v>
      </c>
      <c r="P26" s="769"/>
      <c r="Q26" s="770">
        <v>0.16000000000000014</v>
      </c>
      <c r="R26" s="768">
        <v>0.76125648207434016</v>
      </c>
      <c r="S26" s="768">
        <v>5.3810038665740037E-2</v>
      </c>
      <c r="T26" s="774">
        <v>0.32137373340791864</v>
      </c>
      <c r="U26" s="774">
        <v>0.8905102515343184</v>
      </c>
      <c r="V26" s="774">
        <v>0.38965128248925002</v>
      </c>
      <c r="W26" s="775">
        <v>0.67790670133415099</v>
      </c>
      <c r="X26" s="771">
        <v>312</v>
      </c>
      <c r="Y26" s="773"/>
    </row>
    <row r="27" spans="1:25">
      <c r="A27" s="762" t="s">
        <v>1097</v>
      </c>
      <c r="B27" s="762" t="s">
        <v>1098</v>
      </c>
      <c r="C27" s="763">
        <v>0</v>
      </c>
      <c r="D27" s="764">
        <v>0</v>
      </c>
      <c r="E27" s="765">
        <v>1.7293133020833334E-2</v>
      </c>
      <c r="F27" s="778">
        <v>300</v>
      </c>
      <c r="G27" s="763">
        <v>52.38</v>
      </c>
      <c r="H27" s="763">
        <v>19.75</v>
      </c>
      <c r="I27" s="763">
        <v>19.59</v>
      </c>
      <c r="J27" s="779">
        <v>6.4529999999999994</v>
      </c>
      <c r="K27" s="779">
        <v>6.4030000000000005</v>
      </c>
      <c r="L27" s="766">
        <v>12.98</v>
      </c>
      <c r="M27" s="766">
        <v>12.87</v>
      </c>
      <c r="N27" s="767">
        <v>3.05</v>
      </c>
      <c r="O27" s="768">
        <v>2.1</v>
      </c>
      <c r="P27" s="769"/>
      <c r="Q27" s="770">
        <v>0.11000000000000121</v>
      </c>
      <c r="R27" s="768">
        <v>0.740896945759424</v>
      </c>
      <c r="S27" s="768">
        <v>5.237090814650041E-2</v>
      </c>
      <c r="T27" s="774">
        <v>0.33020494837435649</v>
      </c>
      <c r="U27" s="774">
        <v>0.89630868704087208</v>
      </c>
      <c r="V27" s="774">
        <v>0.39476412008934791</v>
      </c>
      <c r="W27" s="775">
        <v>0.66407236868622155</v>
      </c>
      <c r="X27" s="771">
        <v>303</v>
      </c>
      <c r="Y27" s="772"/>
    </row>
    <row r="28" spans="1:25">
      <c r="A28" s="762" t="s">
        <v>1098</v>
      </c>
      <c r="B28" s="762" t="s">
        <v>1099</v>
      </c>
      <c r="C28" s="763">
        <v>0</v>
      </c>
      <c r="D28" s="764">
        <v>0</v>
      </c>
      <c r="E28" s="765">
        <v>1.7293133020833334E-2</v>
      </c>
      <c r="F28" s="778">
        <v>300</v>
      </c>
      <c r="G28" s="763">
        <v>13.65</v>
      </c>
      <c r="H28" s="763">
        <v>19.59</v>
      </c>
      <c r="I28" s="763">
        <v>19.309999999999999</v>
      </c>
      <c r="J28" s="779">
        <v>6.4030000000000005</v>
      </c>
      <c r="K28" s="779">
        <v>6.2029999999999994</v>
      </c>
      <c r="L28" s="766">
        <v>12.87</v>
      </c>
      <c r="M28" s="766">
        <v>12.79</v>
      </c>
      <c r="N28" s="767">
        <v>20.51</v>
      </c>
      <c r="O28" s="768">
        <v>5.8609999999999998</v>
      </c>
      <c r="P28" s="769"/>
      <c r="Q28" s="770">
        <v>8.0000000000000071E-2</v>
      </c>
      <c r="R28" s="768">
        <v>1.2377530859826498</v>
      </c>
      <c r="S28" s="768">
        <v>8.7491591840214114E-2</v>
      </c>
      <c r="T28" s="774">
        <v>0.19765479924534671</v>
      </c>
      <c r="U28" s="774">
        <v>0.77815548249863242</v>
      </c>
      <c r="V28" s="774">
        <v>0.30142605468260708</v>
      </c>
      <c r="W28" s="775">
        <v>0.96316434983700006</v>
      </c>
      <c r="X28" s="771">
        <v>506</v>
      </c>
      <c r="Y28" s="772"/>
    </row>
    <row r="29" spans="1:25">
      <c r="A29" s="762" t="s">
        <v>1099</v>
      </c>
      <c r="B29" s="762" t="s">
        <v>1100</v>
      </c>
      <c r="C29" s="763">
        <v>0</v>
      </c>
      <c r="D29" s="764">
        <v>0</v>
      </c>
      <c r="E29" s="765">
        <v>1.7293133020833334E-2</v>
      </c>
      <c r="F29" s="778">
        <v>300</v>
      </c>
      <c r="G29" s="763">
        <v>38.799999999999997</v>
      </c>
      <c r="H29" s="763">
        <v>19.309999999999999</v>
      </c>
      <c r="I29" s="763">
        <v>19.18</v>
      </c>
      <c r="J29" s="779">
        <v>6.2029999999999994</v>
      </c>
      <c r="K29" s="779">
        <v>6.2029999999999994</v>
      </c>
      <c r="L29" s="766">
        <v>12.79</v>
      </c>
      <c r="M29" s="766">
        <v>12.66</v>
      </c>
      <c r="N29" s="767">
        <v>3.35</v>
      </c>
      <c r="O29" s="768">
        <v>3.351</v>
      </c>
      <c r="P29" s="769"/>
      <c r="Q29" s="770">
        <v>0.12999999999999901</v>
      </c>
      <c r="R29" s="768">
        <v>0.93591276569317461</v>
      </c>
      <c r="S29" s="768">
        <v>6.6155761291489923E-2</v>
      </c>
      <c r="T29" s="774">
        <v>0.26140025726010158</v>
      </c>
      <c r="U29" s="774">
        <v>0.84043275229432413</v>
      </c>
      <c r="V29" s="774">
        <v>0.34798346953725384</v>
      </c>
      <c r="W29" s="775">
        <v>0.78657174157890763</v>
      </c>
      <c r="X29" s="771">
        <v>383</v>
      </c>
      <c r="Y29" s="773"/>
    </row>
    <row r="30" spans="1:25">
      <c r="A30" s="762" t="s">
        <v>1100</v>
      </c>
      <c r="B30" s="762" t="s">
        <v>1101</v>
      </c>
      <c r="C30" s="763">
        <v>0</v>
      </c>
      <c r="D30" s="764">
        <v>0</v>
      </c>
      <c r="E30" s="765">
        <v>2.308239925925926E-2</v>
      </c>
      <c r="F30" s="778">
        <v>300</v>
      </c>
      <c r="G30" s="763">
        <v>60</v>
      </c>
      <c r="H30" s="763">
        <v>19.18</v>
      </c>
      <c r="I30" s="763">
        <v>18.97</v>
      </c>
      <c r="J30" s="779">
        <v>6.2029999999999994</v>
      </c>
      <c r="K30" s="779">
        <v>6.302999999999999</v>
      </c>
      <c r="L30" s="766">
        <v>12.66</v>
      </c>
      <c r="M30" s="766">
        <v>12.35</v>
      </c>
      <c r="N30" s="767">
        <v>3.5</v>
      </c>
      <c r="O30" s="768">
        <v>5.1669999999999998</v>
      </c>
      <c r="P30" s="769"/>
      <c r="Q30" s="770">
        <v>0.3100000000000005</v>
      </c>
      <c r="R30" s="768">
        <v>1.1621639185763539</v>
      </c>
      <c r="S30" s="768">
        <v>8.2148509558982813E-2</v>
      </c>
      <c r="T30" s="774">
        <v>0.28098378635446875</v>
      </c>
      <c r="U30" s="774">
        <v>0.85755940996301327</v>
      </c>
      <c r="V30" s="774">
        <v>0.36176194508300907</v>
      </c>
      <c r="W30" s="775">
        <v>0.9966246042946415</v>
      </c>
      <c r="X30" s="771">
        <v>356</v>
      </c>
      <c r="Y30" s="772"/>
    </row>
    <row r="31" spans="1:25">
      <c r="A31" s="762" t="s">
        <v>1101</v>
      </c>
      <c r="B31" s="762" t="s">
        <v>1102</v>
      </c>
      <c r="C31" s="763">
        <v>0</v>
      </c>
      <c r="D31" s="764">
        <v>0</v>
      </c>
      <c r="E31" s="765">
        <v>2.308239925925926E-2</v>
      </c>
      <c r="F31" s="778">
        <v>300</v>
      </c>
      <c r="G31" s="763">
        <v>17.29</v>
      </c>
      <c r="H31" s="763">
        <v>18.97</v>
      </c>
      <c r="I31" s="763">
        <v>19.170000000000002</v>
      </c>
      <c r="J31" s="779">
        <v>6.302999999999999</v>
      </c>
      <c r="K31" s="779">
        <v>6.5530000000000008</v>
      </c>
      <c r="L31" s="766">
        <v>12.35</v>
      </c>
      <c r="M31" s="766">
        <v>12.3</v>
      </c>
      <c r="N31" s="767">
        <v>-11.57</v>
      </c>
      <c r="O31" s="768">
        <v>2.8919999999999999</v>
      </c>
      <c r="P31" s="769"/>
      <c r="Q31" s="770">
        <v>4.9999999999998934E-2</v>
      </c>
      <c r="R31" s="768">
        <v>0.86945538454759108</v>
      </c>
      <c r="S31" s="768">
        <v>6.14581668101618E-2</v>
      </c>
      <c r="T31" s="774">
        <v>0.37557903948808802</v>
      </c>
      <c r="U31" s="774">
        <v>0.92845548085354257</v>
      </c>
      <c r="V31" s="774">
        <v>0.42436958987639228</v>
      </c>
      <c r="W31" s="775">
        <v>0.80725061714083546</v>
      </c>
      <c r="X31" s="771">
        <v>267</v>
      </c>
      <c r="Y31" s="772"/>
    </row>
    <row r="32" spans="1:25">
      <c r="A32" s="762" t="s">
        <v>1102</v>
      </c>
      <c r="B32" s="762" t="s">
        <v>1103</v>
      </c>
      <c r="C32" s="763">
        <v>0</v>
      </c>
      <c r="D32" s="764">
        <v>0</v>
      </c>
      <c r="E32" s="765">
        <v>2.308239925925926E-2</v>
      </c>
      <c r="F32" s="778">
        <v>300</v>
      </c>
      <c r="G32" s="763">
        <v>48.9</v>
      </c>
      <c r="H32" s="763">
        <v>19.170000000000002</v>
      </c>
      <c r="I32" s="763">
        <v>18.95</v>
      </c>
      <c r="J32" s="779">
        <v>7.5530000000000008</v>
      </c>
      <c r="K32" s="779">
        <v>7.9530000000000003</v>
      </c>
      <c r="L32" s="766">
        <v>11.3</v>
      </c>
      <c r="M32" s="766">
        <v>10.68</v>
      </c>
      <c r="N32" s="767">
        <v>4.5</v>
      </c>
      <c r="O32" s="768">
        <v>12.679</v>
      </c>
      <c r="P32" s="769"/>
      <c r="Q32" s="770">
        <v>0.62000000000000099</v>
      </c>
      <c r="R32" s="768">
        <v>1.8204998941713673</v>
      </c>
      <c r="S32" s="768">
        <v>0.12868352782941633</v>
      </c>
      <c r="T32" s="774">
        <v>0.17937337939520456</v>
      </c>
      <c r="U32" s="774">
        <v>0.75581972993672386</v>
      </c>
      <c r="V32" s="774">
        <v>0.2859266692893353</v>
      </c>
      <c r="W32" s="775">
        <v>1.3759697383624372</v>
      </c>
      <c r="X32" s="771">
        <v>558</v>
      </c>
      <c r="Y32" s="772"/>
    </row>
    <row r="33" spans="1:25">
      <c r="A33" s="762" t="s">
        <v>1103</v>
      </c>
      <c r="B33" s="762" t="s">
        <v>1104</v>
      </c>
      <c r="C33" s="763">
        <v>0</v>
      </c>
      <c r="D33" s="764">
        <v>0</v>
      </c>
      <c r="E33" s="765">
        <v>2.3645268819444447E-2</v>
      </c>
      <c r="F33" s="778">
        <v>300</v>
      </c>
      <c r="G33" s="763">
        <v>72</v>
      </c>
      <c r="H33" s="763">
        <v>18.95</v>
      </c>
      <c r="I33" s="763">
        <v>17.43</v>
      </c>
      <c r="J33" s="779">
        <v>7.9530000000000003</v>
      </c>
      <c r="K33" s="779">
        <v>7.1029999999999998</v>
      </c>
      <c r="L33" s="766">
        <v>10.68</v>
      </c>
      <c r="M33" s="766">
        <v>10.01</v>
      </c>
      <c r="N33" s="767">
        <v>21.11</v>
      </c>
      <c r="O33" s="768">
        <v>9.3059999999999992</v>
      </c>
      <c r="P33" s="769"/>
      <c r="Q33" s="770">
        <v>0.66999999999999993</v>
      </c>
      <c r="R33" s="768">
        <v>1.55965909173354</v>
      </c>
      <c r="S33" s="768">
        <v>0.1102457818196405</v>
      </c>
      <c r="T33" s="774">
        <v>0.21447776440215691</v>
      </c>
      <c r="U33" s="774">
        <v>0.79499208868731819</v>
      </c>
      <c r="V33" s="774">
        <v>0.31350610871209328</v>
      </c>
      <c r="W33" s="775">
        <v>1.2399166389774126</v>
      </c>
      <c r="X33" s="771">
        <v>467</v>
      </c>
      <c r="Y33" s="773"/>
    </row>
    <row r="34" spans="1:25">
      <c r="A34" s="762" t="s">
        <v>1104</v>
      </c>
      <c r="B34" s="762" t="s">
        <v>1105</v>
      </c>
      <c r="C34" s="763">
        <v>0</v>
      </c>
      <c r="D34" s="764">
        <v>0</v>
      </c>
      <c r="E34" s="765">
        <v>2.3645268819444447E-2</v>
      </c>
      <c r="F34" s="778">
        <v>300</v>
      </c>
      <c r="G34" s="763">
        <v>72</v>
      </c>
      <c r="H34" s="763">
        <v>17.43</v>
      </c>
      <c r="I34" s="763">
        <v>15.97</v>
      </c>
      <c r="J34" s="779">
        <v>7.1029999999999998</v>
      </c>
      <c r="K34" s="779">
        <v>6.3030000000000008</v>
      </c>
      <c r="L34" s="766">
        <v>10.01</v>
      </c>
      <c r="M34" s="766">
        <v>9.35</v>
      </c>
      <c r="N34" s="767">
        <v>20.28</v>
      </c>
      <c r="O34" s="768">
        <v>9.1669999999999998</v>
      </c>
      <c r="P34" s="769"/>
      <c r="Q34" s="770">
        <v>0.66000000000000014</v>
      </c>
      <c r="R34" s="768">
        <v>1.5479672664171917</v>
      </c>
      <c r="S34" s="768">
        <v>0.10941933555985767</v>
      </c>
      <c r="T34" s="774">
        <v>0.21609771891284554</v>
      </c>
      <c r="U34" s="774">
        <v>0.79665872682190775</v>
      </c>
      <c r="V34" s="774">
        <v>0.3147212812450797</v>
      </c>
      <c r="W34" s="775">
        <v>1.2332016316259089</v>
      </c>
      <c r="X34" s="771">
        <v>463</v>
      </c>
      <c r="Y34" s="772"/>
    </row>
    <row r="35" spans="1:25">
      <c r="A35" s="762" t="s">
        <v>1105</v>
      </c>
      <c r="B35" s="762" t="s">
        <v>1106</v>
      </c>
      <c r="C35" s="763">
        <v>0</v>
      </c>
      <c r="D35" s="764">
        <v>0</v>
      </c>
      <c r="E35" s="765">
        <v>2.3645268819444447E-2</v>
      </c>
      <c r="F35" s="778">
        <v>300</v>
      </c>
      <c r="G35" s="763">
        <v>72</v>
      </c>
      <c r="H35" s="763">
        <v>15.97</v>
      </c>
      <c r="I35" s="763">
        <v>14.53</v>
      </c>
      <c r="J35" s="779">
        <v>6.3030000000000008</v>
      </c>
      <c r="K35" s="779">
        <v>5.5029999999999983</v>
      </c>
      <c r="L35" s="766">
        <v>9.35</v>
      </c>
      <c r="M35" s="766">
        <v>8.7100000000000009</v>
      </c>
      <c r="N35" s="767">
        <v>20</v>
      </c>
      <c r="O35" s="768">
        <v>8.8889999999999993</v>
      </c>
      <c r="P35" s="769"/>
      <c r="Q35" s="770">
        <v>0.63999999999999879</v>
      </c>
      <c r="R35" s="768">
        <v>1.5243146029751065</v>
      </c>
      <c r="S35" s="768">
        <v>0.10774742764926984</v>
      </c>
      <c r="T35" s="774">
        <v>0.21945088931879184</v>
      </c>
      <c r="U35" s="774">
        <v>0.79998256408369051</v>
      </c>
      <c r="V35" s="774">
        <v>0.31715542761247073</v>
      </c>
      <c r="W35" s="775">
        <v>1.2194251045582383</v>
      </c>
      <c r="X35" s="771">
        <v>456</v>
      </c>
      <c r="Y35" s="772"/>
    </row>
    <row r="36" spans="1:25">
      <c r="A36" s="762" t="s">
        <v>1106</v>
      </c>
      <c r="B36" s="762" t="s">
        <v>1107</v>
      </c>
      <c r="C36" s="763">
        <v>21.800090000000001</v>
      </c>
      <c r="D36" s="764">
        <v>2.5231585648148147E-4</v>
      </c>
      <c r="E36" s="765">
        <v>2.3897584675925929E-2</v>
      </c>
      <c r="F36" s="778">
        <v>300</v>
      </c>
      <c r="G36" s="763">
        <v>28.77</v>
      </c>
      <c r="H36" s="763">
        <v>14.53</v>
      </c>
      <c r="I36" s="763">
        <v>13.8</v>
      </c>
      <c r="J36" s="779">
        <v>5.5029999999999983</v>
      </c>
      <c r="K36" s="779">
        <v>5.043000000000001</v>
      </c>
      <c r="L36" s="766">
        <v>8.7100000000000009</v>
      </c>
      <c r="M36" s="766">
        <v>8.44</v>
      </c>
      <c r="N36" s="767">
        <v>25.37</v>
      </c>
      <c r="O36" s="768">
        <v>9.3849999999999998</v>
      </c>
      <c r="P36" s="769"/>
      <c r="Q36" s="770">
        <v>0.27000000000000135</v>
      </c>
      <c r="R36" s="768">
        <v>1.5662651888142041</v>
      </c>
      <c r="S36" s="768">
        <v>0.11071273920878685</v>
      </c>
      <c r="T36" s="774">
        <v>0.21585216702893453</v>
      </c>
      <c r="U36" s="774">
        <v>0.79665872682190775</v>
      </c>
      <c r="V36" s="774">
        <v>0.3147212812450797</v>
      </c>
      <c r="W36" s="775">
        <v>1.2477788311861988</v>
      </c>
      <c r="X36" s="771">
        <v>464</v>
      </c>
      <c r="Y36" s="772"/>
    </row>
    <row r="37" spans="1:25">
      <c r="A37" s="762" t="s">
        <v>1107</v>
      </c>
      <c r="B37" s="762" t="s">
        <v>1108</v>
      </c>
      <c r="C37" s="763">
        <v>0</v>
      </c>
      <c r="D37" s="764">
        <v>0</v>
      </c>
      <c r="E37" s="765">
        <v>2.5788818402777781E-2</v>
      </c>
      <c r="F37" s="778">
        <v>300</v>
      </c>
      <c r="G37" s="763">
        <v>7.91</v>
      </c>
      <c r="H37" s="763">
        <v>13.8</v>
      </c>
      <c r="I37" s="763">
        <v>13.85</v>
      </c>
      <c r="J37" s="779">
        <v>5.043000000000001</v>
      </c>
      <c r="K37" s="779">
        <v>5.1529999999999987</v>
      </c>
      <c r="L37" s="766">
        <v>8.44</v>
      </c>
      <c r="M37" s="766">
        <v>8.3800000000000008</v>
      </c>
      <c r="N37" s="767">
        <v>-6.32</v>
      </c>
      <c r="O37" s="768">
        <v>7.585</v>
      </c>
      <c r="P37" s="769"/>
      <c r="Q37" s="770">
        <v>5.9999999999998721E-2</v>
      </c>
      <c r="R37" s="768">
        <v>1.4080755248831396</v>
      </c>
      <c r="S37" s="768">
        <v>9.9530973098295117E-2</v>
      </c>
      <c r="T37" s="774">
        <v>0.25910344890639397</v>
      </c>
      <c r="U37" s="774">
        <v>0.83885492799781713</v>
      </c>
      <c r="V37" s="774">
        <v>0.34673696095103512</v>
      </c>
      <c r="W37" s="775">
        <v>1.1811710930413346</v>
      </c>
      <c r="X37" s="771">
        <v>386</v>
      </c>
      <c r="Y37" s="772"/>
    </row>
    <row r="38" spans="1:25">
      <c r="A38" s="762" t="s">
        <v>1108</v>
      </c>
      <c r="B38" s="762" t="s">
        <v>1109</v>
      </c>
      <c r="C38" s="763">
        <v>0</v>
      </c>
      <c r="D38" s="764">
        <v>0</v>
      </c>
      <c r="E38" s="765">
        <v>2.6283725972222227E-2</v>
      </c>
      <c r="F38" s="778">
        <v>300</v>
      </c>
      <c r="G38" s="763">
        <v>28.9</v>
      </c>
      <c r="H38" s="763">
        <v>13.85</v>
      </c>
      <c r="I38" s="763">
        <v>13.38</v>
      </c>
      <c r="J38" s="779">
        <v>5.1529999999999987</v>
      </c>
      <c r="K38" s="779">
        <v>4.8030000000000008</v>
      </c>
      <c r="L38" s="766">
        <v>8.3800000000000008</v>
      </c>
      <c r="M38" s="766">
        <v>8.26</v>
      </c>
      <c r="N38" s="767">
        <v>16.260000000000002</v>
      </c>
      <c r="O38" s="768">
        <v>4.1520000000000001</v>
      </c>
      <c r="P38" s="769"/>
      <c r="Q38" s="770">
        <v>0.12000000000000099</v>
      </c>
      <c r="R38" s="768">
        <v>1.0417819523586429</v>
      </c>
      <c r="S38" s="768">
        <v>7.3639211563671605E-2</v>
      </c>
      <c r="T38" s="774">
        <v>0.35692568421236009</v>
      </c>
      <c r="U38" s="774">
        <v>0.91612169360379514</v>
      </c>
      <c r="V38" s="774">
        <v>0.41274624083650552</v>
      </c>
      <c r="W38" s="775">
        <v>0.95439904656066821</v>
      </c>
      <c r="X38" s="771">
        <v>281</v>
      </c>
      <c r="Y38" s="772"/>
    </row>
    <row r="39" spans="1:25">
      <c r="A39" s="762" t="s">
        <v>1109</v>
      </c>
      <c r="B39" s="762" t="s">
        <v>1110</v>
      </c>
      <c r="C39" s="763">
        <v>0</v>
      </c>
      <c r="D39" s="764">
        <v>0</v>
      </c>
      <c r="E39" s="765">
        <v>2.6283725972222227E-2</v>
      </c>
      <c r="F39" s="778">
        <v>300</v>
      </c>
      <c r="G39" s="763">
        <v>13.34</v>
      </c>
      <c r="H39" s="763">
        <v>13.38</v>
      </c>
      <c r="I39" s="763">
        <v>12.96</v>
      </c>
      <c r="J39" s="779">
        <v>4.8030000000000008</v>
      </c>
      <c r="K39" s="779">
        <v>4.4329999999999998</v>
      </c>
      <c r="L39" s="766">
        <v>8.26</v>
      </c>
      <c r="M39" s="766">
        <v>8.2100000000000009</v>
      </c>
      <c r="N39" s="767">
        <v>31.48</v>
      </c>
      <c r="O39" s="768">
        <v>3.7480000000000002</v>
      </c>
      <c r="P39" s="769"/>
      <c r="Q39" s="770">
        <v>4.9999999999998934E-2</v>
      </c>
      <c r="R39" s="768">
        <v>0.98980113666841696</v>
      </c>
      <c r="S39" s="768">
        <v>6.9964904982339121E-2</v>
      </c>
      <c r="T39" s="774">
        <v>0.37567014460831316</v>
      </c>
      <c r="U39" s="774">
        <v>0.92845548085354257</v>
      </c>
      <c r="V39" s="774">
        <v>0.42436958987639228</v>
      </c>
      <c r="W39" s="775">
        <v>0.91898629029485812</v>
      </c>
      <c r="X39" s="771">
        <v>267</v>
      </c>
      <c r="Y39" s="772"/>
    </row>
    <row r="40" spans="1:25">
      <c r="A40" s="762" t="s">
        <v>1110</v>
      </c>
      <c r="B40" s="762" t="s">
        <v>1111</v>
      </c>
      <c r="C40" s="763">
        <v>0</v>
      </c>
      <c r="D40" s="764">
        <v>0</v>
      </c>
      <c r="E40" s="765">
        <v>2.6283725972222227E-2</v>
      </c>
      <c r="F40" s="778">
        <v>300</v>
      </c>
      <c r="G40" s="763">
        <v>51.24</v>
      </c>
      <c r="H40" s="763">
        <v>12.96</v>
      </c>
      <c r="I40" s="763">
        <v>12.26</v>
      </c>
      <c r="J40" s="779">
        <v>4.4329999999999998</v>
      </c>
      <c r="K40" s="779">
        <v>3.9329999999999998</v>
      </c>
      <c r="L40" s="766">
        <v>8.2100000000000009</v>
      </c>
      <c r="M40" s="766">
        <v>8.01</v>
      </c>
      <c r="N40" s="767">
        <v>13.66</v>
      </c>
      <c r="O40" s="768">
        <v>3.903</v>
      </c>
      <c r="P40" s="769"/>
      <c r="Q40" s="770">
        <v>0.20000000000000107</v>
      </c>
      <c r="R40" s="768">
        <v>1.0100606048228502</v>
      </c>
      <c r="S40" s="768">
        <v>7.1396962101599112E-2</v>
      </c>
      <c r="T40" s="774">
        <v>0.36813507463833028</v>
      </c>
      <c r="U40" s="774">
        <v>0.92301324801798534</v>
      </c>
      <c r="V40" s="774">
        <v>0.41919808944832126</v>
      </c>
      <c r="W40" s="775">
        <v>0.93229931955254974</v>
      </c>
      <c r="X40" s="771">
        <v>272</v>
      </c>
      <c r="Y40" s="773"/>
    </row>
    <row r="41" spans="1:25">
      <c r="A41" s="762" t="s">
        <v>1111</v>
      </c>
      <c r="B41" s="762" t="s">
        <v>1112</v>
      </c>
      <c r="C41" s="763">
        <v>0</v>
      </c>
      <c r="D41" s="764">
        <v>0</v>
      </c>
      <c r="E41" s="765">
        <v>3.1058041539351856E-2</v>
      </c>
      <c r="F41" s="778">
        <v>300</v>
      </c>
      <c r="G41" s="763">
        <v>40.520000000000003</v>
      </c>
      <c r="H41" s="763">
        <v>12.26</v>
      </c>
      <c r="I41" s="763">
        <v>12.01</v>
      </c>
      <c r="J41" s="779">
        <v>3.9329999999999998</v>
      </c>
      <c r="K41" s="779">
        <v>3.8329999999999993</v>
      </c>
      <c r="L41" s="766">
        <v>8.01</v>
      </c>
      <c r="M41" s="766">
        <v>7.86</v>
      </c>
      <c r="N41" s="767">
        <v>6.17</v>
      </c>
      <c r="O41" s="768">
        <v>3.702</v>
      </c>
      <c r="P41" s="769"/>
      <c r="Q41" s="770">
        <v>0.14999999999999947</v>
      </c>
      <c r="R41" s="768">
        <v>0.98370836470018841</v>
      </c>
      <c r="S41" s="768">
        <v>6.9534232399691878E-2</v>
      </c>
      <c r="T41" s="774">
        <v>0.44665829286539277</v>
      </c>
      <c r="U41" s="774">
        <v>0.9708842264475277</v>
      </c>
      <c r="V41" s="774">
        <v>0.4672984353849321</v>
      </c>
      <c r="W41" s="775">
        <v>0.95506693471190485</v>
      </c>
      <c r="X41" s="771">
        <v>224</v>
      </c>
      <c r="Y41" s="772"/>
    </row>
    <row r="42" spans="1:25">
      <c r="A42" s="762" t="s">
        <v>1112</v>
      </c>
      <c r="B42" s="762" t="s">
        <v>1113</v>
      </c>
      <c r="C42" s="763">
        <v>0</v>
      </c>
      <c r="D42" s="764">
        <v>0</v>
      </c>
      <c r="E42" s="765">
        <v>3.1058041539351856E-2</v>
      </c>
      <c r="F42" s="778">
        <v>300</v>
      </c>
      <c r="G42" s="763">
        <v>12.38</v>
      </c>
      <c r="H42" s="763">
        <v>12.01</v>
      </c>
      <c r="I42" s="763">
        <v>12.29</v>
      </c>
      <c r="J42" s="779">
        <v>3.8329999999999993</v>
      </c>
      <c r="K42" s="779">
        <v>4.1829999999999989</v>
      </c>
      <c r="L42" s="766">
        <v>7.86</v>
      </c>
      <c r="M42" s="766">
        <v>7.79</v>
      </c>
      <c r="N42" s="767">
        <v>-22.62</v>
      </c>
      <c r="O42" s="768">
        <v>5.6539999999999999</v>
      </c>
      <c r="P42" s="769"/>
      <c r="Q42" s="770">
        <v>7.0000000000000284E-2</v>
      </c>
      <c r="R42" s="768">
        <v>1.2156989992178171</v>
      </c>
      <c r="S42" s="768">
        <v>8.5932680632890765E-2</v>
      </c>
      <c r="T42" s="774">
        <v>0.36142293375012419</v>
      </c>
      <c r="U42" s="774">
        <v>0.91889009674513344</v>
      </c>
      <c r="V42" s="774">
        <v>0.41532524807548926</v>
      </c>
      <c r="W42" s="775">
        <v>1.1170937710042219</v>
      </c>
      <c r="X42" s="771">
        <v>277</v>
      </c>
      <c r="Y42" s="772"/>
    </row>
    <row r="43" spans="1:25">
      <c r="A43" s="762" t="s">
        <v>1113</v>
      </c>
      <c r="B43" s="762" t="s">
        <v>1114</v>
      </c>
      <c r="C43" s="763">
        <v>0</v>
      </c>
      <c r="D43" s="764">
        <v>0</v>
      </c>
      <c r="E43" s="765">
        <v>3.1058041539351856E-2</v>
      </c>
      <c r="F43" s="778">
        <v>300</v>
      </c>
      <c r="G43" s="763">
        <v>61.74</v>
      </c>
      <c r="H43" s="763">
        <v>12.29</v>
      </c>
      <c r="I43" s="763">
        <v>12.49</v>
      </c>
      <c r="J43" s="779">
        <v>4.1829999999999989</v>
      </c>
      <c r="K43" s="779">
        <v>4.593</v>
      </c>
      <c r="L43" s="766">
        <v>7.79</v>
      </c>
      <c r="M43" s="766">
        <v>7.58</v>
      </c>
      <c r="N43" s="767">
        <v>-3.24</v>
      </c>
      <c r="O43" s="768">
        <v>3.4009999999999998</v>
      </c>
      <c r="P43" s="769"/>
      <c r="Q43" s="770">
        <v>0.20999999999999996</v>
      </c>
      <c r="R43" s="768">
        <v>0.94286925182693104</v>
      </c>
      <c r="S43" s="768">
        <v>6.664748621817311E-2</v>
      </c>
      <c r="T43" s="774">
        <v>0.4660046957762542</v>
      </c>
      <c r="U43" s="774">
        <v>0.98167228266838691</v>
      </c>
      <c r="V43" s="774">
        <v>0.47906217313540417</v>
      </c>
      <c r="W43" s="775">
        <v>0.92558861069877751</v>
      </c>
      <c r="X43" s="771">
        <v>215</v>
      </c>
      <c r="Y43" s="772"/>
    </row>
    <row r="44" spans="1:25">
      <c r="A44" s="762" t="s">
        <v>1114</v>
      </c>
      <c r="B44" s="762" t="s">
        <v>1115</v>
      </c>
      <c r="C44" s="763">
        <v>0</v>
      </c>
      <c r="D44" s="764">
        <v>0</v>
      </c>
      <c r="E44" s="765">
        <v>3.1058041539351856E-2</v>
      </c>
      <c r="F44" s="778">
        <v>300</v>
      </c>
      <c r="G44" s="763">
        <v>51.98</v>
      </c>
      <c r="H44" s="763">
        <v>12.49</v>
      </c>
      <c r="I44" s="763">
        <v>13.1</v>
      </c>
      <c r="J44" s="779">
        <v>4.593</v>
      </c>
      <c r="K44" s="779">
        <v>5.3829999999999991</v>
      </c>
      <c r="L44" s="766">
        <v>7.58</v>
      </c>
      <c r="M44" s="766">
        <v>7.4</v>
      </c>
      <c r="N44" s="767">
        <v>-11.74</v>
      </c>
      <c r="O44" s="768">
        <v>3.4630000000000001</v>
      </c>
      <c r="P44" s="769"/>
      <c r="Q44" s="770">
        <v>0.17999999999999972</v>
      </c>
      <c r="R44" s="768">
        <v>0.9514246581556951</v>
      </c>
      <c r="S44" s="768">
        <v>6.7252232129954986E-2</v>
      </c>
      <c r="T44" s="774">
        <v>0.46181428564834526</v>
      </c>
      <c r="U44" s="774">
        <v>0.97930450620104981</v>
      </c>
      <c r="V44" s="774">
        <v>0.47644677464518254</v>
      </c>
      <c r="W44" s="775">
        <v>0.93173445504266561</v>
      </c>
      <c r="X44" s="771">
        <v>217</v>
      </c>
      <c r="Y44" s="773"/>
    </row>
    <row r="45" spans="1:25">
      <c r="A45" s="762" t="s">
        <v>1115</v>
      </c>
      <c r="B45" s="762" t="s">
        <v>1116</v>
      </c>
      <c r="C45" s="763">
        <v>0</v>
      </c>
      <c r="D45" s="764">
        <v>0</v>
      </c>
      <c r="E45" s="765">
        <v>3.6198034351851857E-2</v>
      </c>
      <c r="F45" s="778">
        <v>300</v>
      </c>
      <c r="G45" s="763">
        <v>42.83</v>
      </c>
      <c r="H45" s="763">
        <v>13.1</v>
      </c>
      <c r="I45" s="763">
        <v>10.73</v>
      </c>
      <c r="J45" s="779">
        <v>5.3829999999999991</v>
      </c>
      <c r="K45" s="779">
        <v>3.2030000000000007</v>
      </c>
      <c r="L45" s="766">
        <v>7.4</v>
      </c>
      <c r="M45" s="766">
        <v>7.21</v>
      </c>
      <c r="N45" s="767">
        <v>55.34</v>
      </c>
      <c r="O45" s="768">
        <v>4.4359999999999999</v>
      </c>
      <c r="P45" s="769"/>
      <c r="Q45" s="770">
        <v>0.19000000000000039</v>
      </c>
      <c r="R45" s="768">
        <v>1.0768220149321472</v>
      </c>
      <c r="S45" s="768">
        <v>7.6116047119531072E-2</v>
      </c>
      <c r="T45" s="774">
        <v>0.47556377034408015</v>
      </c>
      <c r="U45" s="774">
        <v>0.98635686795928756</v>
      </c>
      <c r="V45" s="774">
        <v>0.48429462046094018</v>
      </c>
      <c r="W45" s="775">
        <v>1.0621307899980819</v>
      </c>
      <c r="X45" s="771">
        <v>211</v>
      </c>
      <c r="Y45" s="772"/>
    </row>
    <row r="46" spans="1:25">
      <c r="A46" s="762" t="s">
        <v>1116</v>
      </c>
      <c r="B46" s="762" t="s">
        <v>1117</v>
      </c>
      <c r="C46" s="763">
        <v>0</v>
      </c>
      <c r="D46" s="764">
        <v>0</v>
      </c>
      <c r="E46" s="765">
        <v>3.6198034351851857E-2</v>
      </c>
      <c r="F46" s="778">
        <v>300</v>
      </c>
      <c r="G46" s="763">
        <v>13.9</v>
      </c>
      <c r="H46" s="763">
        <v>10.73</v>
      </c>
      <c r="I46" s="763">
        <v>10.36</v>
      </c>
      <c r="J46" s="779">
        <v>3.2030000000000007</v>
      </c>
      <c r="K46" s="779">
        <v>2.8929999999999993</v>
      </c>
      <c r="L46" s="766">
        <v>7.21</v>
      </c>
      <c r="M46" s="766">
        <v>7.15</v>
      </c>
      <c r="N46" s="767">
        <v>26.62</v>
      </c>
      <c r="O46" s="768">
        <v>4.3170000000000002</v>
      </c>
      <c r="P46" s="769"/>
      <c r="Q46" s="770">
        <v>5.9999999999999609E-2</v>
      </c>
      <c r="R46" s="768">
        <v>1.0622804317767709</v>
      </c>
      <c r="S46" s="768">
        <v>7.5088163390095108E-2</v>
      </c>
      <c r="T46" s="774">
        <v>0.48207377458145084</v>
      </c>
      <c r="U46" s="774">
        <v>0.98982554886462448</v>
      </c>
      <c r="V46" s="774">
        <v>0.48822011758319928</v>
      </c>
      <c r="W46" s="775">
        <v>1.0514723114315925</v>
      </c>
      <c r="X46" s="771">
        <v>208</v>
      </c>
      <c r="Y46" s="772"/>
    </row>
    <row r="47" spans="1:25">
      <c r="A47" s="762" t="s">
        <v>1117</v>
      </c>
      <c r="B47" s="762" t="s">
        <v>1118</v>
      </c>
      <c r="C47" s="763">
        <v>0</v>
      </c>
      <c r="D47" s="764">
        <v>0</v>
      </c>
      <c r="E47" s="765">
        <v>3.6198034351851857E-2</v>
      </c>
      <c r="F47" s="778">
        <v>300</v>
      </c>
      <c r="G47" s="763">
        <v>54</v>
      </c>
      <c r="H47" s="763">
        <v>10.36</v>
      </c>
      <c r="I47" s="763">
        <v>9.82</v>
      </c>
      <c r="J47" s="779">
        <v>2.8929999999999993</v>
      </c>
      <c r="K47" s="779">
        <v>2.5730000000000008</v>
      </c>
      <c r="L47" s="766">
        <v>7.15</v>
      </c>
      <c r="M47" s="766">
        <v>6.93</v>
      </c>
      <c r="N47" s="767">
        <v>10</v>
      </c>
      <c r="O47" s="768">
        <v>4.0739999999999998</v>
      </c>
      <c r="P47" s="769"/>
      <c r="Q47" s="770">
        <v>0.22000000000000064</v>
      </c>
      <c r="R47" s="768">
        <v>1.0319500333917078</v>
      </c>
      <c r="S47" s="768">
        <v>7.2944234309320247E-2</v>
      </c>
      <c r="T47" s="774">
        <v>0.49624257070619154</v>
      </c>
      <c r="U47" s="774">
        <v>0.99776914170253506</v>
      </c>
      <c r="V47" s="774">
        <v>0.49738201808429494</v>
      </c>
      <c r="W47" s="775">
        <v>1.0296478990971467</v>
      </c>
      <c r="X47" s="771">
        <v>202</v>
      </c>
      <c r="Y47" s="773"/>
    </row>
    <row r="48" spans="1:25">
      <c r="A48" s="762" t="s">
        <v>1118</v>
      </c>
      <c r="B48" s="762" t="s">
        <v>1119</v>
      </c>
      <c r="C48" s="763">
        <v>0</v>
      </c>
      <c r="D48" s="764">
        <v>0</v>
      </c>
      <c r="E48" s="765">
        <v>3.6198034351851857E-2</v>
      </c>
      <c r="F48" s="778">
        <v>300</v>
      </c>
      <c r="G48" s="763">
        <v>56.09</v>
      </c>
      <c r="H48" s="763">
        <v>9.82</v>
      </c>
      <c r="I48" s="763">
        <v>9.44</v>
      </c>
      <c r="J48" s="779">
        <v>2.5730000000000008</v>
      </c>
      <c r="K48" s="779">
        <v>2.8029999999999995</v>
      </c>
      <c r="L48" s="766">
        <v>6.93</v>
      </c>
      <c r="M48" s="766">
        <v>6.32</v>
      </c>
      <c r="N48" s="767">
        <v>6.77</v>
      </c>
      <c r="O48" s="768">
        <v>10.875</v>
      </c>
      <c r="P48" s="769"/>
      <c r="Q48" s="770">
        <v>0.60999999999999943</v>
      </c>
      <c r="R48" s="768">
        <v>1.6860202635429491</v>
      </c>
      <c r="S48" s="768">
        <v>0.11917772486514946</v>
      </c>
      <c r="T48" s="774">
        <v>0.30373154373277572</v>
      </c>
      <c r="U48" s="774">
        <v>0.87575229801108812</v>
      </c>
      <c r="V48" s="774">
        <v>0.37692335348550365</v>
      </c>
      <c r="W48" s="775">
        <v>1.4765361202909981</v>
      </c>
      <c r="X48" s="771">
        <v>330</v>
      </c>
      <c r="Y48" s="772"/>
    </row>
    <row r="49" spans="1:25">
      <c r="A49" s="762" t="s">
        <v>1119</v>
      </c>
      <c r="B49" s="762" t="s">
        <v>940</v>
      </c>
      <c r="C49" s="763">
        <v>0</v>
      </c>
      <c r="D49" s="764">
        <v>0</v>
      </c>
      <c r="E49" s="765">
        <v>7.7745716712962959E-2</v>
      </c>
      <c r="F49" s="778">
        <v>400</v>
      </c>
      <c r="G49" s="763">
        <v>22.11</v>
      </c>
      <c r="H49" s="763">
        <v>9.44</v>
      </c>
      <c r="I49" s="763">
        <v>9.44</v>
      </c>
      <c r="J49" s="779">
        <v>3.290999999999999</v>
      </c>
      <c r="K49" s="779">
        <v>3.4909999999999992</v>
      </c>
      <c r="L49" s="766">
        <v>5.73</v>
      </c>
      <c r="M49" s="766">
        <v>5.53</v>
      </c>
      <c r="N49" s="767">
        <v>0</v>
      </c>
      <c r="O49" s="768">
        <v>9.0459999999999994</v>
      </c>
      <c r="P49" s="769"/>
      <c r="Q49" s="770">
        <v>0.20000000000000018</v>
      </c>
      <c r="R49" s="768">
        <v>1.8628116265753321</v>
      </c>
      <c r="S49" s="768">
        <v>0.23408776414224211</v>
      </c>
      <c r="T49" s="774">
        <v>0.33212208676452315</v>
      </c>
      <c r="U49" s="774">
        <v>0.89774883355339918</v>
      </c>
      <c r="V49" s="774">
        <v>0.39604415459112113</v>
      </c>
      <c r="W49" s="775">
        <v>1.6723369648877147</v>
      </c>
      <c r="X49" s="771">
        <v>302</v>
      </c>
      <c r="Y49" s="772"/>
    </row>
    <row r="50" spans="1:25">
      <c r="A50" s="762" t="s">
        <v>1120</v>
      </c>
      <c r="B50" s="762" t="s">
        <v>1121</v>
      </c>
      <c r="C50" s="763">
        <v>6.8314330000000005</v>
      </c>
      <c r="D50" s="764">
        <v>7.9067511574074085E-5</v>
      </c>
      <c r="E50" s="765">
        <v>7.9067511574074085E-5</v>
      </c>
      <c r="F50" s="778">
        <v>200</v>
      </c>
      <c r="G50" s="763">
        <v>35.17</v>
      </c>
      <c r="H50" s="763">
        <v>38.54</v>
      </c>
      <c r="I50" s="763">
        <v>37.36</v>
      </c>
      <c r="J50" s="779">
        <v>1.3299999999999992</v>
      </c>
      <c r="K50" s="779">
        <v>1.030000000000002</v>
      </c>
      <c r="L50" s="766">
        <v>37</v>
      </c>
      <c r="M50" s="766">
        <v>36.119999999999997</v>
      </c>
      <c r="N50" s="767">
        <v>33.549999999999997</v>
      </c>
      <c r="O50" s="768">
        <v>25.021000000000001</v>
      </c>
      <c r="P50" s="769"/>
      <c r="Q50" s="770">
        <v>0.88000000000000256</v>
      </c>
      <c r="R50" s="768">
        <v>1.9516696827901905</v>
      </c>
      <c r="S50" s="768">
        <v>6.1313498620962019E-2</v>
      </c>
      <c r="T50" s="774">
        <v>1.2895612443006518E-3</v>
      </c>
      <c r="U50" s="774">
        <v>0.17143017719727532</v>
      </c>
      <c r="V50" s="774">
        <v>2.6957320586227351E-2</v>
      </c>
      <c r="W50" s="775">
        <v>0.33457507955127247</v>
      </c>
      <c r="X50" s="771">
        <v>77546</v>
      </c>
      <c r="Y50" s="773"/>
    </row>
    <row r="51" spans="1:25">
      <c r="A51" s="762" t="s">
        <v>1121</v>
      </c>
      <c r="B51" s="762" t="s">
        <v>1122</v>
      </c>
      <c r="C51" s="763">
        <v>4.4531429999999999</v>
      </c>
      <c r="D51" s="764">
        <v>5.1541006944444443E-5</v>
      </c>
      <c r="E51" s="765">
        <v>1.3060851851851853E-4</v>
      </c>
      <c r="F51" s="778">
        <v>200</v>
      </c>
      <c r="G51" s="763">
        <v>17.32</v>
      </c>
      <c r="H51" s="763">
        <v>37.36</v>
      </c>
      <c r="I51" s="763">
        <v>37.69</v>
      </c>
      <c r="J51" s="779">
        <v>1.5199999999999969</v>
      </c>
      <c r="K51" s="779">
        <v>2.2500000000000009</v>
      </c>
      <c r="L51" s="766">
        <v>35.630000000000003</v>
      </c>
      <c r="M51" s="766">
        <v>35.229999999999997</v>
      </c>
      <c r="N51" s="767">
        <v>-19.05</v>
      </c>
      <c r="O51" s="768">
        <v>23.094999999999999</v>
      </c>
      <c r="P51" s="769"/>
      <c r="Q51" s="770">
        <v>0.40000000000000568</v>
      </c>
      <c r="R51" s="768">
        <v>1.8750504947591902</v>
      </c>
      <c r="S51" s="768">
        <v>5.8906436339315152E-2</v>
      </c>
      <c r="T51" s="774">
        <v>2.2172198257959836E-3</v>
      </c>
      <c r="U51" s="774">
        <v>0.20209591963877011</v>
      </c>
      <c r="V51" s="774">
        <v>3.4631476839674491E-2</v>
      </c>
      <c r="W51" s="775">
        <v>0.37894005410748943</v>
      </c>
      <c r="X51" s="771">
        <v>45102</v>
      </c>
      <c r="Y51" s="772"/>
    </row>
    <row r="52" spans="1:25">
      <c r="A52" s="762" t="s">
        <v>1122</v>
      </c>
      <c r="B52" s="762" t="s">
        <v>1123</v>
      </c>
      <c r="C52" s="763">
        <v>11.907851999999998</v>
      </c>
      <c r="D52" s="764">
        <v>1.378223611111111E-4</v>
      </c>
      <c r="E52" s="765">
        <v>2.6843087962962961E-4</v>
      </c>
      <c r="F52" s="778">
        <v>200</v>
      </c>
      <c r="G52" s="763">
        <v>60</v>
      </c>
      <c r="H52" s="763">
        <v>37.69</v>
      </c>
      <c r="I52" s="763">
        <v>34.49</v>
      </c>
      <c r="J52" s="779">
        <v>2.8399999999999972</v>
      </c>
      <c r="K52" s="779">
        <v>1.1899999999999986</v>
      </c>
      <c r="L52" s="766">
        <v>34.64</v>
      </c>
      <c r="M52" s="766">
        <v>33.090000000000003</v>
      </c>
      <c r="N52" s="767">
        <v>53.33</v>
      </c>
      <c r="O52" s="768">
        <v>25.832999999999998</v>
      </c>
      <c r="P52" s="769"/>
      <c r="Q52" s="770">
        <v>1.5499999999999972</v>
      </c>
      <c r="R52" s="768">
        <v>1.9830853507717052</v>
      </c>
      <c r="S52" s="768">
        <v>6.2300450733015843E-2</v>
      </c>
      <c r="T52" s="774">
        <v>4.3086506834432237E-3</v>
      </c>
      <c r="U52" s="774">
        <v>0.24685434512269103</v>
      </c>
      <c r="V52" s="774">
        <v>4.7030681010131858E-2</v>
      </c>
      <c r="W52" s="775">
        <v>0.48953323558715134</v>
      </c>
      <c r="X52" s="771">
        <v>23210</v>
      </c>
      <c r="Y52" s="772"/>
    </row>
    <row r="53" spans="1:25">
      <c r="A53" s="762" t="s">
        <v>1123</v>
      </c>
      <c r="B53" s="762" t="s">
        <v>1124</v>
      </c>
      <c r="C53" s="763">
        <v>7.1266689999999997</v>
      </c>
      <c r="D53" s="764">
        <v>8.2484594907407399E-5</v>
      </c>
      <c r="E53" s="765">
        <v>3.5091547453703698E-4</v>
      </c>
      <c r="F53" s="778">
        <v>200</v>
      </c>
      <c r="G53" s="763">
        <v>57.79</v>
      </c>
      <c r="H53" s="763">
        <v>34.49</v>
      </c>
      <c r="I53" s="763">
        <v>32.03</v>
      </c>
      <c r="J53" s="779">
        <v>2.2100000000000017</v>
      </c>
      <c r="K53" s="779">
        <v>1.1900000000000022</v>
      </c>
      <c r="L53" s="766">
        <v>32.07</v>
      </c>
      <c r="M53" s="766">
        <v>30.63</v>
      </c>
      <c r="N53" s="767">
        <v>42.57</v>
      </c>
      <c r="O53" s="768">
        <v>24.917999999999999</v>
      </c>
      <c r="P53" s="769"/>
      <c r="Q53" s="770">
        <v>1.4400000000000013</v>
      </c>
      <c r="R53" s="768">
        <v>1.9476484749428364</v>
      </c>
      <c r="S53" s="768">
        <v>6.1187168676926168E-2</v>
      </c>
      <c r="T53" s="774">
        <v>5.7351154192131805E-3</v>
      </c>
      <c r="U53" s="774">
        <v>0.26975647216389487</v>
      </c>
      <c r="V53" s="774">
        <v>5.3903993124907346E-2</v>
      </c>
      <c r="W53" s="775">
        <v>0.52539078161596953</v>
      </c>
      <c r="X53" s="771">
        <v>17437</v>
      </c>
      <c r="Y53" s="772"/>
    </row>
    <row r="54" spans="1:25">
      <c r="A54" s="762" t="s">
        <v>1124</v>
      </c>
      <c r="B54" s="762" t="s">
        <v>1125</v>
      </c>
      <c r="C54" s="763">
        <v>9.4475519999999999</v>
      </c>
      <c r="D54" s="764">
        <v>1.0934666666666666E-4</v>
      </c>
      <c r="E54" s="765">
        <v>4.6026214120370364E-4</v>
      </c>
      <c r="F54" s="778">
        <v>200</v>
      </c>
      <c r="G54" s="763">
        <v>36.79</v>
      </c>
      <c r="H54" s="763">
        <v>32.03</v>
      </c>
      <c r="I54" s="763">
        <v>30.7</v>
      </c>
      <c r="J54" s="779">
        <v>1.6499999999999995</v>
      </c>
      <c r="K54" s="779">
        <v>1.1899999999999986</v>
      </c>
      <c r="L54" s="766">
        <v>30.17</v>
      </c>
      <c r="M54" s="766">
        <v>29.3</v>
      </c>
      <c r="N54" s="767">
        <v>36.15</v>
      </c>
      <c r="O54" s="768">
        <v>23.648</v>
      </c>
      <c r="P54" s="769"/>
      <c r="Q54" s="770">
        <v>0.87000000000000099</v>
      </c>
      <c r="R54" s="768">
        <v>1.897366344336753</v>
      </c>
      <c r="S54" s="768">
        <v>5.9607509284375908E-2</v>
      </c>
      <c r="T54" s="774">
        <v>7.721546273773694E-3</v>
      </c>
      <c r="U54" s="774">
        <v>0.29682884298978579</v>
      </c>
      <c r="V54" s="774">
        <v>6.2478774869423388E-2</v>
      </c>
      <c r="W54" s="775">
        <v>0.56319305671723785</v>
      </c>
      <c r="X54" s="771">
        <v>12951</v>
      </c>
      <c r="Y54" s="773"/>
    </row>
    <row r="55" spans="1:25">
      <c r="A55" s="762" t="s">
        <v>1125</v>
      </c>
      <c r="B55" s="762" t="s">
        <v>1126</v>
      </c>
      <c r="C55" s="763">
        <v>4.6417659999999996</v>
      </c>
      <c r="D55" s="764">
        <v>5.3724143518518517E-5</v>
      </c>
      <c r="E55" s="765">
        <v>1.1881008912037036E-3</v>
      </c>
      <c r="F55" s="778">
        <v>200</v>
      </c>
      <c r="G55" s="763">
        <v>37.74</v>
      </c>
      <c r="H55" s="763">
        <v>30.7</v>
      </c>
      <c r="I55" s="763">
        <v>29.34</v>
      </c>
      <c r="J55" s="779">
        <v>2.29</v>
      </c>
      <c r="K55" s="779">
        <v>1.8600000000000005</v>
      </c>
      <c r="L55" s="766">
        <v>28.2</v>
      </c>
      <c r="M55" s="766">
        <v>27.27</v>
      </c>
      <c r="N55" s="767">
        <v>36.04</v>
      </c>
      <c r="O55" s="768">
        <v>24.641999999999999</v>
      </c>
      <c r="P55" s="769"/>
      <c r="Q55" s="770">
        <v>0.92999999999999972</v>
      </c>
      <c r="R55" s="768">
        <v>1.9368320409725439</v>
      </c>
      <c r="S55" s="768">
        <v>6.0847360452630173E-2</v>
      </c>
      <c r="T55" s="774">
        <v>1.9525923267101179E-2</v>
      </c>
      <c r="U55" s="774">
        <v>0.39158559927254516</v>
      </c>
      <c r="V55" s="774">
        <v>9.6262297257629192E-2</v>
      </c>
      <c r="W55" s="775">
        <v>0.75843553545450038</v>
      </c>
      <c r="X55" s="771">
        <v>5122</v>
      </c>
      <c r="Y55" s="772"/>
    </row>
    <row r="56" spans="1:25">
      <c r="A56" s="762" t="s">
        <v>1126</v>
      </c>
      <c r="B56" s="762" t="s">
        <v>1127</v>
      </c>
      <c r="C56" s="763">
        <v>6.9790510000000001</v>
      </c>
      <c r="D56" s="764">
        <v>8.0776053240740742E-5</v>
      </c>
      <c r="E56" s="765">
        <v>1.3227909259259257E-3</v>
      </c>
      <c r="F56" s="778">
        <v>200</v>
      </c>
      <c r="G56" s="763">
        <v>37.450000000000003</v>
      </c>
      <c r="H56" s="763">
        <v>29.34</v>
      </c>
      <c r="I56" s="763">
        <v>28.27</v>
      </c>
      <c r="J56" s="779">
        <v>2.0200000000000005</v>
      </c>
      <c r="K56" s="779">
        <v>1.8299999999999994</v>
      </c>
      <c r="L56" s="766">
        <v>27.11</v>
      </c>
      <c r="M56" s="766">
        <v>26.23</v>
      </c>
      <c r="N56" s="767">
        <v>28.57</v>
      </c>
      <c r="O56" s="768">
        <v>23.498000000000001</v>
      </c>
      <c r="P56" s="769"/>
      <c r="Q56" s="770">
        <v>0.87999999999999901</v>
      </c>
      <c r="R56" s="768">
        <v>1.8913392447254156</v>
      </c>
      <c r="S56" s="768">
        <v>5.9418162405154087E-2</v>
      </c>
      <c r="T56" s="774">
        <v>2.2262400457729124E-2</v>
      </c>
      <c r="U56" s="774">
        <v>0.40754440152059401</v>
      </c>
      <c r="V56" s="774">
        <v>0.10252782330624405</v>
      </c>
      <c r="W56" s="775">
        <v>0.77080472056403182</v>
      </c>
      <c r="X56" s="771">
        <v>4492</v>
      </c>
      <c r="Y56" s="772"/>
    </row>
    <row r="57" spans="1:25">
      <c r="A57" s="762" t="s">
        <v>1127</v>
      </c>
      <c r="B57" s="762" t="s">
        <v>1128</v>
      </c>
      <c r="C57" s="763">
        <v>9.2835319999999992</v>
      </c>
      <c r="D57" s="764">
        <v>1.0744828703703703E-4</v>
      </c>
      <c r="E57" s="765">
        <v>1.4302392129629626E-3</v>
      </c>
      <c r="F57" s="778">
        <v>200</v>
      </c>
      <c r="G57" s="763">
        <v>39.950000000000003</v>
      </c>
      <c r="H57" s="763">
        <v>28.27</v>
      </c>
      <c r="I57" s="763">
        <v>26.61</v>
      </c>
      <c r="J57" s="779">
        <v>2.2700000000000005</v>
      </c>
      <c r="K57" s="779">
        <v>1.7199999999999998</v>
      </c>
      <c r="L57" s="766">
        <v>25.79</v>
      </c>
      <c r="M57" s="766">
        <v>24.68</v>
      </c>
      <c r="N57" s="767">
        <v>41.55</v>
      </c>
      <c r="O57" s="768">
        <v>27.785</v>
      </c>
      <c r="P57" s="769"/>
      <c r="Q57" s="770">
        <v>1.1099999999999994</v>
      </c>
      <c r="R57" s="768">
        <v>2.0566442939024374</v>
      </c>
      <c r="S57" s="768">
        <v>6.461137260569548E-2</v>
      </c>
      <c r="T57" s="774">
        <v>2.2136028926227878E-2</v>
      </c>
      <c r="U57" s="774">
        <v>0.40754440152059401</v>
      </c>
      <c r="V57" s="774">
        <v>0.10252782330624405</v>
      </c>
      <c r="W57" s="775">
        <v>0.83817386789921355</v>
      </c>
      <c r="X57" s="771">
        <v>4518</v>
      </c>
      <c r="Y57" s="773"/>
    </row>
    <row r="58" spans="1:25">
      <c r="A58" s="762" t="s">
        <v>1128</v>
      </c>
      <c r="B58" s="762" t="s">
        <v>1129</v>
      </c>
      <c r="C58" s="763">
        <v>2.3290839999999999</v>
      </c>
      <c r="D58" s="764">
        <v>2.695699074074074E-5</v>
      </c>
      <c r="E58" s="765">
        <v>1.4571962037037034E-3</v>
      </c>
      <c r="F58" s="778">
        <v>200</v>
      </c>
      <c r="G58" s="763">
        <v>27.66</v>
      </c>
      <c r="H58" s="763">
        <v>26.61</v>
      </c>
      <c r="I58" s="763">
        <v>25.86</v>
      </c>
      <c r="J58" s="779">
        <v>1.7199999999999998</v>
      </c>
      <c r="K58" s="779">
        <v>1.7500000000000009</v>
      </c>
      <c r="L58" s="766">
        <v>24.68</v>
      </c>
      <c r="M58" s="766">
        <v>23.9</v>
      </c>
      <c r="N58" s="767">
        <v>27.11</v>
      </c>
      <c r="O58" s="768">
        <v>28.2</v>
      </c>
      <c r="P58" s="769"/>
      <c r="Q58" s="770">
        <v>0.78000000000000114</v>
      </c>
      <c r="R58" s="768">
        <v>2.0719465062742182</v>
      </c>
      <c r="S58" s="768">
        <v>6.5092105685390353E-2</v>
      </c>
      <c r="T58" s="774">
        <v>2.2386680970911729E-2</v>
      </c>
      <c r="U58" s="774">
        <v>0.40954064827976189</v>
      </c>
      <c r="V58" s="774">
        <v>0.10332332985438147</v>
      </c>
      <c r="W58" s="775">
        <v>0.84854631538053105</v>
      </c>
      <c r="X58" s="771">
        <v>4467</v>
      </c>
      <c r="Y58" s="772"/>
    </row>
    <row r="59" spans="1:25">
      <c r="A59" s="762" t="s">
        <v>1129</v>
      </c>
      <c r="B59" s="762" t="s">
        <v>1130</v>
      </c>
      <c r="C59" s="763">
        <v>0</v>
      </c>
      <c r="D59" s="764">
        <v>0</v>
      </c>
      <c r="E59" s="765">
        <v>1.4571962037037034E-3</v>
      </c>
      <c r="F59" s="778">
        <v>300</v>
      </c>
      <c r="G59" s="763">
        <v>58.96</v>
      </c>
      <c r="H59" s="763">
        <v>25.86</v>
      </c>
      <c r="I59" s="763">
        <v>24.43</v>
      </c>
      <c r="J59" s="779">
        <v>3.1329999999999996</v>
      </c>
      <c r="K59" s="779">
        <v>1.8829999999999993</v>
      </c>
      <c r="L59" s="766">
        <v>22.41</v>
      </c>
      <c r="M59" s="766">
        <v>22.23</v>
      </c>
      <c r="N59" s="767">
        <v>24.25</v>
      </c>
      <c r="O59" s="768">
        <v>3.0529999999999999</v>
      </c>
      <c r="P59" s="769"/>
      <c r="Q59" s="770">
        <v>0.17999999999999972</v>
      </c>
      <c r="R59" s="768">
        <v>0.89332926041309024</v>
      </c>
      <c r="S59" s="768">
        <v>6.3145711302292823E-2</v>
      </c>
      <c r="T59" s="774">
        <v>2.3076724826612136E-2</v>
      </c>
      <c r="U59" s="774">
        <v>0.41153713304271028</v>
      </c>
      <c r="V59" s="774">
        <v>0.10412155518000038</v>
      </c>
      <c r="W59" s="775">
        <v>0.36763816269356792</v>
      </c>
      <c r="X59" s="771">
        <v>4334</v>
      </c>
      <c r="Y59" s="772"/>
    </row>
    <row r="60" spans="1:25">
      <c r="A60" s="762" t="s">
        <v>1130</v>
      </c>
      <c r="B60" s="762" t="s">
        <v>1131</v>
      </c>
      <c r="C60" s="763">
        <v>0</v>
      </c>
      <c r="D60" s="764">
        <v>0</v>
      </c>
      <c r="E60" s="765">
        <v>1.4571962037037034E-3</v>
      </c>
      <c r="F60" s="778">
        <v>300</v>
      </c>
      <c r="G60" s="763">
        <v>66.17</v>
      </c>
      <c r="H60" s="763">
        <v>24.43</v>
      </c>
      <c r="I60" s="763">
        <v>23.11</v>
      </c>
      <c r="J60" s="779">
        <v>3.3730000000000016</v>
      </c>
      <c r="K60" s="779">
        <v>2.2629999999999986</v>
      </c>
      <c r="L60" s="766">
        <v>20.74</v>
      </c>
      <c r="M60" s="766">
        <v>20.53</v>
      </c>
      <c r="N60" s="767">
        <v>19.95</v>
      </c>
      <c r="O60" s="768">
        <v>3.1739999999999999</v>
      </c>
      <c r="P60" s="769"/>
      <c r="Q60" s="770">
        <v>0.2099999999999973</v>
      </c>
      <c r="R60" s="768">
        <v>0.9108599741228145</v>
      </c>
      <c r="S60" s="768">
        <v>6.4384884176049928E-2</v>
      </c>
      <c r="T60" s="774">
        <v>2.2632582512989212E-2</v>
      </c>
      <c r="U60" s="774">
        <v>0.40954064827976189</v>
      </c>
      <c r="V60" s="774">
        <v>0.10332332985438147</v>
      </c>
      <c r="W60" s="775">
        <v>0.3730341842943446</v>
      </c>
      <c r="X60" s="771">
        <v>4419</v>
      </c>
      <c r="Y60" s="773"/>
    </row>
    <row r="61" spans="1:25">
      <c r="A61" s="762" t="s">
        <v>1131</v>
      </c>
      <c r="B61" s="762" t="s">
        <v>1323</v>
      </c>
      <c r="C61" s="763">
        <v>13.300079999999999</v>
      </c>
      <c r="D61" s="764">
        <v>1.5393611111111111E-4</v>
      </c>
      <c r="E61" s="765">
        <v>1.6111323148148146E-3</v>
      </c>
      <c r="F61" s="778">
        <v>300</v>
      </c>
      <c r="G61" s="763">
        <v>33.35</v>
      </c>
      <c r="H61" s="763">
        <v>23.11</v>
      </c>
      <c r="I61" s="763">
        <v>22.67</v>
      </c>
      <c r="J61" s="779">
        <v>3.3129999999999993</v>
      </c>
      <c r="K61" s="779">
        <v>2.973000000000003</v>
      </c>
      <c r="L61" s="766">
        <v>19.48</v>
      </c>
      <c r="M61" s="766">
        <v>19.38</v>
      </c>
      <c r="N61" s="767">
        <v>13.19</v>
      </c>
      <c r="O61" s="768">
        <v>2.9990000000000001</v>
      </c>
      <c r="P61" s="769"/>
      <c r="Q61" s="770">
        <v>0.10000000000000142</v>
      </c>
      <c r="R61" s="768">
        <v>0.88539362363454532</v>
      </c>
      <c r="S61" s="768">
        <v>6.2584774309379212E-2</v>
      </c>
      <c r="T61" s="774">
        <v>2.5743199246040321E-2</v>
      </c>
      <c r="U61" s="774">
        <v>0.4255173896542504</v>
      </c>
      <c r="V61" s="774">
        <v>0.1097847963308341</v>
      </c>
      <c r="W61" s="775">
        <v>0.37675038354548956</v>
      </c>
      <c r="X61" s="771">
        <v>3885</v>
      </c>
      <c r="Y61" s="772"/>
    </row>
    <row r="62" spans="1:25">
      <c r="A62" s="762" t="s">
        <v>1323</v>
      </c>
      <c r="B62" s="762" t="s">
        <v>1324</v>
      </c>
      <c r="C62" s="763">
        <v>10.499775</v>
      </c>
      <c r="D62" s="764">
        <v>1.2152517361111111E-4</v>
      </c>
      <c r="E62" s="765">
        <v>1.7326574884259256E-3</v>
      </c>
      <c r="F62" s="778">
        <v>300</v>
      </c>
      <c r="G62" s="763">
        <v>20.27</v>
      </c>
      <c r="H62" s="763">
        <v>22.67</v>
      </c>
      <c r="I62" s="763">
        <v>22.26</v>
      </c>
      <c r="J62" s="779">
        <v>4.463000000000001</v>
      </c>
      <c r="K62" s="779">
        <v>4.1130000000000031</v>
      </c>
      <c r="L62" s="766">
        <v>17.89</v>
      </c>
      <c r="M62" s="766">
        <v>17.829999999999998</v>
      </c>
      <c r="N62" s="767">
        <v>20.23</v>
      </c>
      <c r="O62" s="768">
        <v>2.96</v>
      </c>
      <c r="P62" s="769"/>
      <c r="Q62" s="770">
        <v>6.0000000000002274E-2</v>
      </c>
      <c r="R62" s="768">
        <v>0.8796178069770938</v>
      </c>
      <c r="S62" s="768">
        <v>6.2176505972777595E-2</v>
      </c>
      <c r="T62" s="774">
        <v>2.7866755478098526E-2</v>
      </c>
      <c r="U62" s="774">
        <v>0.43750337916944759</v>
      </c>
      <c r="V62" s="774">
        <v>0.11474337861210426</v>
      </c>
      <c r="W62" s="775">
        <v>0.38483576293009741</v>
      </c>
      <c r="X62" s="771">
        <v>3589</v>
      </c>
      <c r="Y62" s="772"/>
    </row>
    <row r="63" spans="1:25">
      <c r="A63" s="762" t="s">
        <v>1324</v>
      </c>
      <c r="B63" s="762" t="s">
        <v>1132</v>
      </c>
      <c r="C63" s="763">
        <v>0</v>
      </c>
      <c r="D63" s="764">
        <v>0</v>
      </c>
      <c r="E63" s="765">
        <v>1.7326574884259256E-3</v>
      </c>
      <c r="F63" s="778">
        <v>300</v>
      </c>
      <c r="G63" s="763">
        <v>9.9</v>
      </c>
      <c r="H63" s="763">
        <v>22.26</v>
      </c>
      <c r="I63" s="763">
        <v>22.03</v>
      </c>
      <c r="J63" s="779">
        <v>5.6030000000000015</v>
      </c>
      <c r="K63" s="779">
        <v>5.463000000000001</v>
      </c>
      <c r="L63" s="766">
        <v>16.34</v>
      </c>
      <c r="M63" s="766">
        <v>16.25</v>
      </c>
      <c r="N63" s="767">
        <v>23.23</v>
      </c>
      <c r="O63" s="768">
        <v>9.0909999999999993</v>
      </c>
      <c r="P63" s="769"/>
      <c r="Q63" s="770">
        <v>8.9999999999999858E-2</v>
      </c>
      <c r="R63" s="768">
        <v>1.5415371166138701</v>
      </c>
      <c r="S63" s="768">
        <v>0.10896481514828703</v>
      </c>
      <c r="T63" s="774">
        <v>1.590107307636876E-2</v>
      </c>
      <c r="U63" s="774">
        <v>0.36770315403225701</v>
      </c>
      <c r="V63" s="774">
        <v>8.7196894622723453E-2</v>
      </c>
      <c r="W63" s="775">
        <v>0.56682805983671114</v>
      </c>
      <c r="X63" s="771">
        <v>6289</v>
      </c>
      <c r="Y63" s="772"/>
    </row>
    <row r="64" spans="1:25">
      <c r="A64" s="762" t="s">
        <v>1132</v>
      </c>
      <c r="B64" s="762" t="s">
        <v>1322</v>
      </c>
      <c r="C64" s="763">
        <v>0</v>
      </c>
      <c r="D64" s="764">
        <v>0</v>
      </c>
      <c r="E64" s="765">
        <v>1.7326574884259256E-3</v>
      </c>
      <c r="F64" s="778">
        <v>300</v>
      </c>
      <c r="G64" s="763">
        <v>36.85</v>
      </c>
      <c r="H64" s="763">
        <v>22.03</v>
      </c>
      <c r="I64" s="763">
        <v>21.48</v>
      </c>
      <c r="J64" s="779">
        <v>6.8630000000000013</v>
      </c>
      <c r="K64" s="779">
        <v>6.3930000000000007</v>
      </c>
      <c r="L64" s="766">
        <v>14.85</v>
      </c>
      <c r="M64" s="766">
        <v>14.77</v>
      </c>
      <c r="N64" s="767">
        <v>14.93</v>
      </c>
      <c r="O64" s="768">
        <v>2.1709999999999998</v>
      </c>
      <c r="P64" s="769"/>
      <c r="Q64" s="770">
        <v>8.0000000000000071E-2</v>
      </c>
      <c r="R64" s="768">
        <v>0.75331752145508246</v>
      </c>
      <c r="S64" s="768">
        <v>5.3248866724420099E-2</v>
      </c>
      <c r="T64" s="774">
        <v>3.2538861294325414E-2</v>
      </c>
      <c r="U64" s="774">
        <v>0.45747320124598906</v>
      </c>
      <c r="V64" s="774">
        <v>0.12321830384917985</v>
      </c>
      <c r="W64" s="775">
        <v>0.34462257809475061</v>
      </c>
      <c r="X64" s="771">
        <v>3074</v>
      </c>
      <c r="Y64" s="772"/>
    </row>
    <row r="65" spans="1:25">
      <c r="A65" s="762" t="s">
        <v>1133</v>
      </c>
      <c r="B65" s="762" t="s">
        <v>1134</v>
      </c>
      <c r="C65" s="763">
        <v>11.530605999999999</v>
      </c>
      <c r="D65" s="764">
        <v>1.3345608796296295E-4</v>
      </c>
      <c r="E65" s="765">
        <v>1.3345608796296295E-4</v>
      </c>
      <c r="F65" s="778">
        <v>200</v>
      </c>
      <c r="G65" s="763">
        <v>50</v>
      </c>
      <c r="H65" s="763">
        <v>38.82</v>
      </c>
      <c r="I65" s="763">
        <v>35.56</v>
      </c>
      <c r="J65" s="779">
        <v>1.5000000000000009</v>
      </c>
      <c r="K65" s="779">
        <v>1.1900000000000057</v>
      </c>
      <c r="L65" s="766">
        <v>37.11</v>
      </c>
      <c r="M65" s="766">
        <v>34.159999999999997</v>
      </c>
      <c r="N65" s="767">
        <v>65.2</v>
      </c>
      <c r="O65" s="768">
        <v>59</v>
      </c>
      <c r="P65" s="769"/>
      <c r="Q65" s="770">
        <v>2.9500000000000028</v>
      </c>
      <c r="R65" s="768">
        <v>2.9969534008335676</v>
      </c>
      <c r="S65" s="768">
        <v>9.4152048284315323E-2</v>
      </c>
      <c r="T65" s="774">
        <v>1.4174528371380662E-3</v>
      </c>
      <c r="U65" s="774">
        <v>0.17677013609799341</v>
      </c>
      <c r="V65" s="774">
        <v>2.8243917985903196E-2</v>
      </c>
      <c r="W65" s="775">
        <v>0.52977186054469394</v>
      </c>
      <c r="X65" s="771">
        <v>70550</v>
      </c>
      <c r="Y65" s="772"/>
    </row>
    <row r="66" spans="1:25">
      <c r="A66" s="762" t="s">
        <v>1134</v>
      </c>
      <c r="B66" s="762" t="s">
        <v>1135</v>
      </c>
      <c r="C66" s="763">
        <v>6.9216439999999997</v>
      </c>
      <c r="D66" s="764">
        <v>8.0111620370370369E-5</v>
      </c>
      <c r="E66" s="765">
        <v>2.1356770833333332E-4</v>
      </c>
      <c r="F66" s="778">
        <v>200</v>
      </c>
      <c r="G66" s="763">
        <v>40.43</v>
      </c>
      <c r="H66" s="763">
        <v>35.56</v>
      </c>
      <c r="I66" s="763">
        <v>33.270000000000003</v>
      </c>
      <c r="J66" s="779">
        <v>1.780000000000002</v>
      </c>
      <c r="K66" s="779">
        <v>1.1900000000000022</v>
      </c>
      <c r="L66" s="766">
        <v>33.57</v>
      </c>
      <c r="M66" s="766">
        <v>31.87</v>
      </c>
      <c r="N66" s="767">
        <v>56.64</v>
      </c>
      <c r="O66" s="768">
        <v>42.048000000000002</v>
      </c>
      <c r="P66" s="769"/>
      <c r="Q66" s="770">
        <v>1.6999999999999993</v>
      </c>
      <c r="R66" s="768">
        <v>2.5300357399137572</v>
      </c>
      <c r="S66" s="768">
        <v>7.948340040227142E-2</v>
      </c>
      <c r="T66" s="774">
        <v>2.6869473028638836E-3</v>
      </c>
      <c r="U66" s="774">
        <v>0.21498890748244445</v>
      </c>
      <c r="V66" s="774">
        <v>3.806023374435652E-2</v>
      </c>
      <c r="W66" s="775">
        <v>0.5439296196155966</v>
      </c>
      <c r="X66" s="771">
        <v>37217</v>
      </c>
      <c r="Y66" s="773"/>
    </row>
    <row r="67" spans="1:25">
      <c r="A67" s="762" t="s">
        <v>1135</v>
      </c>
      <c r="B67" s="762" t="s">
        <v>1136</v>
      </c>
      <c r="C67" s="763">
        <v>6.9380459999999999</v>
      </c>
      <c r="D67" s="764">
        <v>8.0301458333333339E-5</v>
      </c>
      <c r="E67" s="765">
        <v>4.530482986111111E-4</v>
      </c>
      <c r="F67" s="778">
        <v>200</v>
      </c>
      <c r="G67" s="763">
        <v>42.3</v>
      </c>
      <c r="H67" s="763">
        <v>33.270000000000003</v>
      </c>
      <c r="I67" s="763">
        <v>31.6</v>
      </c>
      <c r="J67" s="779">
        <v>1.3900000000000015</v>
      </c>
      <c r="K67" s="779">
        <v>0.94000000000000217</v>
      </c>
      <c r="L67" s="766">
        <v>31.67</v>
      </c>
      <c r="M67" s="766">
        <v>30.45</v>
      </c>
      <c r="N67" s="767">
        <v>39.479999999999997</v>
      </c>
      <c r="O67" s="768">
        <v>28.841999999999999</v>
      </c>
      <c r="P67" s="769"/>
      <c r="Q67" s="770">
        <v>1.2200000000000024</v>
      </c>
      <c r="R67" s="768">
        <v>2.0953987025075915</v>
      </c>
      <c r="S67" s="768">
        <v>6.5828878006082323E-2</v>
      </c>
      <c r="T67" s="774">
        <v>6.8822120676164536E-3</v>
      </c>
      <c r="U67" s="774">
        <v>0.28518418968090831</v>
      </c>
      <c r="V67" s="774">
        <v>5.8731217258164103E-2</v>
      </c>
      <c r="W67" s="775">
        <v>0.59757458103305416</v>
      </c>
      <c r="X67" s="771">
        <v>14531</v>
      </c>
      <c r="Y67" s="772"/>
    </row>
    <row r="68" spans="1:25">
      <c r="A68" s="762" t="s">
        <v>1136</v>
      </c>
      <c r="B68" s="762" t="s">
        <v>1125</v>
      </c>
      <c r="C68" s="763">
        <v>9.4393510000000003</v>
      </c>
      <c r="D68" s="764">
        <v>1.0925174768518518E-4</v>
      </c>
      <c r="E68" s="765">
        <v>6.7411460648148154E-4</v>
      </c>
      <c r="F68" s="778">
        <v>200</v>
      </c>
      <c r="G68" s="763">
        <v>44.16</v>
      </c>
      <c r="H68" s="763">
        <v>31.6</v>
      </c>
      <c r="I68" s="763">
        <v>30.7</v>
      </c>
      <c r="J68" s="779">
        <v>1.9100000000000013</v>
      </c>
      <c r="K68" s="779">
        <v>2.29</v>
      </c>
      <c r="L68" s="766">
        <v>29.48</v>
      </c>
      <c r="M68" s="766">
        <v>28.2</v>
      </c>
      <c r="N68" s="767">
        <v>20.38</v>
      </c>
      <c r="O68" s="768">
        <v>28.986000000000001</v>
      </c>
      <c r="P68" s="769"/>
      <c r="Q68" s="770">
        <v>1.2800000000000011</v>
      </c>
      <c r="R68" s="768">
        <v>2.1006230580983525</v>
      </c>
      <c r="S68" s="768">
        <v>6.5993005943373206E-2</v>
      </c>
      <c r="T68" s="774">
        <v>1.0214940156839058E-2</v>
      </c>
      <c r="U68" s="774">
        <v>0.32224699307947807</v>
      </c>
      <c r="V68" s="774">
        <v>7.0967547138177212E-2</v>
      </c>
      <c r="W68" s="775">
        <v>0.67691946406561188</v>
      </c>
      <c r="X68" s="771">
        <v>9790</v>
      </c>
      <c r="Y68" s="772"/>
    </row>
    <row r="69" spans="1:25">
      <c r="A69" s="762" t="s">
        <v>1137</v>
      </c>
      <c r="B69" s="762" t="s">
        <v>1135</v>
      </c>
      <c r="C69" s="763">
        <v>13.753077000000001</v>
      </c>
      <c r="D69" s="764">
        <v>1.5917913194444445E-4</v>
      </c>
      <c r="E69" s="765">
        <v>1.5917913194444445E-4</v>
      </c>
      <c r="F69" s="778">
        <v>200</v>
      </c>
      <c r="G69" s="763">
        <v>44.55</v>
      </c>
      <c r="H69" s="763">
        <v>34.369999999999997</v>
      </c>
      <c r="I69" s="763">
        <v>33.270000000000003</v>
      </c>
      <c r="J69" s="779">
        <v>1.5099999999999989</v>
      </c>
      <c r="K69" s="779">
        <v>1.3900000000000015</v>
      </c>
      <c r="L69" s="766">
        <v>32.65</v>
      </c>
      <c r="M69" s="766">
        <v>31.67</v>
      </c>
      <c r="N69" s="767">
        <v>24.69</v>
      </c>
      <c r="O69" s="768">
        <v>21.998000000000001</v>
      </c>
      <c r="P69" s="769"/>
      <c r="Q69" s="770">
        <v>0.97999999999999687</v>
      </c>
      <c r="R69" s="768">
        <v>1.829976797340727</v>
      </c>
      <c r="S69" s="768">
        <v>5.7490404667112506E-2</v>
      </c>
      <c r="T69" s="774">
        <v>2.7687947730780744E-3</v>
      </c>
      <c r="U69" s="774">
        <v>0.21684229893632875</v>
      </c>
      <c r="V69" s="774">
        <v>3.8562747655422724E-2</v>
      </c>
      <c r="W69" s="775">
        <v>0.39681637573550343</v>
      </c>
      <c r="X69" s="771">
        <v>36117</v>
      </c>
      <c r="Y69" s="772"/>
    </row>
    <row r="70" spans="1:25">
      <c r="A70" s="762" t="s">
        <v>1138</v>
      </c>
      <c r="B70" s="762" t="s">
        <v>1136</v>
      </c>
      <c r="C70" s="763">
        <v>9.6607780000000005</v>
      </c>
      <c r="D70" s="764">
        <v>1.118145601851852E-4</v>
      </c>
      <c r="E70" s="765">
        <v>1.118145601851852E-4</v>
      </c>
      <c r="F70" s="778">
        <v>200</v>
      </c>
      <c r="G70" s="763">
        <v>36.729999999999997</v>
      </c>
      <c r="H70" s="763">
        <v>33.159999999999997</v>
      </c>
      <c r="I70" s="763">
        <v>31.6</v>
      </c>
      <c r="J70" s="779">
        <v>1.1899999999999951</v>
      </c>
      <c r="K70" s="779">
        <v>1.1900000000000022</v>
      </c>
      <c r="L70" s="766">
        <v>31.76</v>
      </c>
      <c r="M70" s="766">
        <v>30.2</v>
      </c>
      <c r="N70" s="767">
        <v>42.47</v>
      </c>
      <c r="O70" s="768">
        <v>42.472000000000001</v>
      </c>
      <c r="P70" s="769"/>
      <c r="Q70" s="770">
        <v>1.5600000000000023</v>
      </c>
      <c r="R70" s="768">
        <v>2.542759822087103</v>
      </c>
      <c r="S70" s="768">
        <v>7.9883139149902679E-2</v>
      </c>
      <c r="T70" s="774">
        <v>1.3997266679187759E-3</v>
      </c>
      <c r="U70" s="774">
        <v>0.17498655536958821</v>
      </c>
      <c r="V70" s="774">
        <v>2.7811814881259445E-2</v>
      </c>
      <c r="W70" s="775">
        <v>0.4449487823992091</v>
      </c>
      <c r="X70" s="771">
        <v>71443</v>
      </c>
      <c r="Y70" s="772"/>
    </row>
    <row r="71" spans="1:25">
      <c r="A71" s="762" t="s">
        <v>1139</v>
      </c>
      <c r="B71" s="762" t="s">
        <v>1126</v>
      </c>
      <c r="C71" s="763">
        <v>4.6581679999999999</v>
      </c>
      <c r="D71" s="764">
        <v>5.391398148148148E-5</v>
      </c>
      <c r="E71" s="765">
        <v>5.391398148148148E-5</v>
      </c>
      <c r="F71" s="778">
        <v>200</v>
      </c>
      <c r="G71" s="763">
        <v>17.87</v>
      </c>
      <c r="H71" s="763">
        <v>29.34</v>
      </c>
      <c r="I71" s="763">
        <v>29.34</v>
      </c>
      <c r="J71" s="779">
        <v>1.1899999999999986</v>
      </c>
      <c r="K71" s="779">
        <v>1.7199999999999998</v>
      </c>
      <c r="L71" s="766">
        <v>27.94</v>
      </c>
      <c r="M71" s="766">
        <v>27.41</v>
      </c>
      <c r="N71" s="767">
        <v>0</v>
      </c>
      <c r="O71" s="768">
        <v>29.658999999999999</v>
      </c>
      <c r="P71" s="769"/>
      <c r="Q71" s="770">
        <v>0.53000000000000114</v>
      </c>
      <c r="R71" s="768">
        <v>2.1248693709793671</v>
      </c>
      <c r="S71" s="768">
        <v>6.6754726169138134E-2</v>
      </c>
      <c r="T71" s="774">
        <v>8.0764291272618306E-4</v>
      </c>
      <c r="U71" s="774">
        <v>0.14868439337694142</v>
      </c>
      <c r="V71" s="774">
        <v>2.1720232879415158E-2</v>
      </c>
      <c r="W71" s="775">
        <v>0.31593491342931029</v>
      </c>
      <c r="X71" s="771">
        <v>123818</v>
      </c>
      <c r="Y71" s="773"/>
    </row>
    <row r="72" spans="1:25">
      <c r="A72" s="762" t="s">
        <v>1140</v>
      </c>
      <c r="B72" s="762" t="s">
        <v>1325</v>
      </c>
      <c r="C72" s="763">
        <v>0</v>
      </c>
      <c r="D72" s="764">
        <v>0</v>
      </c>
      <c r="E72" s="765">
        <v>9.1595407060185187E-3</v>
      </c>
      <c r="F72" s="778">
        <v>300</v>
      </c>
      <c r="G72" s="763">
        <v>32.840000000000003</v>
      </c>
      <c r="H72" s="763">
        <v>21.41</v>
      </c>
      <c r="I72" s="763">
        <v>21.04</v>
      </c>
      <c r="J72" s="779">
        <v>2.863</v>
      </c>
      <c r="K72" s="779">
        <v>3.3129999999999993</v>
      </c>
      <c r="L72" s="766">
        <v>18.23</v>
      </c>
      <c r="M72" s="766">
        <v>17.41</v>
      </c>
      <c r="N72" s="767">
        <v>11.27</v>
      </c>
      <c r="O72" s="768">
        <v>24.97</v>
      </c>
      <c r="P72" s="769"/>
      <c r="Q72" s="770">
        <v>0.82000000000000028</v>
      </c>
      <c r="R72" s="768">
        <v>2.5548030636397119</v>
      </c>
      <c r="S72" s="768">
        <v>0.18058834949188521</v>
      </c>
      <c r="T72" s="774">
        <v>5.0720551640182666E-2</v>
      </c>
      <c r="U72" s="774">
        <v>0.52308000594126736</v>
      </c>
      <c r="V72" s="774">
        <v>0.15298481818271759</v>
      </c>
      <c r="W72" s="775">
        <v>1.3363664017074286</v>
      </c>
      <c r="X72" s="771">
        <v>1972</v>
      </c>
      <c r="Y72" s="772"/>
    </row>
    <row r="73" spans="1:25">
      <c r="A73" s="762" t="s">
        <v>1325</v>
      </c>
      <c r="B73" s="762" t="s">
        <v>1326</v>
      </c>
      <c r="C73" s="763">
        <v>0</v>
      </c>
      <c r="D73" s="764">
        <v>0</v>
      </c>
      <c r="E73" s="765">
        <v>9.1595407060185187E-3</v>
      </c>
      <c r="F73" s="778">
        <v>300</v>
      </c>
      <c r="G73" s="763">
        <v>18.38</v>
      </c>
      <c r="H73" s="763">
        <v>21.04</v>
      </c>
      <c r="I73" s="763">
        <v>20.84</v>
      </c>
      <c r="J73" s="779">
        <v>3.6830000000000003</v>
      </c>
      <c r="K73" s="779">
        <v>3.713000000000001</v>
      </c>
      <c r="L73" s="766">
        <v>17.04</v>
      </c>
      <c r="M73" s="766">
        <v>16.809999999999999</v>
      </c>
      <c r="N73" s="767">
        <v>10.88</v>
      </c>
      <c r="O73" s="768">
        <v>12.513999999999999</v>
      </c>
      <c r="P73" s="769"/>
      <c r="Q73" s="770">
        <v>0.23000000000000043</v>
      </c>
      <c r="R73" s="768">
        <v>1.8086154331980864</v>
      </c>
      <c r="S73" s="768">
        <v>0.12784346496026194</v>
      </c>
      <c r="T73" s="774">
        <v>7.1646530457114971E-2</v>
      </c>
      <c r="U73" s="774">
        <v>0.57800627936408833</v>
      </c>
      <c r="V73" s="774">
        <v>0.18028049900970561</v>
      </c>
      <c r="W73" s="775">
        <v>1.0453910773432948</v>
      </c>
      <c r="X73" s="771">
        <v>1396</v>
      </c>
      <c r="Y73" s="772"/>
    </row>
    <row r="74" spans="1:25">
      <c r="A74" s="762" t="s">
        <v>1326</v>
      </c>
      <c r="B74" s="762" t="s">
        <v>1327</v>
      </c>
      <c r="C74" s="763">
        <v>0</v>
      </c>
      <c r="D74" s="764">
        <v>0</v>
      </c>
      <c r="E74" s="765">
        <v>9.1595407060185187E-3</v>
      </c>
      <c r="F74" s="778">
        <v>300</v>
      </c>
      <c r="G74" s="763">
        <v>10.29</v>
      </c>
      <c r="H74" s="763">
        <v>20.84</v>
      </c>
      <c r="I74" s="763">
        <v>16.96</v>
      </c>
      <c r="J74" s="779">
        <v>5.2029999999999994</v>
      </c>
      <c r="K74" s="779">
        <v>1.4430000000000016</v>
      </c>
      <c r="L74" s="766">
        <v>15.32</v>
      </c>
      <c r="M74" s="766">
        <v>15.2</v>
      </c>
      <c r="N74" s="767">
        <v>377.07</v>
      </c>
      <c r="O74" s="768">
        <v>11.662000000000001</v>
      </c>
      <c r="P74" s="769"/>
      <c r="Q74" s="770">
        <v>0.12000000000000099</v>
      </c>
      <c r="R74" s="768">
        <v>1.7459615512534261</v>
      </c>
      <c r="S74" s="768">
        <v>0.12341472393882046</v>
      </c>
      <c r="T74" s="774">
        <v>7.4217568323201991E-2</v>
      </c>
      <c r="U74" s="774">
        <v>0.58577215341111499</v>
      </c>
      <c r="V74" s="774">
        <v>0.18432360227530908</v>
      </c>
      <c r="W74" s="775">
        <v>1.0227356576507303</v>
      </c>
      <c r="X74" s="771">
        <v>1348</v>
      </c>
      <c r="Y74" s="773"/>
    </row>
    <row r="75" spans="1:25">
      <c r="A75" s="762" t="s">
        <v>1327</v>
      </c>
      <c r="B75" s="762" t="s">
        <v>1328</v>
      </c>
      <c r="C75" s="763">
        <v>0</v>
      </c>
      <c r="D75" s="764">
        <v>0</v>
      </c>
      <c r="E75" s="765">
        <v>9.1595407060185187E-3</v>
      </c>
      <c r="F75" s="778">
        <v>300</v>
      </c>
      <c r="G75" s="763">
        <v>21.24</v>
      </c>
      <c r="H75" s="763">
        <v>16.96</v>
      </c>
      <c r="I75" s="763">
        <v>20.39</v>
      </c>
      <c r="J75" s="779">
        <v>2.8430000000000004</v>
      </c>
      <c r="K75" s="779">
        <v>6.3230000000000004</v>
      </c>
      <c r="L75" s="766">
        <v>13.8</v>
      </c>
      <c r="M75" s="766">
        <v>13.75</v>
      </c>
      <c r="N75" s="767">
        <v>-161.49</v>
      </c>
      <c r="O75" s="768">
        <v>2.3540000000000001</v>
      </c>
      <c r="P75" s="769"/>
      <c r="Q75" s="770">
        <v>5.0000000000000711E-2</v>
      </c>
      <c r="R75" s="768">
        <v>0.78442492769292405</v>
      </c>
      <c r="S75" s="768">
        <v>5.5447719242415039E-2</v>
      </c>
      <c r="T75" s="774">
        <v>0.16519237997821698</v>
      </c>
      <c r="U75" s="774">
        <v>0.73830952203059663</v>
      </c>
      <c r="V75" s="774">
        <v>0.27417185151071394</v>
      </c>
      <c r="W75" s="775">
        <v>0.57914839343384805</v>
      </c>
      <c r="X75" s="771">
        <v>606</v>
      </c>
      <c r="Y75" s="772"/>
    </row>
    <row r="76" spans="1:25">
      <c r="A76" s="762" t="s">
        <v>1328</v>
      </c>
      <c r="B76" s="762" t="s">
        <v>1093</v>
      </c>
      <c r="C76" s="763">
        <v>0</v>
      </c>
      <c r="D76" s="764">
        <v>0</v>
      </c>
      <c r="E76" s="765">
        <v>9.1595407060185187E-3</v>
      </c>
      <c r="F76" s="778">
        <v>300</v>
      </c>
      <c r="G76" s="763">
        <v>22.83</v>
      </c>
      <c r="H76" s="763">
        <v>20.39</v>
      </c>
      <c r="I76" s="763">
        <v>20.02</v>
      </c>
      <c r="J76" s="779">
        <v>6.3230000000000004</v>
      </c>
      <c r="K76" s="779">
        <v>6.0030000000000001</v>
      </c>
      <c r="L76" s="766">
        <v>13.75</v>
      </c>
      <c r="M76" s="766">
        <v>13.7</v>
      </c>
      <c r="N76" s="767">
        <v>16.21</v>
      </c>
      <c r="O76" s="768">
        <v>2.19</v>
      </c>
      <c r="P76" s="769"/>
      <c r="Q76" s="770">
        <v>5.0000000000000711E-2</v>
      </c>
      <c r="R76" s="768">
        <v>0.75660675527744004</v>
      </c>
      <c r="S76" s="768">
        <v>5.3481368914325179E-2</v>
      </c>
      <c r="T76" s="774">
        <v>0.17126601079885789</v>
      </c>
      <c r="U76" s="774">
        <v>0.7453469410218555</v>
      </c>
      <c r="V76" s="774">
        <v>0.27885565489049602</v>
      </c>
      <c r="W76" s="775">
        <v>0.56393453060251153</v>
      </c>
      <c r="X76" s="771">
        <v>584</v>
      </c>
      <c r="Y76" s="772"/>
    </row>
    <row r="77" spans="1:25">
      <c r="A77" s="762" t="s">
        <v>1141</v>
      </c>
      <c r="B77" s="762" t="s">
        <v>1142</v>
      </c>
      <c r="C77" s="763">
        <v>6.708418</v>
      </c>
      <c r="D77" s="764">
        <v>7.7643726851851848E-5</v>
      </c>
      <c r="E77" s="765">
        <v>7.7643726851851848E-5</v>
      </c>
      <c r="F77" s="778">
        <v>200</v>
      </c>
      <c r="G77" s="763">
        <v>17</v>
      </c>
      <c r="H77" s="763">
        <v>26.83</v>
      </c>
      <c r="I77" s="763">
        <v>26.31</v>
      </c>
      <c r="J77" s="779">
        <v>1.1999999999999966</v>
      </c>
      <c r="K77" s="779">
        <v>1.2000000000000002</v>
      </c>
      <c r="L77" s="766">
        <v>25.42</v>
      </c>
      <c r="M77" s="766">
        <v>24.9</v>
      </c>
      <c r="N77" s="767">
        <v>30.59</v>
      </c>
      <c r="O77" s="768">
        <v>30.588000000000001</v>
      </c>
      <c r="P77" s="769"/>
      <c r="Q77" s="770">
        <v>0.52000000000000313</v>
      </c>
      <c r="R77" s="768">
        <v>2.1578911066400468</v>
      </c>
      <c r="S77" s="768">
        <v>6.7792134374915186E-2</v>
      </c>
      <c r="T77" s="774">
        <v>1.1453205828046919E-3</v>
      </c>
      <c r="U77" s="774">
        <v>0.1643616214658089</v>
      </c>
      <c r="V77" s="774">
        <v>2.5287261179048059E-2</v>
      </c>
      <c r="W77" s="775">
        <v>0.35467448123400686</v>
      </c>
      <c r="X77" s="771">
        <v>87312</v>
      </c>
      <c r="Y77" s="772"/>
    </row>
    <row r="78" spans="1:25">
      <c r="A78" s="762" t="s">
        <v>1142</v>
      </c>
      <c r="B78" s="762" t="s">
        <v>1143</v>
      </c>
      <c r="C78" s="763">
        <v>16.106764000000002</v>
      </c>
      <c r="D78" s="764">
        <v>1.8642087962962965E-4</v>
      </c>
      <c r="E78" s="765">
        <v>2.6406460648148152E-4</v>
      </c>
      <c r="F78" s="778">
        <v>200</v>
      </c>
      <c r="G78" s="763">
        <v>66</v>
      </c>
      <c r="H78" s="763">
        <v>26.31</v>
      </c>
      <c r="I78" s="763">
        <v>23.18</v>
      </c>
      <c r="J78" s="779">
        <v>1.299999999999998</v>
      </c>
      <c r="K78" s="779">
        <v>2.0000000000000009</v>
      </c>
      <c r="L78" s="766">
        <v>24.8</v>
      </c>
      <c r="M78" s="766">
        <v>20.97</v>
      </c>
      <c r="N78" s="767">
        <v>47.42</v>
      </c>
      <c r="O78" s="768">
        <v>58.03</v>
      </c>
      <c r="P78" s="769"/>
      <c r="Q78" s="770">
        <v>3.8300000000000018</v>
      </c>
      <c r="R78" s="768">
        <v>2.972215328910266</v>
      </c>
      <c r="S78" s="768">
        <v>9.337487899581863E-2</v>
      </c>
      <c r="T78" s="774">
        <v>2.8280048051607803E-3</v>
      </c>
      <c r="U78" s="774">
        <v>0.21684229893632875</v>
      </c>
      <c r="V78" s="774">
        <v>3.8562747655422724E-2</v>
      </c>
      <c r="W78" s="775">
        <v>0.64450200485469855</v>
      </c>
      <c r="X78" s="771">
        <v>35361</v>
      </c>
      <c r="Y78" s="772"/>
    </row>
    <row r="79" spans="1:25">
      <c r="A79" s="762" t="s">
        <v>1143</v>
      </c>
      <c r="B79" s="762" t="s">
        <v>1144</v>
      </c>
      <c r="C79" s="763">
        <v>14.023710000000001</v>
      </c>
      <c r="D79" s="764">
        <v>1.6231145833333333E-4</v>
      </c>
      <c r="E79" s="765">
        <v>4.2637606481481488E-4</v>
      </c>
      <c r="F79" s="778">
        <v>200</v>
      </c>
      <c r="G79" s="763">
        <v>67.83</v>
      </c>
      <c r="H79" s="763">
        <v>23.18</v>
      </c>
      <c r="I79" s="763">
        <v>20.14</v>
      </c>
      <c r="J79" s="779">
        <v>2.5000000000000009</v>
      </c>
      <c r="K79" s="779">
        <v>2.7399999999999993</v>
      </c>
      <c r="L79" s="766">
        <v>20.47</v>
      </c>
      <c r="M79" s="766">
        <v>17.190000000000001</v>
      </c>
      <c r="N79" s="767">
        <v>44.82</v>
      </c>
      <c r="O79" s="768">
        <v>48.356000000000002</v>
      </c>
      <c r="P79" s="769"/>
      <c r="Q79" s="770">
        <v>3.2799999999999976</v>
      </c>
      <c r="R79" s="768">
        <v>2.7131835098629691</v>
      </c>
      <c r="S79" s="768">
        <v>8.5237156091174271E-2</v>
      </c>
      <c r="T79" s="774">
        <v>5.0022324109305098E-3</v>
      </c>
      <c r="U79" s="774">
        <v>0.25826714497728187</v>
      </c>
      <c r="V79" s="774">
        <v>5.0411872495954579E-2</v>
      </c>
      <c r="W79" s="775">
        <v>0.70072615889174994</v>
      </c>
      <c r="X79" s="771">
        <v>19992</v>
      </c>
      <c r="Y79" s="772"/>
    </row>
    <row r="80" spans="1:25">
      <c r="A80" s="762" t="s">
        <v>1144</v>
      </c>
      <c r="B80" s="762" t="s">
        <v>1145</v>
      </c>
      <c r="C80" s="763">
        <v>0</v>
      </c>
      <c r="D80" s="764">
        <v>0</v>
      </c>
      <c r="E80" s="765">
        <v>4.2637606481481488E-4</v>
      </c>
      <c r="F80" s="778">
        <v>200</v>
      </c>
      <c r="G80" s="763">
        <v>27.99</v>
      </c>
      <c r="H80" s="763">
        <v>20.14</v>
      </c>
      <c r="I80" s="763">
        <v>20.149999999999999</v>
      </c>
      <c r="J80" s="779">
        <v>2.7399999999999993</v>
      </c>
      <c r="K80" s="779">
        <v>2.8999999999999995</v>
      </c>
      <c r="L80" s="766">
        <v>17.190000000000001</v>
      </c>
      <c r="M80" s="766">
        <v>17.04</v>
      </c>
      <c r="N80" s="767">
        <v>-0.36</v>
      </c>
      <c r="O80" s="768">
        <v>5.359</v>
      </c>
      <c r="P80" s="769"/>
      <c r="Q80" s="770">
        <v>0.15000000000000213</v>
      </c>
      <c r="R80" s="768">
        <v>0.903224819427768</v>
      </c>
      <c r="S80" s="768">
        <v>2.8375638669157214E-2</v>
      </c>
      <c r="T80" s="774">
        <v>1.5026131033951409E-2</v>
      </c>
      <c r="U80" s="774">
        <v>0.36174686840489556</v>
      </c>
      <c r="V80" s="774">
        <v>8.499385745231558E-2</v>
      </c>
      <c r="W80" s="775">
        <v>0.32673874989357232</v>
      </c>
      <c r="X80" s="771">
        <v>6656</v>
      </c>
      <c r="Y80" s="773"/>
    </row>
    <row r="81" spans="1:25">
      <c r="A81" s="762" t="s">
        <v>1145</v>
      </c>
      <c r="B81" s="762" t="s">
        <v>1146</v>
      </c>
      <c r="C81" s="763">
        <v>0</v>
      </c>
      <c r="D81" s="764">
        <v>0</v>
      </c>
      <c r="E81" s="765">
        <v>5.6286956018518526E-4</v>
      </c>
      <c r="F81" s="778">
        <v>200</v>
      </c>
      <c r="G81" s="763">
        <v>39.979999999999997</v>
      </c>
      <c r="H81" s="763">
        <v>20.149999999999999</v>
      </c>
      <c r="I81" s="763">
        <v>19.68</v>
      </c>
      <c r="J81" s="779">
        <v>2.8999999999999995</v>
      </c>
      <c r="K81" s="779">
        <v>2.9599999999999982</v>
      </c>
      <c r="L81" s="766">
        <v>17.04</v>
      </c>
      <c r="M81" s="766">
        <v>16.510000000000002</v>
      </c>
      <c r="N81" s="767">
        <v>11.76</v>
      </c>
      <c r="O81" s="768">
        <v>13.257</v>
      </c>
      <c r="P81" s="769"/>
      <c r="Q81" s="770">
        <v>0.52999999999999758</v>
      </c>
      <c r="R81" s="768">
        <v>1.4206157083478903</v>
      </c>
      <c r="S81" s="768">
        <v>4.4629949444200664E-2</v>
      </c>
      <c r="T81" s="774">
        <v>1.261192466482451E-2</v>
      </c>
      <c r="U81" s="774">
        <v>0.34392232714001469</v>
      </c>
      <c r="V81" s="774">
        <v>7.8538878814502167E-2</v>
      </c>
      <c r="W81" s="775">
        <v>0.48858146038666683</v>
      </c>
      <c r="X81" s="771">
        <v>7930</v>
      </c>
      <c r="Y81" s="773"/>
    </row>
    <row r="82" spans="1:25">
      <c r="A82" s="762" t="s">
        <v>1146</v>
      </c>
      <c r="B82" s="762" t="s">
        <v>1147</v>
      </c>
      <c r="C82" s="763">
        <v>0</v>
      </c>
      <c r="D82" s="764">
        <v>0</v>
      </c>
      <c r="E82" s="765">
        <v>5.6286956018518526E-4</v>
      </c>
      <c r="F82" s="778">
        <v>300</v>
      </c>
      <c r="G82" s="763">
        <v>64.52</v>
      </c>
      <c r="H82" s="763">
        <v>19.68</v>
      </c>
      <c r="I82" s="763">
        <v>19.34</v>
      </c>
      <c r="J82" s="779">
        <v>2.9630000000000014</v>
      </c>
      <c r="K82" s="779">
        <v>4.8230000000000004</v>
      </c>
      <c r="L82" s="766">
        <v>16.399999999999999</v>
      </c>
      <c r="M82" s="766">
        <v>14.2</v>
      </c>
      <c r="N82" s="767">
        <v>5.27</v>
      </c>
      <c r="O82" s="768">
        <v>34.097999999999999</v>
      </c>
      <c r="P82" s="769"/>
      <c r="Q82" s="770">
        <v>2.1999999999999993</v>
      </c>
      <c r="R82" s="768">
        <v>2.9854693047258838</v>
      </c>
      <c r="S82" s="768">
        <v>0.211030345889379</v>
      </c>
      <c r="T82" s="774">
        <v>2.6672446458493632E-3</v>
      </c>
      <c r="U82" s="774">
        <v>0.21313833500163765</v>
      </c>
      <c r="V82" s="774">
        <v>3.7560885916725073E-2</v>
      </c>
      <c r="W82" s="775">
        <v>0.6363179568077717</v>
      </c>
      <c r="X82" s="771">
        <v>37492</v>
      </c>
      <c r="Y82" s="773"/>
    </row>
    <row r="83" spans="1:25">
      <c r="A83" s="762" t="s">
        <v>1147</v>
      </c>
      <c r="B83" s="762" t="s">
        <v>1103</v>
      </c>
      <c r="C83" s="763">
        <v>0</v>
      </c>
      <c r="D83" s="764">
        <v>0</v>
      </c>
      <c r="E83" s="765">
        <v>5.6286956018518526E-4</v>
      </c>
      <c r="F83" s="778">
        <v>300</v>
      </c>
      <c r="G83" s="763">
        <v>74.56</v>
      </c>
      <c r="H83" s="763">
        <v>19.34</v>
      </c>
      <c r="I83" s="763">
        <v>18.95</v>
      </c>
      <c r="J83" s="779">
        <v>5.3230000000000004</v>
      </c>
      <c r="K83" s="779">
        <v>7.4529999999999994</v>
      </c>
      <c r="L83" s="766">
        <v>13.7</v>
      </c>
      <c r="M83" s="766">
        <v>11.18</v>
      </c>
      <c r="N83" s="767">
        <v>5.23</v>
      </c>
      <c r="O83" s="768">
        <v>33.798000000000002</v>
      </c>
      <c r="P83" s="769"/>
      <c r="Q83" s="770">
        <v>2.5199999999999996</v>
      </c>
      <c r="R83" s="768">
        <v>2.9723069564129938</v>
      </c>
      <c r="S83" s="768">
        <v>0.21009995450575672</v>
      </c>
      <c r="T83" s="774">
        <v>2.6790560783760795E-3</v>
      </c>
      <c r="U83" s="774">
        <v>0.21498890748244445</v>
      </c>
      <c r="V83" s="774">
        <v>3.806023374435652E-2</v>
      </c>
      <c r="W83" s="775">
        <v>0.63901302526169923</v>
      </c>
      <c r="X83" s="771">
        <v>37327</v>
      </c>
      <c r="Y83" s="772"/>
    </row>
    <row r="84" spans="1:25">
      <c r="A84" s="762" t="s">
        <v>1148</v>
      </c>
      <c r="B84" s="762" t="s">
        <v>1149</v>
      </c>
      <c r="C84" s="763">
        <v>7.0692619999999993</v>
      </c>
      <c r="D84" s="764">
        <v>8.1820162037037026E-5</v>
      </c>
      <c r="E84" s="765">
        <v>8.1820162037037026E-5</v>
      </c>
      <c r="F84" s="778">
        <v>200</v>
      </c>
      <c r="G84" s="763">
        <v>54</v>
      </c>
      <c r="H84" s="763">
        <v>24.93</v>
      </c>
      <c r="I84" s="763">
        <v>22.02</v>
      </c>
      <c r="J84" s="779">
        <v>1.3499999999999988</v>
      </c>
      <c r="K84" s="779">
        <v>1.549999999999998</v>
      </c>
      <c r="L84" s="766">
        <v>23.37</v>
      </c>
      <c r="M84" s="766">
        <v>20.260000000000002</v>
      </c>
      <c r="N84" s="767">
        <v>53.89</v>
      </c>
      <c r="O84" s="768">
        <v>57.593000000000004</v>
      </c>
      <c r="P84" s="769"/>
      <c r="Q84" s="770">
        <v>3.1099999999999994</v>
      </c>
      <c r="R84" s="768">
        <v>2.9610029160141771</v>
      </c>
      <c r="S84" s="768">
        <v>9.3022630729268127E-2</v>
      </c>
      <c r="T84" s="774">
        <v>8.7957265232764038E-4</v>
      </c>
      <c r="U84" s="774">
        <v>0.15214001393328561</v>
      </c>
      <c r="V84" s="774">
        <v>2.249002777140674E-2</v>
      </c>
      <c r="W84" s="775">
        <v>0.45048702489889619</v>
      </c>
      <c r="X84" s="771">
        <v>113692</v>
      </c>
      <c r="Y84" s="772"/>
    </row>
    <row r="85" spans="1:25">
      <c r="A85" s="762" t="s">
        <v>1149</v>
      </c>
      <c r="B85" s="762" t="s">
        <v>1145</v>
      </c>
      <c r="C85" s="763">
        <v>4.723776</v>
      </c>
      <c r="D85" s="764">
        <v>5.4673333333333331E-5</v>
      </c>
      <c r="E85" s="765">
        <v>1.3649349537037036E-4</v>
      </c>
      <c r="F85" s="778">
        <v>200</v>
      </c>
      <c r="G85" s="763">
        <v>51.4</v>
      </c>
      <c r="H85" s="763">
        <v>22.02</v>
      </c>
      <c r="I85" s="763">
        <v>20.149999999999999</v>
      </c>
      <c r="J85" s="779">
        <v>2.0999999999999988</v>
      </c>
      <c r="K85" s="779">
        <v>2.799999999999998</v>
      </c>
      <c r="L85" s="766">
        <v>19.71</v>
      </c>
      <c r="M85" s="766">
        <v>17.14</v>
      </c>
      <c r="N85" s="767">
        <v>36.380000000000003</v>
      </c>
      <c r="O85" s="768">
        <v>50</v>
      </c>
      <c r="P85" s="769"/>
      <c r="Q85" s="770">
        <v>2.5700000000000003</v>
      </c>
      <c r="R85" s="768">
        <v>2.7589192318314426</v>
      </c>
      <c r="S85" s="768">
        <v>8.6673985873678083E-2</v>
      </c>
      <c r="T85" s="774">
        <v>1.5747919516393429E-3</v>
      </c>
      <c r="U85" s="774">
        <v>0.18214199662601641</v>
      </c>
      <c r="V85" s="774">
        <v>2.9559615522887217E-2</v>
      </c>
      <c r="W85" s="775">
        <v>0.50251505741569436</v>
      </c>
      <c r="X85" s="771">
        <v>63501</v>
      </c>
      <c r="Y85" s="772"/>
    </row>
    <row r="86" spans="1:25">
      <c r="A86" s="762" t="s">
        <v>1150</v>
      </c>
      <c r="B86" s="762" t="s">
        <v>1151</v>
      </c>
      <c r="C86" s="763">
        <v>7.1266689999999997</v>
      </c>
      <c r="D86" s="764">
        <v>8.2484594907407399E-5</v>
      </c>
      <c r="E86" s="765">
        <v>8.2484594907407399E-5</v>
      </c>
      <c r="F86" s="778">
        <v>200</v>
      </c>
      <c r="G86" s="763">
        <v>44.14</v>
      </c>
      <c r="H86" s="763">
        <v>19.760000000000002</v>
      </c>
      <c r="I86" s="763">
        <v>17.809999999999999</v>
      </c>
      <c r="J86" s="779">
        <v>1.2000000000000002</v>
      </c>
      <c r="K86" s="779">
        <v>1.2000000000000002</v>
      </c>
      <c r="L86" s="766">
        <v>18.350000000000001</v>
      </c>
      <c r="M86" s="766">
        <v>16.399999999999999</v>
      </c>
      <c r="N86" s="767">
        <v>44.18</v>
      </c>
      <c r="O86" s="768">
        <v>44.177999999999997</v>
      </c>
      <c r="P86" s="769"/>
      <c r="Q86" s="770">
        <v>1.9500000000000028</v>
      </c>
      <c r="R86" s="768">
        <v>2.5933253768480209</v>
      </c>
      <c r="S86" s="768">
        <v>8.1471702573027299E-2</v>
      </c>
      <c r="T86" s="774">
        <v>1.0124324434422148E-3</v>
      </c>
      <c r="U86" s="774">
        <v>0.15910010684555545</v>
      </c>
      <c r="V86" s="774">
        <v>2.4068869623476152E-2</v>
      </c>
      <c r="W86" s="775">
        <v>0.41259834454181049</v>
      </c>
      <c r="X86" s="771">
        <v>98773</v>
      </c>
      <c r="Y86" s="772"/>
    </row>
    <row r="87" spans="1:25">
      <c r="A87" s="762" t="s">
        <v>1151</v>
      </c>
      <c r="B87" s="762" t="s">
        <v>1152</v>
      </c>
      <c r="C87" s="763">
        <v>9.5131599999999992</v>
      </c>
      <c r="D87" s="764">
        <v>1.1010601851851851E-4</v>
      </c>
      <c r="E87" s="765">
        <v>1.9259061342592591E-4</v>
      </c>
      <c r="F87" s="778">
        <v>200</v>
      </c>
      <c r="G87" s="763">
        <v>48.46</v>
      </c>
      <c r="H87" s="763">
        <v>17.809999999999999</v>
      </c>
      <c r="I87" s="763">
        <v>15.88</v>
      </c>
      <c r="J87" s="779">
        <v>1.2000000000000002</v>
      </c>
      <c r="K87" s="779">
        <v>1.7000000000000002</v>
      </c>
      <c r="L87" s="766">
        <v>16.399999999999999</v>
      </c>
      <c r="M87" s="766">
        <v>13.97</v>
      </c>
      <c r="N87" s="767">
        <v>39.83</v>
      </c>
      <c r="O87" s="768">
        <v>50.143999999999998</v>
      </c>
      <c r="P87" s="769"/>
      <c r="Q87" s="770">
        <v>2.4299999999999979</v>
      </c>
      <c r="R87" s="768">
        <v>2.7628892191894652</v>
      </c>
      <c r="S87" s="768">
        <v>8.679870667891873E-2</v>
      </c>
      <c r="T87" s="774">
        <v>2.2188189293919679E-3</v>
      </c>
      <c r="U87" s="774">
        <v>0.20209591963877011</v>
      </c>
      <c r="V87" s="774">
        <v>3.4631476839674491E-2</v>
      </c>
      <c r="W87" s="775">
        <v>0.5583686376121384</v>
      </c>
      <c r="X87" s="771">
        <v>45070</v>
      </c>
      <c r="Y87" s="773"/>
    </row>
    <row r="88" spans="1:25">
      <c r="A88" s="762" t="s">
        <v>1152</v>
      </c>
      <c r="B88" s="762" t="s">
        <v>1153</v>
      </c>
      <c r="C88" s="763">
        <v>14.261538999999999</v>
      </c>
      <c r="D88" s="764">
        <v>1.6506410879629628E-4</v>
      </c>
      <c r="E88" s="765">
        <v>3.5765472222222219E-4</v>
      </c>
      <c r="F88" s="778">
        <v>200</v>
      </c>
      <c r="G88" s="763">
        <v>48.5</v>
      </c>
      <c r="H88" s="763">
        <v>15.88</v>
      </c>
      <c r="I88" s="763">
        <v>14.11</v>
      </c>
      <c r="J88" s="779">
        <v>2.2000000000000002</v>
      </c>
      <c r="K88" s="779">
        <v>2.5999999999999988</v>
      </c>
      <c r="L88" s="766">
        <v>13.47</v>
      </c>
      <c r="M88" s="766">
        <v>11.3</v>
      </c>
      <c r="N88" s="767">
        <v>36.49</v>
      </c>
      <c r="O88" s="768">
        <v>44.741999999999997</v>
      </c>
      <c r="P88" s="769"/>
      <c r="Q88" s="770">
        <v>2.17</v>
      </c>
      <c r="R88" s="768">
        <v>2.6098267675654578</v>
      </c>
      <c r="S88" s="768">
        <v>8.1990108943695031E-2</v>
      </c>
      <c r="T88" s="774">
        <v>4.3621691302768483E-3</v>
      </c>
      <c r="U88" s="774">
        <v>0.248750902209837</v>
      </c>
      <c r="V88" s="774">
        <v>4.758647376698999E-2</v>
      </c>
      <c r="W88" s="775">
        <v>0.64919676304329021</v>
      </c>
      <c r="X88" s="771">
        <v>22925</v>
      </c>
      <c r="Y88" s="772"/>
    </row>
    <row r="89" spans="1:25">
      <c r="A89" s="762" t="s">
        <v>1153</v>
      </c>
      <c r="B89" s="762" t="s">
        <v>1108</v>
      </c>
      <c r="C89" s="763">
        <v>2.3700890000000001</v>
      </c>
      <c r="D89" s="764">
        <v>2.743158564814815E-5</v>
      </c>
      <c r="E89" s="765">
        <v>4.9490756944444434E-4</v>
      </c>
      <c r="F89" s="778">
        <v>200</v>
      </c>
      <c r="G89" s="763">
        <v>46.5</v>
      </c>
      <c r="H89" s="763">
        <v>14.11</v>
      </c>
      <c r="I89" s="763">
        <v>13.85</v>
      </c>
      <c r="J89" s="779">
        <v>3.1499999999999995</v>
      </c>
      <c r="K89" s="779">
        <v>4.8899999999999997</v>
      </c>
      <c r="L89" s="766">
        <v>10.75</v>
      </c>
      <c r="M89" s="766">
        <v>8.75</v>
      </c>
      <c r="N89" s="767">
        <v>5.59</v>
      </c>
      <c r="O89" s="768">
        <v>43.011000000000003</v>
      </c>
      <c r="P89" s="769"/>
      <c r="Q89" s="770">
        <v>2</v>
      </c>
      <c r="R89" s="768">
        <v>2.5588436727658435</v>
      </c>
      <c r="S89" s="768">
        <v>8.0388428116117933E-2</v>
      </c>
      <c r="T89" s="774">
        <v>6.1564528756498354E-3</v>
      </c>
      <c r="U89" s="774">
        <v>0.27552793734531394</v>
      </c>
      <c r="V89" s="774">
        <v>5.5691383672525296E-2</v>
      </c>
      <c r="W89" s="775">
        <v>0.7050329191462803</v>
      </c>
      <c r="X89" s="771">
        <v>16244</v>
      </c>
      <c r="Y89" s="772"/>
    </row>
    <row r="90" spans="1:25">
      <c r="A90" s="762" t="s">
        <v>1154</v>
      </c>
      <c r="B90" s="762" t="s">
        <v>1153</v>
      </c>
      <c r="C90" s="763">
        <v>9.4885570000000001</v>
      </c>
      <c r="D90" s="764">
        <v>1.0982126157407408E-4</v>
      </c>
      <c r="E90" s="765">
        <v>1.0982126157407408E-4</v>
      </c>
      <c r="F90" s="778">
        <v>200</v>
      </c>
      <c r="G90" s="763">
        <v>35.78</v>
      </c>
      <c r="H90" s="763">
        <v>14.14</v>
      </c>
      <c r="I90" s="763">
        <v>14.11</v>
      </c>
      <c r="J90" s="779">
        <v>1.2000000000000002</v>
      </c>
      <c r="K90" s="779">
        <v>2.5999999999999988</v>
      </c>
      <c r="L90" s="766">
        <v>12.73</v>
      </c>
      <c r="M90" s="766">
        <v>11.3</v>
      </c>
      <c r="N90" s="767">
        <v>0.84</v>
      </c>
      <c r="O90" s="768">
        <v>39.966000000000001</v>
      </c>
      <c r="P90" s="769"/>
      <c r="Q90" s="770">
        <v>1.4299999999999997</v>
      </c>
      <c r="R90" s="768">
        <v>2.4666034035070643</v>
      </c>
      <c r="S90" s="768">
        <v>7.7490615196305665E-2</v>
      </c>
      <c r="T90" s="774">
        <v>1.4172201536388081E-3</v>
      </c>
      <c r="U90" s="774">
        <v>0.17677013609799341</v>
      </c>
      <c r="V90" s="774">
        <v>2.8243917985903196E-2</v>
      </c>
      <c r="W90" s="775">
        <v>0.4360218193377175</v>
      </c>
      <c r="X90" s="771">
        <v>70561</v>
      </c>
      <c r="Y90" s="773"/>
    </row>
    <row r="91" spans="1:25">
      <c r="A91" s="762" t="s">
        <v>1155</v>
      </c>
      <c r="B91" s="762" t="s">
        <v>1086</v>
      </c>
      <c r="C91" s="763">
        <v>140.80000000000001</v>
      </c>
      <c r="D91" s="764">
        <v>1.6296296296296297E-3</v>
      </c>
      <c r="E91" s="765">
        <v>1.6296296296296297E-3</v>
      </c>
      <c r="F91" s="778">
        <v>200</v>
      </c>
      <c r="G91" s="763">
        <v>39.270000000000003</v>
      </c>
      <c r="H91" s="763">
        <v>20.28</v>
      </c>
      <c r="I91" s="763">
        <v>21.56</v>
      </c>
      <c r="J91" s="779">
        <v>2.8000000000000016</v>
      </c>
      <c r="K91" s="779">
        <v>6.3699999999999983</v>
      </c>
      <c r="L91" s="766">
        <v>17.27</v>
      </c>
      <c r="M91" s="766">
        <v>14.98</v>
      </c>
      <c r="N91" s="767">
        <v>-32.590000000000003</v>
      </c>
      <c r="O91" s="768">
        <v>58.314</v>
      </c>
      <c r="P91" s="769"/>
      <c r="Q91" s="770">
        <v>2.2899999999999991</v>
      </c>
      <c r="R91" s="768">
        <v>2.9794794931448836</v>
      </c>
      <c r="S91" s="768">
        <v>9.3603089398280229E-2</v>
      </c>
      <c r="T91" s="774">
        <v>1.7409998324901133E-2</v>
      </c>
      <c r="U91" s="774">
        <v>0.37963414062573825</v>
      </c>
      <c r="V91" s="774">
        <v>9.1679222419159767E-2</v>
      </c>
      <c r="W91" s="775">
        <v>1.131112136892068</v>
      </c>
      <c r="X91" s="771">
        <v>5744</v>
      </c>
      <c r="Y91" s="772"/>
    </row>
    <row r="92" spans="1:25">
      <c r="A92" s="762" t="s">
        <v>1156</v>
      </c>
      <c r="B92" s="762" t="s">
        <v>1093</v>
      </c>
      <c r="C92" s="763">
        <v>326.29427700000002</v>
      </c>
      <c r="D92" s="764">
        <v>3.7765541319444446E-3</v>
      </c>
      <c r="E92" s="765">
        <v>3.7765541319444446E-3</v>
      </c>
      <c r="F92" s="778">
        <v>300</v>
      </c>
      <c r="G92" s="763">
        <v>5</v>
      </c>
      <c r="H92" s="763">
        <v>20.18</v>
      </c>
      <c r="I92" s="763">
        <v>20.02</v>
      </c>
      <c r="J92" s="779">
        <v>4.5129999999999999</v>
      </c>
      <c r="K92" s="779">
        <v>4.5129999999999999</v>
      </c>
      <c r="L92" s="766">
        <v>15.35</v>
      </c>
      <c r="M92" s="766">
        <v>15.19</v>
      </c>
      <c r="N92" s="767">
        <v>32</v>
      </c>
      <c r="O92" s="768">
        <v>32</v>
      </c>
      <c r="P92" s="769"/>
      <c r="Q92" s="770">
        <v>0.16000000000000014</v>
      </c>
      <c r="R92" s="768">
        <v>2.8921655336558691</v>
      </c>
      <c r="S92" s="768">
        <v>0.20443509232220272</v>
      </c>
      <c r="T92" s="774">
        <v>1.8473120681220204E-2</v>
      </c>
      <c r="U92" s="774">
        <v>0.38560761430042056</v>
      </c>
      <c r="V92" s="774">
        <v>9.3958236554096075E-2</v>
      </c>
      <c r="W92" s="775">
        <v>1.1152410515949425</v>
      </c>
      <c r="X92" s="771">
        <v>5414</v>
      </c>
      <c r="Y92" s="772"/>
    </row>
    <row r="93" spans="1:25">
      <c r="A93" s="762" t="s">
        <v>1157</v>
      </c>
      <c r="B93" s="762" t="s">
        <v>1100</v>
      </c>
      <c r="C93" s="763">
        <v>500.19260300000002</v>
      </c>
      <c r="D93" s="764">
        <v>5.7892662384259261E-3</v>
      </c>
      <c r="E93" s="765">
        <v>5.7892662384259261E-3</v>
      </c>
      <c r="F93" s="778">
        <v>300</v>
      </c>
      <c r="G93" s="763">
        <v>5</v>
      </c>
      <c r="H93" s="763">
        <v>19.32</v>
      </c>
      <c r="I93" s="763">
        <v>19.18</v>
      </c>
      <c r="J93" s="779">
        <v>4.7129999999999992</v>
      </c>
      <c r="K93" s="779">
        <v>4.7129999999999992</v>
      </c>
      <c r="L93" s="766">
        <v>14.290000000000001</v>
      </c>
      <c r="M93" s="766">
        <v>14.15</v>
      </c>
      <c r="N93" s="767">
        <v>28</v>
      </c>
      <c r="O93" s="768">
        <v>28</v>
      </c>
      <c r="P93" s="769"/>
      <c r="Q93" s="770">
        <v>0.14000000000000057</v>
      </c>
      <c r="R93" s="768">
        <v>2.70537313319412</v>
      </c>
      <c r="S93" s="768">
        <v>0.19123151832579557</v>
      </c>
      <c r="T93" s="774">
        <v>3.0273598667783005E-2</v>
      </c>
      <c r="U93" s="774">
        <v>0.44749030195527761</v>
      </c>
      <c r="V93" s="774">
        <v>0.11894819559812995</v>
      </c>
      <c r="W93" s="775">
        <v>1.2106282402747321</v>
      </c>
      <c r="X93" s="771">
        <v>3304</v>
      </c>
      <c r="Y93" s="772"/>
    </row>
    <row r="94" spans="1:25">
      <c r="A94" s="762" t="s">
        <v>1158</v>
      </c>
      <c r="B94" s="762" t="s">
        <v>1159</v>
      </c>
      <c r="C94" s="763">
        <v>138.803404</v>
      </c>
      <c r="D94" s="764">
        <v>1.6065208796296297E-3</v>
      </c>
      <c r="E94" s="765">
        <v>1.6065208796296297E-3</v>
      </c>
      <c r="F94" s="778">
        <v>300</v>
      </c>
      <c r="G94" s="763">
        <v>7</v>
      </c>
      <c r="H94" s="763">
        <v>19.309999999999999</v>
      </c>
      <c r="I94" s="763">
        <v>19.260000000000002</v>
      </c>
      <c r="J94" s="779">
        <v>3.6229999999999998</v>
      </c>
      <c r="K94" s="779">
        <v>3.8030000000000008</v>
      </c>
      <c r="L94" s="766">
        <v>15.37</v>
      </c>
      <c r="M94" s="766">
        <v>15.14</v>
      </c>
      <c r="N94" s="767">
        <v>7.14</v>
      </c>
      <c r="O94" s="768">
        <v>32.856999999999999</v>
      </c>
      <c r="P94" s="769"/>
      <c r="Q94" s="770">
        <v>0.22999999999999865</v>
      </c>
      <c r="R94" s="768">
        <v>2.9306375574129415</v>
      </c>
      <c r="S94" s="768">
        <v>0.20715451886853084</v>
      </c>
      <c r="T94" s="774">
        <v>7.7551814384951793E-3</v>
      </c>
      <c r="U94" s="774">
        <v>0.29682884298978579</v>
      </c>
      <c r="V94" s="774">
        <v>6.2478774869423388E-2</v>
      </c>
      <c r="W94" s="775">
        <v>0.86989775538929537</v>
      </c>
      <c r="X94" s="771">
        <v>12895</v>
      </c>
      <c r="Y94" s="773"/>
    </row>
    <row r="95" spans="1:25">
      <c r="A95" s="762" t="s">
        <v>1159</v>
      </c>
      <c r="B95" s="762" t="s">
        <v>1160</v>
      </c>
      <c r="C95" s="763">
        <v>24.59919</v>
      </c>
      <c r="D95" s="764">
        <v>2.8471284722222224E-4</v>
      </c>
      <c r="E95" s="765">
        <v>1.8912337268518519E-3</v>
      </c>
      <c r="F95" s="778">
        <v>300</v>
      </c>
      <c r="G95" s="763">
        <v>59.99</v>
      </c>
      <c r="H95" s="763">
        <v>19.260000000000002</v>
      </c>
      <c r="I95" s="763">
        <v>17.78</v>
      </c>
      <c r="J95" s="779">
        <v>5.2030000000000012</v>
      </c>
      <c r="K95" s="779">
        <v>5.7030000000000012</v>
      </c>
      <c r="L95" s="766">
        <v>13.74</v>
      </c>
      <c r="M95" s="766">
        <v>11.76</v>
      </c>
      <c r="N95" s="767">
        <v>24.67</v>
      </c>
      <c r="O95" s="768">
        <v>33.006</v>
      </c>
      <c r="P95" s="769"/>
      <c r="Q95" s="770">
        <v>1.9800000000000004</v>
      </c>
      <c r="R95" s="768">
        <v>2.9372749720885714</v>
      </c>
      <c r="S95" s="768">
        <v>0.20762368996755776</v>
      </c>
      <c r="T95" s="774">
        <v>9.1089495960088498E-3</v>
      </c>
      <c r="U95" s="774">
        <v>0.310485895379704</v>
      </c>
      <c r="V95" s="774">
        <v>6.6987298107780202E-2</v>
      </c>
      <c r="W95" s="775">
        <v>0.91198244968531517</v>
      </c>
      <c r="X95" s="771">
        <v>10979</v>
      </c>
      <c r="Y95" s="772"/>
    </row>
    <row r="96" spans="1:25">
      <c r="A96" s="762" t="s">
        <v>1160</v>
      </c>
      <c r="B96" s="762" t="s">
        <v>1161</v>
      </c>
      <c r="C96" s="763">
        <v>0</v>
      </c>
      <c r="D96" s="764">
        <v>0</v>
      </c>
      <c r="E96" s="765">
        <v>1.8912337268518519E-3</v>
      </c>
      <c r="F96" s="778">
        <v>300</v>
      </c>
      <c r="G96" s="763">
        <v>9.9</v>
      </c>
      <c r="H96" s="763">
        <v>17.78</v>
      </c>
      <c r="I96" s="763">
        <v>14.72</v>
      </c>
      <c r="J96" s="779">
        <v>7.1030000000000015</v>
      </c>
      <c r="K96" s="779">
        <v>4.3730000000000011</v>
      </c>
      <c r="L96" s="766">
        <v>10.36</v>
      </c>
      <c r="M96" s="766">
        <v>10.029999999999999</v>
      </c>
      <c r="N96" s="767">
        <v>309.08999999999997</v>
      </c>
      <c r="O96" s="768">
        <v>33.332999999999998</v>
      </c>
      <c r="P96" s="769"/>
      <c r="Q96" s="770">
        <v>0.33000000000000007</v>
      </c>
      <c r="R96" s="768">
        <v>2.9517893280764529</v>
      </c>
      <c r="S96" s="768">
        <v>0.20864964912233311</v>
      </c>
      <c r="T96" s="774">
        <v>9.0641596322215967E-3</v>
      </c>
      <c r="U96" s="774">
        <v>0.310485895379704</v>
      </c>
      <c r="V96" s="774">
        <v>6.6987298107780202E-2</v>
      </c>
      <c r="W96" s="775">
        <v>0.91648895250007234</v>
      </c>
      <c r="X96" s="771">
        <v>11033</v>
      </c>
      <c r="Y96" s="772"/>
    </row>
    <row r="97" spans="1:25">
      <c r="A97" s="762" t="s">
        <v>1161</v>
      </c>
      <c r="B97" s="762" t="s">
        <v>1162</v>
      </c>
      <c r="C97" s="763">
        <v>0</v>
      </c>
      <c r="D97" s="764">
        <v>0</v>
      </c>
      <c r="E97" s="765">
        <v>1.8912337268518519E-3</v>
      </c>
      <c r="F97" s="778">
        <v>300</v>
      </c>
      <c r="G97" s="763">
        <v>25.89</v>
      </c>
      <c r="H97" s="763">
        <v>14.72</v>
      </c>
      <c r="I97" s="763">
        <v>12.74</v>
      </c>
      <c r="J97" s="779">
        <v>5.7729999999999997</v>
      </c>
      <c r="K97" s="779">
        <v>3.843</v>
      </c>
      <c r="L97" s="766">
        <v>8.6300000000000008</v>
      </c>
      <c r="M97" s="766">
        <v>8.58</v>
      </c>
      <c r="N97" s="767">
        <v>76.48</v>
      </c>
      <c r="O97" s="768">
        <v>1.931</v>
      </c>
      <c r="P97" s="769"/>
      <c r="Q97" s="770">
        <v>5.0000000000000711E-2</v>
      </c>
      <c r="R97" s="768">
        <v>0.71045944787561721</v>
      </c>
      <c r="S97" s="768">
        <v>5.0219408649835262E-2</v>
      </c>
      <c r="T97" s="774">
        <v>3.7659418493731223E-2</v>
      </c>
      <c r="U97" s="774">
        <v>0.47741679704951995</v>
      </c>
      <c r="V97" s="774">
        <v>0.13195145644013151</v>
      </c>
      <c r="W97" s="775">
        <v>0.33918527403834753</v>
      </c>
      <c r="X97" s="771">
        <v>2656</v>
      </c>
      <c r="Y97" s="773"/>
    </row>
    <row r="98" spans="1:25">
      <c r="A98" s="762" t="s">
        <v>1162</v>
      </c>
      <c r="B98" s="762" t="s">
        <v>1163</v>
      </c>
      <c r="C98" s="763">
        <v>0</v>
      </c>
      <c r="D98" s="764">
        <v>0</v>
      </c>
      <c r="E98" s="765">
        <v>1.8912337268518519E-3</v>
      </c>
      <c r="F98" s="778">
        <v>300</v>
      </c>
      <c r="G98" s="763">
        <v>8.49</v>
      </c>
      <c r="H98" s="763">
        <v>12.74</v>
      </c>
      <c r="I98" s="763">
        <v>15.97</v>
      </c>
      <c r="J98" s="779">
        <v>3.843</v>
      </c>
      <c r="K98" s="779">
        <v>7.093</v>
      </c>
      <c r="L98" s="766">
        <v>8.58</v>
      </c>
      <c r="M98" s="766">
        <v>8.56</v>
      </c>
      <c r="N98" s="767">
        <v>-380.45</v>
      </c>
      <c r="O98" s="768">
        <v>2.3559999999999999</v>
      </c>
      <c r="P98" s="769"/>
      <c r="Q98" s="770">
        <v>1.9999999999999574E-2</v>
      </c>
      <c r="R98" s="768">
        <v>0.78475808758379695</v>
      </c>
      <c r="S98" s="768">
        <v>5.5471268922492503E-2</v>
      </c>
      <c r="T98" s="774">
        <v>3.4093933014122814E-2</v>
      </c>
      <c r="U98" s="774">
        <v>0.46345995091892328</v>
      </c>
      <c r="V98" s="774">
        <v>0.12581140469766877</v>
      </c>
      <c r="W98" s="775">
        <v>0.36370394475481466</v>
      </c>
      <c r="X98" s="771">
        <v>2934</v>
      </c>
      <c r="Y98" s="772"/>
    </row>
    <row r="99" spans="1:25">
      <c r="A99" s="762" t="s">
        <v>1163</v>
      </c>
      <c r="B99" s="762" t="s">
        <v>1107</v>
      </c>
      <c r="C99" s="763">
        <v>0</v>
      </c>
      <c r="D99" s="764">
        <v>0</v>
      </c>
      <c r="E99" s="765">
        <v>1.8912337268518519E-3</v>
      </c>
      <c r="F99" s="778">
        <v>300</v>
      </c>
      <c r="G99" s="763">
        <v>49.27</v>
      </c>
      <c r="H99" s="763">
        <v>15.97</v>
      </c>
      <c r="I99" s="763">
        <v>13.8</v>
      </c>
      <c r="J99" s="779">
        <v>7.093</v>
      </c>
      <c r="K99" s="779">
        <v>5.043000000000001</v>
      </c>
      <c r="L99" s="766">
        <v>8.56</v>
      </c>
      <c r="M99" s="766">
        <v>8.44</v>
      </c>
      <c r="N99" s="767">
        <v>44.04</v>
      </c>
      <c r="O99" s="768">
        <v>2.4359999999999999</v>
      </c>
      <c r="P99" s="769"/>
      <c r="Q99" s="770">
        <v>0.12000000000000099</v>
      </c>
      <c r="R99" s="768">
        <v>0.7979704316034183</v>
      </c>
      <c r="S99" s="768">
        <v>5.640519429364154E-2</v>
      </c>
      <c r="T99" s="774">
        <v>3.3529424914418696E-2</v>
      </c>
      <c r="U99" s="774">
        <v>0.4614646639784829</v>
      </c>
      <c r="V99" s="774">
        <v>0.12494446518476898</v>
      </c>
      <c r="W99" s="775">
        <v>0.36823515708463639</v>
      </c>
      <c r="X99" s="771">
        <v>2983</v>
      </c>
      <c r="Y99" s="772"/>
    </row>
    <row r="100" spans="1:25">
      <c r="A100" s="762" t="s">
        <v>1164</v>
      </c>
      <c r="B100" s="762" t="s">
        <v>1111</v>
      </c>
      <c r="C100" s="763">
        <v>412.50086499999998</v>
      </c>
      <c r="D100" s="764">
        <v>4.7743155671296292E-3</v>
      </c>
      <c r="E100" s="765">
        <v>4.7743155671296292E-3</v>
      </c>
      <c r="F100" s="778">
        <v>300</v>
      </c>
      <c r="G100" s="763">
        <v>5</v>
      </c>
      <c r="H100" s="763">
        <v>13.19</v>
      </c>
      <c r="I100" s="763">
        <v>12.26</v>
      </c>
      <c r="J100" s="779">
        <v>3.2129999999999996</v>
      </c>
      <c r="K100" s="779">
        <v>2.4430000000000001</v>
      </c>
      <c r="L100" s="766">
        <v>9.66</v>
      </c>
      <c r="M100" s="766">
        <v>9.5</v>
      </c>
      <c r="N100" s="767">
        <v>186</v>
      </c>
      <c r="O100" s="768">
        <v>32</v>
      </c>
      <c r="P100" s="769"/>
      <c r="Q100" s="770">
        <v>0.16000000000000014</v>
      </c>
      <c r="R100" s="768">
        <v>2.8921655336558691</v>
      </c>
      <c r="S100" s="768">
        <v>0.20443509232220272</v>
      </c>
      <c r="T100" s="774">
        <v>2.3353698784771275E-2</v>
      </c>
      <c r="U100" s="774">
        <v>0.41353383428085311</v>
      </c>
      <c r="V100" s="774">
        <v>0.10492249381215386</v>
      </c>
      <c r="W100" s="775">
        <v>1.1960083025076413</v>
      </c>
      <c r="X100" s="771">
        <v>4282</v>
      </c>
      <c r="Y100" s="773"/>
    </row>
    <row r="101" spans="1:25">
      <c r="A101" s="762" t="s">
        <v>1165</v>
      </c>
      <c r="B101" s="762" t="s">
        <v>1115</v>
      </c>
      <c r="C101" s="763">
        <v>444.09537900000004</v>
      </c>
      <c r="D101" s="764">
        <v>5.1399928125000008E-3</v>
      </c>
      <c r="E101" s="765">
        <v>5.1399928125000008E-3</v>
      </c>
      <c r="F101" s="778">
        <v>300</v>
      </c>
      <c r="G101" s="763">
        <v>6.14</v>
      </c>
      <c r="H101" s="763">
        <v>13.29</v>
      </c>
      <c r="I101" s="763">
        <v>13.1</v>
      </c>
      <c r="J101" s="779">
        <v>3.8729999999999993</v>
      </c>
      <c r="K101" s="779">
        <v>3.8929999999999989</v>
      </c>
      <c r="L101" s="766">
        <v>9.1</v>
      </c>
      <c r="M101" s="766">
        <v>8.89</v>
      </c>
      <c r="N101" s="767">
        <v>30.94</v>
      </c>
      <c r="O101" s="768">
        <v>34.201999999999998</v>
      </c>
      <c r="P101" s="769"/>
      <c r="Q101" s="770">
        <v>0.20999999999999908</v>
      </c>
      <c r="R101" s="768">
        <v>2.9900187272408791</v>
      </c>
      <c r="S101" s="768">
        <v>0.21135192555037788</v>
      </c>
      <c r="T101" s="774">
        <v>2.4319593015843289E-2</v>
      </c>
      <c r="U101" s="774">
        <v>0.41952502246471718</v>
      </c>
      <c r="V101" s="774">
        <v>0.10734153455962653</v>
      </c>
      <c r="W101" s="775">
        <v>1.254387673715655</v>
      </c>
      <c r="X101" s="771">
        <v>4112</v>
      </c>
      <c r="Y101" s="772"/>
    </row>
    <row r="102" spans="1:25">
      <c r="A102" s="762" t="s">
        <v>1166</v>
      </c>
      <c r="B102" s="762" t="s">
        <v>1167</v>
      </c>
      <c r="C102" s="763">
        <v>15.553198999999999</v>
      </c>
      <c r="D102" s="764">
        <v>1.8001387731481482E-4</v>
      </c>
      <c r="E102" s="765">
        <v>1.8001387731481482E-4</v>
      </c>
      <c r="F102" s="778">
        <v>200</v>
      </c>
      <c r="G102" s="763">
        <v>38.799999999999997</v>
      </c>
      <c r="H102" s="763">
        <v>13.33</v>
      </c>
      <c r="I102" s="763">
        <v>14.5</v>
      </c>
      <c r="J102" s="779">
        <v>1.0000000000000009</v>
      </c>
      <c r="K102" s="779">
        <v>2.5200000000000005</v>
      </c>
      <c r="L102" s="766">
        <v>12.12</v>
      </c>
      <c r="M102" s="766">
        <v>11.77</v>
      </c>
      <c r="N102" s="767">
        <v>-30.15</v>
      </c>
      <c r="O102" s="768">
        <v>9.0210000000000008</v>
      </c>
      <c r="P102" s="769"/>
      <c r="Q102" s="770">
        <v>0.34999999999999964</v>
      </c>
      <c r="R102" s="768">
        <v>1.1718750982234221</v>
      </c>
      <c r="S102" s="768">
        <v>3.6815534335779179E-2</v>
      </c>
      <c r="T102" s="774">
        <v>4.889617400985766E-3</v>
      </c>
      <c r="U102" s="774">
        <v>0.25826714497728187</v>
      </c>
      <c r="V102" s="774">
        <v>5.0411872495954579E-2</v>
      </c>
      <c r="W102" s="775">
        <v>0.30265683588813497</v>
      </c>
      <c r="X102" s="771">
        <v>20452</v>
      </c>
      <c r="Y102" s="772"/>
    </row>
    <row r="103" spans="1:25">
      <c r="A103" s="762" t="s">
        <v>1167</v>
      </c>
      <c r="B103" s="762" t="s">
        <v>1168</v>
      </c>
      <c r="C103" s="763">
        <v>11.653905</v>
      </c>
      <c r="D103" s="764">
        <v>1.3488315972222221E-4</v>
      </c>
      <c r="E103" s="765">
        <v>3.1489703703703703E-4</v>
      </c>
      <c r="F103" s="778">
        <v>200</v>
      </c>
      <c r="G103" s="763">
        <v>15.82</v>
      </c>
      <c r="H103" s="763">
        <v>14.5</v>
      </c>
      <c r="I103" s="763">
        <v>15.04</v>
      </c>
      <c r="J103" s="779">
        <v>2.5200000000000005</v>
      </c>
      <c r="K103" s="779">
        <v>3.1499999999999995</v>
      </c>
      <c r="L103" s="766">
        <v>11.77</v>
      </c>
      <c r="M103" s="766">
        <v>11.68</v>
      </c>
      <c r="N103" s="767">
        <v>-34.130000000000003</v>
      </c>
      <c r="O103" s="768">
        <v>5.6890000000000001</v>
      </c>
      <c r="P103" s="769"/>
      <c r="Q103" s="770">
        <v>8.9999999999999858E-2</v>
      </c>
      <c r="R103" s="768">
        <v>0.93061907760028328</v>
      </c>
      <c r="S103" s="768">
        <v>2.9236254492364295E-2</v>
      </c>
      <c r="T103" s="774">
        <v>1.0770772197214232E-2</v>
      </c>
      <c r="U103" s="774">
        <v>0.32814478915475137</v>
      </c>
      <c r="V103" s="774">
        <v>7.2997430557449894E-2</v>
      </c>
      <c r="W103" s="775">
        <v>0.30537780100253414</v>
      </c>
      <c r="X103" s="771">
        <v>9285</v>
      </c>
      <c r="Y103" s="772"/>
    </row>
    <row r="104" spans="1:25">
      <c r="A104" s="762" t="s">
        <v>1168</v>
      </c>
      <c r="B104" s="762" t="s">
        <v>1169</v>
      </c>
      <c r="C104" s="763">
        <v>3.8846349999999998</v>
      </c>
      <c r="D104" s="764">
        <v>4.496105324074074E-5</v>
      </c>
      <c r="E104" s="765">
        <v>3.5985809027777778E-4</v>
      </c>
      <c r="F104" s="778">
        <v>200</v>
      </c>
      <c r="G104" s="763">
        <v>35.33</v>
      </c>
      <c r="H104" s="763">
        <v>15.04</v>
      </c>
      <c r="I104" s="763">
        <v>13.61</v>
      </c>
      <c r="J104" s="779">
        <v>3.1499999999999995</v>
      </c>
      <c r="K104" s="779">
        <v>1.8999999999999997</v>
      </c>
      <c r="L104" s="766">
        <v>11.68</v>
      </c>
      <c r="M104" s="766">
        <v>11.5</v>
      </c>
      <c r="N104" s="767">
        <v>40.479999999999997</v>
      </c>
      <c r="O104" s="768">
        <v>5.0949999999999998</v>
      </c>
      <c r="P104" s="769"/>
      <c r="Q104" s="770">
        <v>0.17999999999999972</v>
      </c>
      <c r="R104" s="768">
        <v>0.880696110982501</v>
      </c>
      <c r="S104" s="768">
        <v>2.7667878566937382E-2</v>
      </c>
      <c r="T104" s="774">
        <v>1.3006349200469664E-2</v>
      </c>
      <c r="U104" s="774">
        <v>0.34589920566368554</v>
      </c>
      <c r="V104" s="774">
        <v>7.9244609027346313E-2</v>
      </c>
      <c r="W104" s="775">
        <v>0.30463208521994412</v>
      </c>
      <c r="X104" s="771">
        <v>7689</v>
      </c>
      <c r="Y104" s="773"/>
    </row>
    <row r="105" spans="1:25">
      <c r="A105" s="762" t="s">
        <v>1169</v>
      </c>
      <c r="B105" s="762" t="s">
        <v>1170</v>
      </c>
      <c r="C105" s="763">
        <v>47.792896000000013</v>
      </c>
      <c r="D105" s="764">
        <v>5.531585185185187E-4</v>
      </c>
      <c r="E105" s="765">
        <v>9.1301660879629647E-4</v>
      </c>
      <c r="F105" s="778">
        <v>200</v>
      </c>
      <c r="G105" s="763">
        <v>52.6</v>
      </c>
      <c r="H105" s="763">
        <v>13.61</v>
      </c>
      <c r="I105" s="763">
        <v>12.97</v>
      </c>
      <c r="J105" s="779">
        <v>1.8999999999999997</v>
      </c>
      <c r="K105" s="779">
        <v>1.4200000000000008</v>
      </c>
      <c r="L105" s="766">
        <v>11.5</v>
      </c>
      <c r="M105" s="766">
        <v>11.34</v>
      </c>
      <c r="N105" s="767">
        <v>12.17</v>
      </c>
      <c r="O105" s="768">
        <v>3.0419999999999998</v>
      </c>
      <c r="P105" s="769"/>
      <c r="Q105" s="770">
        <v>0.16000000000000014</v>
      </c>
      <c r="R105" s="768">
        <v>0.68050855493629914</v>
      </c>
      <c r="S105" s="768">
        <v>2.1378802321194382E-2</v>
      </c>
      <c r="T105" s="774">
        <v>4.2706630384582202E-2</v>
      </c>
      <c r="U105" s="774">
        <v>0.49532712269923423</v>
      </c>
      <c r="V105" s="774">
        <v>0.14002713492775515</v>
      </c>
      <c r="W105" s="775">
        <v>0.33707434448881085</v>
      </c>
      <c r="X105" s="771">
        <v>2342</v>
      </c>
      <c r="Y105" s="772"/>
    </row>
    <row r="106" spans="1:25">
      <c r="A106" s="762" t="s">
        <v>1170</v>
      </c>
      <c r="B106" s="762" t="s">
        <v>1171</v>
      </c>
      <c r="C106" s="763">
        <v>23.278492</v>
      </c>
      <c r="D106" s="764">
        <v>2.6942699074074071E-4</v>
      </c>
      <c r="E106" s="765">
        <v>4.0013407627314812E-2</v>
      </c>
      <c r="F106" s="778">
        <v>300</v>
      </c>
      <c r="G106" s="763">
        <v>51.2</v>
      </c>
      <c r="H106" s="763">
        <v>12.97</v>
      </c>
      <c r="I106" s="763">
        <v>13</v>
      </c>
      <c r="J106" s="779">
        <v>1.3230000000000006</v>
      </c>
      <c r="K106" s="779">
        <v>1.603</v>
      </c>
      <c r="L106" s="766">
        <v>11.33</v>
      </c>
      <c r="M106" s="766">
        <v>11.08</v>
      </c>
      <c r="N106" s="767">
        <v>-0.59</v>
      </c>
      <c r="O106" s="768">
        <v>4.883</v>
      </c>
      <c r="P106" s="769"/>
      <c r="Q106" s="770">
        <v>0.25</v>
      </c>
      <c r="R106" s="768">
        <v>1.1297738526175944</v>
      </c>
      <c r="S106" s="768">
        <v>7.9858991186833816E-2</v>
      </c>
      <c r="T106" s="774">
        <v>0.50105075249074449</v>
      </c>
      <c r="U106" s="774">
        <v>1.0000000000000044</v>
      </c>
      <c r="V106" s="774">
        <v>0.50000000000000488</v>
      </c>
      <c r="W106" s="775">
        <v>1.1297738526175995</v>
      </c>
      <c r="X106" s="771">
        <v>200</v>
      </c>
      <c r="Y106" s="772"/>
    </row>
    <row r="107" spans="1:25">
      <c r="A107" s="762" t="s">
        <v>1171</v>
      </c>
      <c r="B107" s="762" t="s">
        <v>1172</v>
      </c>
      <c r="C107" s="763">
        <v>31.751393999999998</v>
      </c>
      <c r="D107" s="764">
        <v>3.6749298611111109E-4</v>
      </c>
      <c r="E107" s="765">
        <v>4.0380900613425925E-2</v>
      </c>
      <c r="F107" s="778">
        <v>300</v>
      </c>
      <c r="G107" s="763">
        <v>52.96</v>
      </c>
      <c r="H107" s="763">
        <v>13</v>
      </c>
      <c r="I107" s="763">
        <v>11.11</v>
      </c>
      <c r="J107" s="779">
        <v>2.1630000000000007</v>
      </c>
      <c r="K107" s="779">
        <v>1.0030000000000003</v>
      </c>
      <c r="L107" s="766">
        <v>10.52</v>
      </c>
      <c r="M107" s="766">
        <v>9.7899999999999991</v>
      </c>
      <c r="N107" s="767">
        <v>35.69</v>
      </c>
      <c r="O107" s="768">
        <v>13.784000000000001</v>
      </c>
      <c r="P107" s="769"/>
      <c r="Q107" s="770">
        <v>0.73000000000000043</v>
      </c>
      <c r="R107" s="768">
        <v>1.8981729899970481</v>
      </c>
      <c r="S107" s="768">
        <v>0.13417391429979314</v>
      </c>
      <c r="T107" s="774">
        <v>0.30095939903191882</v>
      </c>
      <c r="U107" s="774">
        <v>0.8742561751978889</v>
      </c>
      <c r="V107" s="774">
        <v>0.37565505641757263</v>
      </c>
      <c r="W107" s="775">
        <v>1.6594894580987598</v>
      </c>
      <c r="X107" s="771">
        <v>333</v>
      </c>
      <c r="Y107" s="773"/>
    </row>
    <row r="108" spans="1:25">
      <c r="A108" s="762" t="s">
        <v>1172</v>
      </c>
      <c r="B108" s="762" t="s">
        <v>1173</v>
      </c>
      <c r="C108" s="763">
        <v>7.8718830000000004</v>
      </c>
      <c r="D108" s="764">
        <v>9.1109756944444446E-5</v>
      </c>
      <c r="E108" s="765">
        <v>4.1547682361111109E-2</v>
      </c>
      <c r="F108" s="778">
        <v>300</v>
      </c>
      <c r="G108" s="763">
        <v>27.72</v>
      </c>
      <c r="H108" s="763">
        <v>11.11</v>
      </c>
      <c r="I108" s="763">
        <v>10.25</v>
      </c>
      <c r="J108" s="779">
        <v>1.6830000000000001</v>
      </c>
      <c r="K108" s="779">
        <v>0.98300000000000076</v>
      </c>
      <c r="L108" s="766">
        <v>9.11</v>
      </c>
      <c r="M108" s="766">
        <v>8.9499999999999993</v>
      </c>
      <c r="N108" s="767">
        <v>31.02</v>
      </c>
      <c r="O108" s="768">
        <v>5.7720000000000002</v>
      </c>
      <c r="P108" s="769"/>
      <c r="Q108" s="770">
        <v>0.16000000000000014</v>
      </c>
      <c r="R108" s="768">
        <v>1.228319420340175</v>
      </c>
      <c r="S108" s="768">
        <v>8.6824765448669947E-2</v>
      </c>
      <c r="T108" s="774">
        <v>0.47852340454260994</v>
      </c>
      <c r="U108" s="774">
        <v>0.98867359460461357</v>
      </c>
      <c r="V108" s="774">
        <v>0.48691152584606778</v>
      </c>
      <c r="W108" s="775">
        <v>1.2144069766303762</v>
      </c>
      <c r="X108" s="771">
        <v>209</v>
      </c>
      <c r="Y108" s="773"/>
    </row>
    <row r="109" spans="1:25">
      <c r="A109" s="762" t="s">
        <v>1173</v>
      </c>
      <c r="B109" s="762" t="s">
        <v>1174</v>
      </c>
      <c r="C109" s="763">
        <v>0</v>
      </c>
      <c r="D109" s="764">
        <v>0</v>
      </c>
      <c r="E109" s="765">
        <v>4.1547682361111109E-2</v>
      </c>
      <c r="F109" s="778">
        <v>300</v>
      </c>
      <c r="G109" s="763">
        <v>72</v>
      </c>
      <c r="H109" s="763">
        <v>10.25</v>
      </c>
      <c r="I109" s="763">
        <v>9.5299999999999994</v>
      </c>
      <c r="J109" s="779">
        <v>1.603</v>
      </c>
      <c r="K109" s="779">
        <v>1.7529999999999994</v>
      </c>
      <c r="L109" s="766">
        <v>8.33</v>
      </c>
      <c r="M109" s="766">
        <v>7.46</v>
      </c>
      <c r="N109" s="767">
        <v>10</v>
      </c>
      <c r="O109" s="768">
        <v>12.083</v>
      </c>
      <c r="P109" s="769"/>
      <c r="Q109" s="770">
        <v>0.87000000000000011</v>
      </c>
      <c r="R109" s="768">
        <v>1.7771968910966121</v>
      </c>
      <c r="S109" s="768">
        <v>0.12562261954861473</v>
      </c>
      <c r="T109" s="774">
        <v>0.33073408682607963</v>
      </c>
      <c r="U109" s="774">
        <v>0.89630868704087208</v>
      </c>
      <c r="V109" s="774">
        <v>0.39476412008934791</v>
      </c>
      <c r="W109" s="775">
        <v>1.592917012071924</v>
      </c>
      <c r="X109" s="771">
        <v>303</v>
      </c>
      <c r="Y109" s="772"/>
    </row>
    <row r="110" spans="1:25">
      <c r="A110" s="762" t="s">
        <v>1174</v>
      </c>
      <c r="B110" s="762" t="s">
        <v>1175</v>
      </c>
      <c r="C110" s="763">
        <v>0</v>
      </c>
      <c r="D110" s="764">
        <v>0</v>
      </c>
      <c r="E110" s="765">
        <v>4.1547682361111109E-2</v>
      </c>
      <c r="F110" s="778">
        <v>300</v>
      </c>
      <c r="G110" s="763">
        <v>72</v>
      </c>
      <c r="H110" s="763">
        <v>9.5299999999999994</v>
      </c>
      <c r="I110" s="763">
        <v>9.34</v>
      </c>
      <c r="J110" s="779">
        <v>1.7529999999999994</v>
      </c>
      <c r="K110" s="779">
        <v>1.9529999999999996</v>
      </c>
      <c r="L110" s="766">
        <v>7.46</v>
      </c>
      <c r="M110" s="766">
        <v>7.07</v>
      </c>
      <c r="N110" s="767">
        <v>2.64</v>
      </c>
      <c r="O110" s="768">
        <v>5.4169999999999998</v>
      </c>
      <c r="P110" s="769"/>
      <c r="Q110" s="770">
        <v>0.38999999999999968</v>
      </c>
      <c r="R110" s="768">
        <v>1.1899468807080817</v>
      </c>
      <c r="S110" s="768">
        <v>8.4112371019292934E-2</v>
      </c>
      <c r="T110" s="774">
        <v>0.4939544784866578</v>
      </c>
      <c r="U110" s="774">
        <v>0.99664724219433354</v>
      </c>
      <c r="V110" s="774">
        <v>0.49607304955564896</v>
      </c>
      <c r="W110" s="775">
        <v>1.1859572770154592</v>
      </c>
      <c r="X110" s="771">
        <v>203</v>
      </c>
      <c r="Y110" s="772"/>
    </row>
    <row r="111" spans="1:25">
      <c r="A111" s="762" t="s">
        <v>1175</v>
      </c>
      <c r="B111" s="762" t="s">
        <v>1176</v>
      </c>
      <c r="C111" s="763">
        <v>0</v>
      </c>
      <c r="D111" s="764">
        <v>0</v>
      </c>
      <c r="E111" s="765">
        <v>4.1547682361111109E-2</v>
      </c>
      <c r="F111" s="778">
        <v>300</v>
      </c>
      <c r="G111" s="763">
        <v>72</v>
      </c>
      <c r="H111" s="763">
        <v>9.34</v>
      </c>
      <c r="I111" s="763">
        <v>9.15</v>
      </c>
      <c r="J111" s="779">
        <v>1.9529999999999996</v>
      </c>
      <c r="K111" s="779">
        <v>2.1830000000000003</v>
      </c>
      <c r="L111" s="766">
        <v>7.07</v>
      </c>
      <c r="M111" s="766">
        <v>6.65</v>
      </c>
      <c r="N111" s="767">
        <v>2.64</v>
      </c>
      <c r="O111" s="768">
        <v>5.8330000000000002</v>
      </c>
      <c r="P111" s="769"/>
      <c r="Q111" s="770">
        <v>0.41999999999999993</v>
      </c>
      <c r="R111" s="768">
        <v>1.2347929616214064</v>
      </c>
      <c r="S111" s="768">
        <v>8.7282353022437642E-2</v>
      </c>
      <c r="T111" s="774">
        <v>0.47601469165743576</v>
      </c>
      <c r="U111" s="774">
        <v>0.98751736598544781</v>
      </c>
      <c r="V111" s="774">
        <v>0.48560302381587256</v>
      </c>
      <c r="W111" s="775">
        <v>1.2193794929977413</v>
      </c>
      <c r="X111" s="771">
        <v>211</v>
      </c>
      <c r="Y111" s="773"/>
    </row>
    <row r="112" spans="1:25">
      <c r="A112" s="762" t="s">
        <v>1176</v>
      </c>
      <c r="B112" s="762" t="s">
        <v>1119</v>
      </c>
      <c r="C112" s="763">
        <v>0</v>
      </c>
      <c r="D112" s="764">
        <v>0</v>
      </c>
      <c r="E112" s="765">
        <v>4.1547682361111109E-2</v>
      </c>
      <c r="F112" s="778">
        <v>300</v>
      </c>
      <c r="G112" s="763">
        <v>61.52</v>
      </c>
      <c r="H112" s="763">
        <v>9.15</v>
      </c>
      <c r="I112" s="763">
        <v>9.44</v>
      </c>
      <c r="J112" s="779">
        <v>2.1830000000000003</v>
      </c>
      <c r="K112" s="779">
        <v>2.8029999999999995</v>
      </c>
      <c r="L112" s="766">
        <v>6.65</v>
      </c>
      <c r="M112" s="766">
        <v>6.32</v>
      </c>
      <c r="N112" s="767">
        <v>-4.71</v>
      </c>
      <c r="O112" s="768">
        <v>5.3639999999999999</v>
      </c>
      <c r="P112" s="769"/>
      <c r="Q112" s="770">
        <v>0.33000000000000007</v>
      </c>
      <c r="R112" s="768">
        <v>1.1841113438315125</v>
      </c>
      <c r="S112" s="768">
        <v>8.3699881310032406E-2</v>
      </c>
      <c r="T112" s="774">
        <v>0.49638878467717895</v>
      </c>
      <c r="U112" s="774">
        <v>0.99776914170253506</v>
      </c>
      <c r="V112" s="774">
        <v>0.49738201808429494</v>
      </c>
      <c r="W112" s="775">
        <v>1.1814697592150036</v>
      </c>
      <c r="X112" s="771">
        <v>202</v>
      </c>
      <c r="Y112" s="772"/>
    </row>
    <row r="113" spans="1:25">
      <c r="A113" s="762" t="s">
        <v>1177</v>
      </c>
      <c r="B113" s="762" t="s">
        <v>1178</v>
      </c>
      <c r="C113" s="763">
        <v>7.1682509999999997</v>
      </c>
      <c r="D113" s="764">
        <v>8.2965868055555553E-5</v>
      </c>
      <c r="E113" s="765">
        <v>8.2965868055555553E-5</v>
      </c>
      <c r="F113" s="778">
        <v>200</v>
      </c>
      <c r="G113" s="763">
        <v>12.2</v>
      </c>
      <c r="H113" s="763">
        <v>13.36</v>
      </c>
      <c r="I113" s="763">
        <v>13.31</v>
      </c>
      <c r="J113" s="779">
        <v>1.089999999999999</v>
      </c>
      <c r="K113" s="779">
        <v>1.29</v>
      </c>
      <c r="L113" s="766">
        <v>12.06</v>
      </c>
      <c r="M113" s="766">
        <v>11.81</v>
      </c>
      <c r="N113" s="767">
        <v>4.0999999999999996</v>
      </c>
      <c r="O113" s="768">
        <v>20.492000000000001</v>
      </c>
      <c r="P113" s="769"/>
      <c r="Q113" s="770">
        <v>0.25</v>
      </c>
      <c r="R113" s="768">
        <v>1.7662255299743035</v>
      </c>
      <c r="S113" s="768">
        <v>5.5487599951630329E-2</v>
      </c>
      <c r="T113" s="774">
        <v>1.4952145727672235E-3</v>
      </c>
      <c r="U113" s="774">
        <v>0.17855726125278723</v>
      </c>
      <c r="V113" s="774">
        <v>2.8679254453910785E-2</v>
      </c>
      <c r="W113" s="775">
        <v>0.31537239338696427</v>
      </c>
      <c r="X113" s="771">
        <v>66881</v>
      </c>
      <c r="Y113" s="772"/>
    </row>
    <row r="114" spans="1:25">
      <c r="A114" s="762" t="s">
        <v>1178</v>
      </c>
      <c r="B114" s="762" t="s">
        <v>1179</v>
      </c>
      <c r="C114" s="763">
        <v>19.555105999999999</v>
      </c>
      <c r="D114" s="764">
        <v>2.2633224537037036E-4</v>
      </c>
      <c r="E114" s="765">
        <v>5.3376405092592596E-4</v>
      </c>
      <c r="F114" s="778">
        <v>200</v>
      </c>
      <c r="G114" s="763">
        <v>43.95</v>
      </c>
      <c r="H114" s="763">
        <v>13.31</v>
      </c>
      <c r="I114" s="763">
        <v>13.26</v>
      </c>
      <c r="J114" s="779">
        <v>1.29</v>
      </c>
      <c r="K114" s="779">
        <v>1.4899999999999993</v>
      </c>
      <c r="L114" s="766">
        <v>11.81</v>
      </c>
      <c r="M114" s="766">
        <v>11.56</v>
      </c>
      <c r="N114" s="767">
        <v>1.1399999999999999</v>
      </c>
      <c r="O114" s="768">
        <v>5.6879999999999997</v>
      </c>
      <c r="P114" s="769"/>
      <c r="Q114" s="770">
        <v>0.25</v>
      </c>
      <c r="R114" s="768">
        <v>0.93053728291081739</v>
      </c>
      <c r="S114" s="768">
        <v>2.9233684836943611E-2</v>
      </c>
      <c r="T114" s="774">
        <v>1.8258527924313872E-2</v>
      </c>
      <c r="U114" s="774">
        <v>0.38361592537162564</v>
      </c>
      <c r="V114" s="774">
        <v>9.3195775249605706E-2</v>
      </c>
      <c r="W114" s="775">
        <v>0.3569689208766314</v>
      </c>
      <c r="X114" s="771">
        <v>5477</v>
      </c>
      <c r="Y114" s="772"/>
    </row>
    <row r="115" spans="1:25">
      <c r="A115" s="762" t="s">
        <v>1179</v>
      </c>
      <c r="B115" s="762" t="s">
        <v>1180</v>
      </c>
      <c r="C115" s="763">
        <v>4.0019070000000001</v>
      </c>
      <c r="D115" s="764">
        <v>4.6318368055555555E-5</v>
      </c>
      <c r="E115" s="765">
        <v>7.1445658564814817E-4</v>
      </c>
      <c r="F115" s="778">
        <v>200</v>
      </c>
      <c r="G115" s="763">
        <v>25.44</v>
      </c>
      <c r="H115" s="763">
        <v>13.26</v>
      </c>
      <c r="I115" s="763">
        <v>13.19</v>
      </c>
      <c r="J115" s="779">
        <v>1.4899999999999993</v>
      </c>
      <c r="K115" s="779">
        <v>2.0999999999999988</v>
      </c>
      <c r="L115" s="766">
        <v>11.56</v>
      </c>
      <c r="M115" s="766">
        <v>10.88</v>
      </c>
      <c r="N115" s="767">
        <v>2.75</v>
      </c>
      <c r="O115" s="768">
        <v>26.73</v>
      </c>
      <c r="P115" s="769"/>
      <c r="Q115" s="770">
        <v>0.67999999999999972</v>
      </c>
      <c r="R115" s="768">
        <v>2.0172209215218642</v>
      </c>
      <c r="S115" s="768">
        <v>6.3372851092857174E-2</v>
      </c>
      <c r="T115" s="774">
        <v>1.127385896842939E-2</v>
      </c>
      <c r="U115" s="774">
        <v>0.33208258784595285</v>
      </c>
      <c r="V115" s="774">
        <v>7.4365327038565188E-2</v>
      </c>
      <c r="W115" s="775">
        <v>0.66988394387597838</v>
      </c>
      <c r="X115" s="771">
        <v>8871</v>
      </c>
      <c r="Y115" s="773"/>
    </row>
    <row r="116" spans="1:25">
      <c r="A116" s="762" t="s">
        <v>1180</v>
      </c>
      <c r="B116" s="762" t="s">
        <v>1172</v>
      </c>
      <c r="C116" s="763">
        <v>11.653905</v>
      </c>
      <c r="D116" s="764">
        <v>1.3488315972222221E-4</v>
      </c>
      <c r="E116" s="765">
        <v>1.0756719907407408E-3</v>
      </c>
      <c r="F116" s="778">
        <v>200</v>
      </c>
      <c r="G116" s="763">
        <v>40.64</v>
      </c>
      <c r="H116" s="763">
        <v>13.19</v>
      </c>
      <c r="I116" s="763">
        <v>11.11</v>
      </c>
      <c r="J116" s="779">
        <v>2.2499999999999991</v>
      </c>
      <c r="K116" s="779">
        <v>1.6899999999999986</v>
      </c>
      <c r="L116" s="766">
        <v>10.73</v>
      </c>
      <c r="M116" s="766">
        <v>9.2100000000000009</v>
      </c>
      <c r="N116" s="767">
        <v>51.18</v>
      </c>
      <c r="O116" s="768">
        <v>37.402000000000001</v>
      </c>
      <c r="P116" s="769"/>
      <c r="Q116" s="770">
        <v>1.5199999999999996</v>
      </c>
      <c r="R116" s="768">
        <v>2.3861700883601364</v>
      </c>
      <c r="S116" s="768">
        <v>7.4963728602314997E-2</v>
      </c>
      <c r="T116" s="774">
        <v>1.4349232766251736E-2</v>
      </c>
      <c r="U116" s="774">
        <v>0.35777984275702418</v>
      </c>
      <c r="V116" s="774">
        <v>8.3539379644949563E-2</v>
      </c>
      <c r="W116" s="775">
        <v>0.85372355900500407</v>
      </c>
      <c r="X116" s="771">
        <v>6970</v>
      </c>
      <c r="Y116" s="772"/>
    </row>
    <row r="117" spans="1:25">
      <c r="A117" s="762" t="s">
        <v>1181</v>
      </c>
      <c r="B117" s="762" t="s">
        <v>1178</v>
      </c>
      <c r="C117" s="763">
        <v>19.393857000000001</v>
      </c>
      <c r="D117" s="764">
        <v>2.2446593749999999E-4</v>
      </c>
      <c r="E117" s="765">
        <v>2.2446593749999999E-4</v>
      </c>
      <c r="F117" s="778">
        <v>200</v>
      </c>
      <c r="G117" s="763">
        <v>44.08</v>
      </c>
      <c r="H117" s="763">
        <v>13.26</v>
      </c>
      <c r="I117" s="763">
        <v>13.31</v>
      </c>
      <c r="J117" s="779">
        <v>0.99999999999999911</v>
      </c>
      <c r="K117" s="779">
        <v>1.4000000000000012</v>
      </c>
      <c r="L117" s="766">
        <v>12.05</v>
      </c>
      <c r="M117" s="766">
        <v>11.7</v>
      </c>
      <c r="N117" s="767">
        <v>-1.1299999999999999</v>
      </c>
      <c r="O117" s="768">
        <v>7.94</v>
      </c>
      <c r="P117" s="769"/>
      <c r="Q117" s="770">
        <v>0.35000000000000142</v>
      </c>
      <c r="R117" s="768">
        <v>1.0994215251893973</v>
      </c>
      <c r="S117" s="768">
        <v>3.4539338681628097E-2</v>
      </c>
      <c r="T117" s="774">
        <v>6.4988487350337203E-3</v>
      </c>
      <c r="U117" s="774">
        <v>0.28131627973438006</v>
      </c>
      <c r="V117" s="774">
        <v>5.7506181268478729E-2</v>
      </c>
      <c r="W117" s="775">
        <v>0.30928517332617927</v>
      </c>
      <c r="X117" s="771">
        <v>15388</v>
      </c>
      <c r="Y117" s="772"/>
    </row>
    <row r="118" spans="1:25">
      <c r="A118" s="762" t="s">
        <v>1182</v>
      </c>
      <c r="B118" s="762" t="s">
        <v>1179</v>
      </c>
      <c r="C118" s="763">
        <v>11.609928</v>
      </c>
      <c r="D118" s="764">
        <v>1.3437416666666667E-4</v>
      </c>
      <c r="E118" s="765">
        <v>1.3437416666666667E-4</v>
      </c>
      <c r="F118" s="778">
        <v>200</v>
      </c>
      <c r="G118" s="763">
        <v>43.72</v>
      </c>
      <c r="H118" s="763">
        <v>13.46</v>
      </c>
      <c r="I118" s="763">
        <v>13.26</v>
      </c>
      <c r="J118" s="779">
        <v>1.2000000000000002</v>
      </c>
      <c r="K118" s="779">
        <v>1.6000000000000005</v>
      </c>
      <c r="L118" s="766">
        <v>12.05</v>
      </c>
      <c r="M118" s="766">
        <v>11.45</v>
      </c>
      <c r="N118" s="767">
        <v>4.57</v>
      </c>
      <c r="O118" s="768">
        <v>13.724</v>
      </c>
      <c r="P118" s="769"/>
      <c r="Q118" s="770">
        <v>0.60000000000000142</v>
      </c>
      <c r="R118" s="768">
        <v>1.4454209299599008</v>
      </c>
      <c r="S118" s="768">
        <v>4.540922830194586E-2</v>
      </c>
      <c r="T118" s="774">
        <v>2.9591819040207853E-3</v>
      </c>
      <c r="U118" s="774">
        <v>0.22055741069647378</v>
      </c>
      <c r="V118" s="774">
        <v>3.9577259929486741E-2</v>
      </c>
      <c r="W118" s="775">
        <v>0.31879829767844492</v>
      </c>
      <c r="X118" s="771">
        <v>33794</v>
      </c>
      <c r="Y118" s="772"/>
    </row>
    <row r="119" spans="1:25">
      <c r="A119" s="762" t="s">
        <v>1183</v>
      </c>
      <c r="B119" s="762" t="s">
        <v>1180</v>
      </c>
      <c r="C119" s="763">
        <v>19.555105999999999</v>
      </c>
      <c r="D119" s="764">
        <v>2.2633224537037036E-4</v>
      </c>
      <c r="E119" s="765">
        <v>2.2633224537037036E-4</v>
      </c>
      <c r="F119" s="778">
        <v>200</v>
      </c>
      <c r="G119" s="763">
        <v>69.680000000000007</v>
      </c>
      <c r="H119" s="763">
        <v>13.18</v>
      </c>
      <c r="I119" s="763">
        <v>13.19</v>
      </c>
      <c r="J119" s="779">
        <v>1.2000000000000002</v>
      </c>
      <c r="K119" s="779">
        <v>2.2000000000000002</v>
      </c>
      <c r="L119" s="766">
        <v>11.77</v>
      </c>
      <c r="M119" s="766">
        <v>10.78</v>
      </c>
      <c r="N119" s="767">
        <v>-0.14000000000000001</v>
      </c>
      <c r="O119" s="768">
        <v>14.208</v>
      </c>
      <c r="P119" s="769"/>
      <c r="Q119" s="770">
        <v>0.99000000000000021</v>
      </c>
      <c r="R119" s="768">
        <v>1.4706876944949774</v>
      </c>
      <c r="S119" s="768">
        <v>4.6203006955238664E-2</v>
      </c>
      <c r="T119" s="774">
        <v>4.8986475185400892E-3</v>
      </c>
      <c r="U119" s="774">
        <v>0.25826714497728187</v>
      </c>
      <c r="V119" s="774">
        <v>5.0411872495954579E-2</v>
      </c>
      <c r="W119" s="775">
        <v>0.37983031201043876</v>
      </c>
      <c r="X119" s="771">
        <v>20414</v>
      </c>
      <c r="Y119" s="772"/>
    </row>
    <row r="120" spans="1:25">
      <c r="A120" s="762" t="s">
        <v>1184</v>
      </c>
      <c r="B120" s="762" t="s">
        <v>1170</v>
      </c>
      <c r="C120" s="763">
        <v>3.8699759999999999</v>
      </c>
      <c r="D120" s="764">
        <v>4.4791388888888891E-5</v>
      </c>
      <c r="E120" s="765">
        <v>3.8830964027777776E-2</v>
      </c>
      <c r="F120" s="778">
        <v>300</v>
      </c>
      <c r="G120" s="763">
        <v>9.5399999999999991</v>
      </c>
      <c r="H120" s="763">
        <v>12.85</v>
      </c>
      <c r="I120" s="763">
        <v>12.97</v>
      </c>
      <c r="J120" s="779">
        <v>1.1529999999999989</v>
      </c>
      <c r="K120" s="779">
        <v>1.3230000000000006</v>
      </c>
      <c r="L120" s="766">
        <v>11.38</v>
      </c>
      <c r="M120" s="766">
        <v>11.33</v>
      </c>
      <c r="N120" s="767">
        <v>-12.58</v>
      </c>
      <c r="O120" s="768">
        <v>5.2409999999999997</v>
      </c>
      <c r="P120" s="769"/>
      <c r="Q120" s="770">
        <v>5.0000000000000711E-2</v>
      </c>
      <c r="R120" s="768">
        <v>1.1704563899605682</v>
      </c>
      <c r="S120" s="768">
        <v>8.2734669698602534E-2</v>
      </c>
      <c r="T120" s="774">
        <v>0.46934331362216908</v>
      </c>
      <c r="U120" s="774">
        <v>0.98402308375759229</v>
      </c>
      <c r="V120" s="774">
        <v>0.4816781456467259</v>
      </c>
      <c r="W120" s="775">
        <v>1.1517561062527772</v>
      </c>
      <c r="X120" s="771">
        <v>214</v>
      </c>
      <c r="Y120" s="772"/>
    </row>
    <row r="121" spans="1:25">
      <c r="A121" s="762" t="s">
        <v>1329</v>
      </c>
      <c r="B121" s="762" t="s">
        <v>1140</v>
      </c>
      <c r="C121" s="763">
        <v>503.99435700000004</v>
      </c>
      <c r="D121" s="764">
        <v>5.8332680208333341E-3</v>
      </c>
      <c r="E121" s="765">
        <v>5.8332680208333341E-3</v>
      </c>
      <c r="F121" s="778">
        <v>300</v>
      </c>
      <c r="G121" s="763">
        <v>6.75</v>
      </c>
      <c r="H121" s="763">
        <v>21.54</v>
      </c>
      <c r="I121" s="763">
        <v>21.41</v>
      </c>
      <c r="J121" s="779">
        <v>1.3230000000000006</v>
      </c>
      <c r="K121" s="779">
        <v>1.3730000000000013</v>
      </c>
      <c r="L121" s="766">
        <v>19.899999999999999</v>
      </c>
      <c r="M121" s="766">
        <v>19.72</v>
      </c>
      <c r="N121" s="767">
        <v>19.260000000000002</v>
      </c>
      <c r="O121" s="768">
        <v>26.667000000000002</v>
      </c>
      <c r="P121" s="769"/>
      <c r="Q121" s="770">
        <v>0.17999999999999972</v>
      </c>
      <c r="R121" s="768">
        <v>2.640190339072066</v>
      </c>
      <c r="S121" s="768">
        <v>0.18662401907338702</v>
      </c>
      <c r="T121" s="774">
        <v>3.1256791327270106E-2</v>
      </c>
      <c r="U121" s="774">
        <v>0.45148408756606628</v>
      </c>
      <c r="V121" s="774">
        <v>0.12064844467050978</v>
      </c>
      <c r="W121" s="775">
        <v>1.1920039262366948</v>
      </c>
      <c r="X121" s="771">
        <v>3200</v>
      </c>
      <c r="Y121" s="772"/>
    </row>
    <row r="122" spans="1:25">
      <c r="A122" s="762" t="s">
        <v>1330</v>
      </c>
      <c r="B122" s="762" t="s">
        <v>1140</v>
      </c>
      <c r="C122" s="763">
        <v>287.38995999999997</v>
      </c>
      <c r="D122" s="764">
        <v>3.326272685185185E-3</v>
      </c>
      <c r="E122" s="765">
        <v>3.326272685185185E-3</v>
      </c>
      <c r="F122" s="778">
        <v>300</v>
      </c>
      <c r="G122" s="763">
        <v>13.75</v>
      </c>
      <c r="H122" s="763">
        <v>20.64</v>
      </c>
      <c r="I122" s="763">
        <v>21.41</v>
      </c>
      <c r="J122" s="779">
        <v>1.7929999999999995</v>
      </c>
      <c r="K122" s="779">
        <v>2.6529999999999991</v>
      </c>
      <c r="L122" s="766">
        <v>18.53</v>
      </c>
      <c r="M122" s="766">
        <v>18.440000000000001</v>
      </c>
      <c r="N122" s="767">
        <v>-56</v>
      </c>
      <c r="O122" s="768">
        <v>6.5449999999999999</v>
      </c>
      <c r="P122" s="769"/>
      <c r="Q122" s="770">
        <v>8.9999999999999858E-2</v>
      </c>
      <c r="R122" s="768">
        <v>1.3079856596567689</v>
      </c>
      <c r="S122" s="768">
        <v>9.2456038901079632E-2</v>
      </c>
      <c r="T122" s="774">
        <v>3.5976802864591935E-2</v>
      </c>
      <c r="U122" s="774">
        <v>0.4714376682997552</v>
      </c>
      <c r="V122" s="774">
        <v>0.12930474953412763</v>
      </c>
      <c r="W122" s="775">
        <v>0.61663370955810437</v>
      </c>
      <c r="X122" s="771">
        <v>2780</v>
      </c>
      <c r="Y122" s="772"/>
    </row>
    <row r="123" spans="1:25">
      <c r="A123" s="762" t="s">
        <v>1185</v>
      </c>
      <c r="B123" s="762" t="s">
        <v>1186</v>
      </c>
      <c r="C123" s="763">
        <v>14.300180999999998</v>
      </c>
      <c r="D123" s="764">
        <v>1.6551135416666664E-4</v>
      </c>
      <c r="E123" s="765">
        <v>1.6551135416666664E-4</v>
      </c>
      <c r="F123" s="778">
        <v>300</v>
      </c>
      <c r="G123" s="763">
        <v>55.84</v>
      </c>
      <c r="H123" s="763">
        <v>13.11</v>
      </c>
      <c r="I123" s="763">
        <v>11.48</v>
      </c>
      <c r="J123" s="779">
        <v>1.353</v>
      </c>
      <c r="K123" s="779">
        <v>1.3629999999999998</v>
      </c>
      <c r="L123" s="766">
        <v>11.44</v>
      </c>
      <c r="M123" s="766">
        <v>9.8000000000000007</v>
      </c>
      <c r="N123" s="767">
        <v>29.19</v>
      </c>
      <c r="O123" s="768">
        <v>29.37</v>
      </c>
      <c r="P123" s="769"/>
      <c r="Q123" s="770">
        <v>1.6399999999999988</v>
      </c>
      <c r="R123" s="768">
        <v>2.7707677901020618</v>
      </c>
      <c r="S123" s="768">
        <v>0.19585399327295214</v>
      </c>
      <c r="T123" s="774">
        <v>8.4507520832624312E-4</v>
      </c>
      <c r="U123" s="774">
        <v>0.1504101331055776</v>
      </c>
      <c r="V123" s="774">
        <v>2.2103492600834995E-2</v>
      </c>
      <c r="W123" s="775">
        <v>0.41675155211389819</v>
      </c>
      <c r="X123" s="771">
        <v>118333</v>
      </c>
      <c r="Y123" s="772"/>
    </row>
    <row r="124" spans="1:25">
      <c r="A124" s="762" t="s">
        <v>1186</v>
      </c>
      <c r="B124" s="762" t="s">
        <v>1187</v>
      </c>
      <c r="C124" s="763">
        <v>0</v>
      </c>
      <c r="D124" s="764">
        <v>0</v>
      </c>
      <c r="E124" s="765">
        <v>6.0660335763888891E-3</v>
      </c>
      <c r="F124" s="778">
        <v>300</v>
      </c>
      <c r="G124" s="763">
        <v>54.16</v>
      </c>
      <c r="H124" s="763">
        <v>11.48</v>
      </c>
      <c r="I124" s="763">
        <v>10.69</v>
      </c>
      <c r="J124" s="779">
        <v>1.3629999999999998</v>
      </c>
      <c r="K124" s="779">
        <v>1.2029999999999996</v>
      </c>
      <c r="L124" s="766">
        <v>9.8000000000000007</v>
      </c>
      <c r="M124" s="766">
        <v>9.17</v>
      </c>
      <c r="N124" s="767">
        <v>14.59</v>
      </c>
      <c r="O124" s="768">
        <v>11.632</v>
      </c>
      <c r="P124" s="769"/>
      <c r="Q124" s="770">
        <v>0.63000000000000078</v>
      </c>
      <c r="R124" s="768">
        <v>1.7437143991558171</v>
      </c>
      <c r="S124" s="768">
        <v>0.12325588215013623</v>
      </c>
      <c r="T124" s="774">
        <v>4.9214962163022291E-2</v>
      </c>
      <c r="U124" s="774">
        <v>0.51714608190482481</v>
      </c>
      <c r="V124" s="774">
        <v>0.15016832974331568</v>
      </c>
      <c r="W124" s="775">
        <v>0.9017550694844565</v>
      </c>
      <c r="X124" s="771">
        <v>2032</v>
      </c>
      <c r="Y124" s="772"/>
    </row>
    <row r="125" spans="1:25">
      <c r="A125" s="762" t="s">
        <v>1187</v>
      </c>
      <c r="B125" s="762" t="s">
        <v>1188</v>
      </c>
      <c r="C125" s="763">
        <v>0</v>
      </c>
      <c r="D125" s="764">
        <v>0</v>
      </c>
      <c r="E125" s="765">
        <v>6.0660335763888891E-3</v>
      </c>
      <c r="F125" s="778">
        <v>300</v>
      </c>
      <c r="G125" s="763">
        <v>12.37</v>
      </c>
      <c r="H125" s="763">
        <v>10.69</v>
      </c>
      <c r="I125" s="763">
        <v>10.77</v>
      </c>
      <c r="J125" s="779">
        <v>1.2029999999999996</v>
      </c>
      <c r="K125" s="779">
        <v>1.353</v>
      </c>
      <c r="L125" s="766">
        <v>9.17</v>
      </c>
      <c r="M125" s="766">
        <v>9.1</v>
      </c>
      <c r="N125" s="767">
        <v>-6.47</v>
      </c>
      <c r="O125" s="768">
        <v>5.6589999999999998</v>
      </c>
      <c r="P125" s="769"/>
      <c r="Q125" s="770">
        <v>7.0000000000000284E-2</v>
      </c>
      <c r="R125" s="768">
        <v>1.2162364197821596</v>
      </c>
      <c r="S125" s="768">
        <v>8.5970668646166176E-2</v>
      </c>
      <c r="T125" s="774">
        <v>7.0559339271341129E-2</v>
      </c>
      <c r="U125" s="774">
        <v>0.57606126286438541</v>
      </c>
      <c r="V125" s="774">
        <v>0.17927518421541905</v>
      </c>
      <c r="W125" s="775">
        <v>0.70062668792136962</v>
      </c>
      <c r="X125" s="771">
        <v>1418</v>
      </c>
      <c r="Y125" s="772"/>
    </row>
    <row r="126" spans="1:25">
      <c r="A126" s="762" t="s">
        <v>1188</v>
      </c>
      <c r="B126" s="762" t="s">
        <v>1189</v>
      </c>
      <c r="C126" s="763">
        <v>0</v>
      </c>
      <c r="D126" s="764">
        <v>0</v>
      </c>
      <c r="E126" s="765">
        <v>6.0660335763888891E-3</v>
      </c>
      <c r="F126" s="778">
        <v>300</v>
      </c>
      <c r="G126" s="763">
        <v>66</v>
      </c>
      <c r="H126" s="763">
        <v>10.77</v>
      </c>
      <c r="I126" s="763">
        <v>10.33</v>
      </c>
      <c r="J126" s="779">
        <v>1.353</v>
      </c>
      <c r="K126" s="779">
        <v>1.4429999999999998</v>
      </c>
      <c r="L126" s="766">
        <v>9.1</v>
      </c>
      <c r="M126" s="766">
        <v>8.57</v>
      </c>
      <c r="N126" s="767">
        <v>6.67</v>
      </c>
      <c r="O126" s="768">
        <v>8.0299999999999994</v>
      </c>
      <c r="P126" s="769"/>
      <c r="Q126" s="770">
        <v>0.52999999999999936</v>
      </c>
      <c r="R126" s="768">
        <v>1.4487916348283738</v>
      </c>
      <c r="S126" s="768">
        <v>0.10240902471698415</v>
      </c>
      <c r="T126" s="774">
        <v>5.9233388787295616E-2</v>
      </c>
      <c r="U126" s="774">
        <v>0.54672961781042173</v>
      </c>
      <c r="V126" s="774">
        <v>0.16446307016656675</v>
      </c>
      <c r="W126" s="775">
        <v>0.79209729679665286</v>
      </c>
      <c r="X126" s="771">
        <v>1689</v>
      </c>
      <c r="Y126" s="772"/>
    </row>
    <row r="127" spans="1:25">
      <c r="A127" s="762" t="s">
        <v>1189</v>
      </c>
      <c r="B127" s="762" t="s">
        <v>1190</v>
      </c>
      <c r="C127" s="763">
        <v>0</v>
      </c>
      <c r="D127" s="764">
        <v>0</v>
      </c>
      <c r="E127" s="765">
        <v>6.0660335763888891E-3</v>
      </c>
      <c r="F127" s="778">
        <v>300</v>
      </c>
      <c r="G127" s="763">
        <v>66.599999999999994</v>
      </c>
      <c r="H127" s="763">
        <v>10.33</v>
      </c>
      <c r="I127" s="763">
        <v>9.73</v>
      </c>
      <c r="J127" s="779">
        <v>1.9930000000000005</v>
      </c>
      <c r="K127" s="779">
        <v>3.0030000000000006</v>
      </c>
      <c r="L127" s="766">
        <v>8.02</v>
      </c>
      <c r="M127" s="766">
        <v>6.41</v>
      </c>
      <c r="N127" s="767">
        <v>9.01</v>
      </c>
      <c r="O127" s="768">
        <v>24.173999999999999</v>
      </c>
      <c r="P127" s="769"/>
      <c r="Q127" s="770">
        <v>1.6099999999999994</v>
      </c>
      <c r="R127" s="768">
        <v>2.5137519238810029</v>
      </c>
      <c r="S127" s="768">
        <v>0.17768661601610627</v>
      </c>
      <c r="T127" s="774">
        <v>3.4138944802905344E-2</v>
      </c>
      <c r="U127" s="774">
        <v>0.46345995091892328</v>
      </c>
      <c r="V127" s="774">
        <v>0.12581140469766877</v>
      </c>
      <c r="W127" s="775">
        <v>1.1650233432642385</v>
      </c>
      <c r="X127" s="771">
        <v>2930</v>
      </c>
      <c r="Y127" s="772"/>
    </row>
    <row r="128" spans="1:25">
      <c r="A128" s="762" t="s">
        <v>1190</v>
      </c>
      <c r="B128" s="762" t="s">
        <v>1191</v>
      </c>
      <c r="C128" s="763">
        <v>0</v>
      </c>
      <c r="D128" s="764">
        <v>0</v>
      </c>
      <c r="E128" s="765">
        <v>1.3082169247685186E-2</v>
      </c>
      <c r="F128" s="778">
        <v>300</v>
      </c>
      <c r="G128" s="763">
        <v>8.32</v>
      </c>
      <c r="H128" s="763">
        <v>9.73</v>
      </c>
      <c r="I128" s="763">
        <v>9.77</v>
      </c>
      <c r="J128" s="779">
        <v>3.0030000000000006</v>
      </c>
      <c r="K128" s="779">
        <v>3.1229999999999998</v>
      </c>
      <c r="L128" s="766">
        <v>6.41</v>
      </c>
      <c r="M128" s="766">
        <v>6.33</v>
      </c>
      <c r="N128" s="767">
        <v>-4.8099999999999996</v>
      </c>
      <c r="O128" s="768">
        <v>9.6150000000000002</v>
      </c>
      <c r="P128" s="769"/>
      <c r="Q128" s="770">
        <v>8.0000000000000071E-2</v>
      </c>
      <c r="R128" s="768">
        <v>1.5853414012559095</v>
      </c>
      <c r="S128" s="768">
        <v>0.11206115692772299</v>
      </c>
      <c r="T128" s="774">
        <v>0.11674133666246994</v>
      </c>
      <c r="U128" s="774">
        <v>0.66755176295463492</v>
      </c>
      <c r="V128" s="774">
        <v>0.22987983976116982</v>
      </c>
      <c r="W128" s="775">
        <v>1.0582974472933537</v>
      </c>
      <c r="X128" s="771">
        <v>857</v>
      </c>
      <c r="Y128" s="772"/>
    </row>
    <row r="129" spans="1:25">
      <c r="A129" s="762" t="s">
        <v>1191</v>
      </c>
      <c r="B129" s="762" t="s">
        <v>1310</v>
      </c>
      <c r="C129" s="763">
        <v>0</v>
      </c>
      <c r="D129" s="764">
        <v>0</v>
      </c>
      <c r="E129" s="765">
        <v>1.3082169247685186E-2</v>
      </c>
      <c r="F129" s="778">
        <v>300</v>
      </c>
      <c r="G129" s="763">
        <v>41.23</v>
      </c>
      <c r="H129" s="763">
        <v>9.77</v>
      </c>
      <c r="I129" s="763">
        <v>9.5</v>
      </c>
      <c r="J129" s="779">
        <v>3.1229999999999998</v>
      </c>
      <c r="K129" s="779">
        <v>2.9430000000000001</v>
      </c>
      <c r="L129" s="766">
        <v>6.33</v>
      </c>
      <c r="M129" s="766">
        <v>6.24</v>
      </c>
      <c r="N129" s="767">
        <v>6.55</v>
      </c>
      <c r="O129" s="768">
        <v>2.1829999999999998</v>
      </c>
      <c r="P129" s="769"/>
      <c r="Q129" s="770">
        <v>8.9999999999999858E-2</v>
      </c>
      <c r="R129" s="768">
        <v>0.7553965986050003</v>
      </c>
      <c r="S129" s="768">
        <v>5.3395827997605304E-2</v>
      </c>
      <c r="T129" s="774">
        <v>0.24500358433006966</v>
      </c>
      <c r="U129" s="774">
        <v>0.82610970045844567</v>
      </c>
      <c r="V129" s="774">
        <v>0.33680342450028777</v>
      </c>
      <c r="W129" s="775">
        <v>0.62404045780090556</v>
      </c>
      <c r="X129" s="771">
        <v>409</v>
      </c>
      <c r="Y129" s="773"/>
    </row>
    <row r="130" spans="1:25">
      <c r="A130" s="762" t="s">
        <v>1310</v>
      </c>
      <c r="B130" s="762" t="s">
        <v>1192</v>
      </c>
      <c r="C130" s="763">
        <v>0</v>
      </c>
      <c r="D130" s="764">
        <v>0</v>
      </c>
      <c r="E130" s="765">
        <v>1.3082169247685186E-2</v>
      </c>
      <c r="F130" s="778">
        <v>300</v>
      </c>
      <c r="G130" s="763">
        <v>54.24</v>
      </c>
      <c r="H130" s="763">
        <v>9.5</v>
      </c>
      <c r="I130" s="763">
        <v>9.1199999999999992</v>
      </c>
      <c r="J130" s="779">
        <v>2.9430000000000001</v>
      </c>
      <c r="K130" s="779">
        <v>2.6729999999999996</v>
      </c>
      <c r="L130" s="766">
        <v>6.24</v>
      </c>
      <c r="M130" s="766">
        <v>6.13</v>
      </c>
      <c r="N130" s="767">
        <v>7.01</v>
      </c>
      <c r="O130" s="768">
        <v>2.028</v>
      </c>
      <c r="P130" s="769"/>
      <c r="Q130" s="770">
        <v>0.11000000000000032</v>
      </c>
      <c r="R130" s="768">
        <v>0.72808508151107743</v>
      </c>
      <c r="S130" s="768">
        <v>5.1465291016377347E-2</v>
      </c>
      <c r="T130" s="774">
        <v>0.25419402065602159</v>
      </c>
      <c r="U130" s="774">
        <v>0.8341009102781215</v>
      </c>
      <c r="V130" s="774">
        <v>0.34300377201629639</v>
      </c>
      <c r="W130" s="775">
        <v>0.60729642924830995</v>
      </c>
      <c r="X130" s="771">
        <v>394</v>
      </c>
      <c r="Y130" s="772"/>
    </row>
    <row r="131" spans="1:25">
      <c r="A131" s="762" t="s">
        <v>1192</v>
      </c>
      <c r="B131" s="762" t="s">
        <v>1193</v>
      </c>
      <c r="C131" s="763">
        <v>0</v>
      </c>
      <c r="D131" s="764">
        <v>0</v>
      </c>
      <c r="E131" s="765">
        <v>1.3082169247685186E-2</v>
      </c>
      <c r="F131" s="778">
        <v>300</v>
      </c>
      <c r="G131" s="763">
        <v>54.24</v>
      </c>
      <c r="H131" s="763">
        <v>9.1199999999999992</v>
      </c>
      <c r="I131" s="763">
        <v>8.66</v>
      </c>
      <c r="J131" s="779">
        <v>2.6729999999999996</v>
      </c>
      <c r="K131" s="779">
        <v>2.6930000000000001</v>
      </c>
      <c r="L131" s="766">
        <v>6.13</v>
      </c>
      <c r="M131" s="766">
        <v>5.65</v>
      </c>
      <c r="N131" s="767">
        <v>8.48</v>
      </c>
      <c r="O131" s="768">
        <v>8.85</v>
      </c>
      <c r="P131" s="769"/>
      <c r="Q131" s="770">
        <v>0.47999999999999954</v>
      </c>
      <c r="R131" s="768">
        <v>1.5209670037254712</v>
      </c>
      <c r="S131" s="768">
        <v>0.10751079985127798</v>
      </c>
      <c r="T131" s="774">
        <v>0.12168237298747692</v>
      </c>
      <c r="U131" s="774">
        <v>0.67682530334783486</v>
      </c>
      <c r="V131" s="774">
        <v>0.23541049951290194</v>
      </c>
      <c r="W131" s="775">
        <v>1.0294289536785395</v>
      </c>
      <c r="X131" s="771">
        <v>822</v>
      </c>
      <c r="Y131" s="772"/>
    </row>
    <row r="132" spans="1:25">
      <c r="A132" s="762" t="s">
        <v>1193</v>
      </c>
      <c r="B132" s="762" t="s">
        <v>1194</v>
      </c>
      <c r="C132" s="763">
        <v>0</v>
      </c>
      <c r="D132" s="764">
        <v>0</v>
      </c>
      <c r="E132" s="765">
        <v>1.3082169247685186E-2</v>
      </c>
      <c r="F132" s="778">
        <v>300</v>
      </c>
      <c r="G132" s="763">
        <v>29.26</v>
      </c>
      <c r="H132" s="763">
        <v>8.66</v>
      </c>
      <c r="I132" s="763">
        <v>9.7200000000000006</v>
      </c>
      <c r="J132" s="779">
        <v>3.2430000000000008</v>
      </c>
      <c r="K132" s="779">
        <v>5.0830000000000002</v>
      </c>
      <c r="L132" s="766">
        <v>5.0999999999999996</v>
      </c>
      <c r="M132" s="766">
        <v>4.32</v>
      </c>
      <c r="N132" s="767">
        <v>-36.229999999999997</v>
      </c>
      <c r="O132" s="768">
        <v>26.658000000000001</v>
      </c>
      <c r="P132" s="769"/>
      <c r="Q132" s="770">
        <v>0.77999999999999936</v>
      </c>
      <c r="R132" s="768">
        <v>2.6397447749242517</v>
      </c>
      <c r="S132" s="768">
        <v>0.18659252400623619</v>
      </c>
      <c r="T132" s="774">
        <v>7.0110897086358939E-2</v>
      </c>
      <c r="U132" s="774">
        <v>0.57606126286438541</v>
      </c>
      <c r="V132" s="774">
        <v>0.17927518421541905</v>
      </c>
      <c r="W132" s="775">
        <v>1.5206547086825273</v>
      </c>
      <c r="X132" s="771">
        <v>1427</v>
      </c>
      <c r="Y132" s="772"/>
    </row>
    <row r="133" spans="1:25">
      <c r="A133" s="762" t="s">
        <v>1194</v>
      </c>
      <c r="B133" s="762" t="s">
        <v>1195</v>
      </c>
      <c r="C133" s="763">
        <v>0</v>
      </c>
      <c r="D133" s="764">
        <v>0</v>
      </c>
      <c r="E133" s="765">
        <v>3.8786172638888887E-2</v>
      </c>
      <c r="F133" s="778">
        <v>300</v>
      </c>
      <c r="G133" s="763">
        <v>6</v>
      </c>
      <c r="H133" s="763">
        <v>9.7200000000000006</v>
      </c>
      <c r="I133" s="763">
        <v>9.67</v>
      </c>
      <c r="J133" s="779">
        <v>5.0830000000000002</v>
      </c>
      <c r="K133" s="779">
        <v>5.0629999999999997</v>
      </c>
      <c r="L133" s="766">
        <v>4.32</v>
      </c>
      <c r="M133" s="766">
        <v>4.29</v>
      </c>
      <c r="N133" s="767">
        <v>8.33</v>
      </c>
      <c r="O133" s="768">
        <v>5</v>
      </c>
      <c r="P133" s="769"/>
      <c r="Q133" s="770">
        <v>3.0000000000000249E-2</v>
      </c>
      <c r="R133" s="768">
        <v>1.1432288070736143</v>
      </c>
      <c r="S133" s="768">
        <v>8.0810065675620227E-2</v>
      </c>
      <c r="T133" s="774">
        <v>0.47996709710125102</v>
      </c>
      <c r="U133" s="774">
        <v>0.98867359460461357</v>
      </c>
      <c r="V133" s="774">
        <v>0.48691152584606778</v>
      </c>
      <c r="W133" s="775">
        <v>1.1302801341450146</v>
      </c>
      <c r="X133" s="771">
        <v>209</v>
      </c>
      <c r="Y133" s="772"/>
    </row>
    <row r="134" spans="1:25">
      <c r="A134" s="762" t="s">
        <v>1195</v>
      </c>
      <c r="B134" s="762" t="s">
        <v>1184</v>
      </c>
      <c r="C134" s="763">
        <v>0</v>
      </c>
      <c r="D134" s="764">
        <v>0</v>
      </c>
      <c r="E134" s="765">
        <v>3.8786172638888887E-2</v>
      </c>
      <c r="F134" s="778">
        <v>300</v>
      </c>
      <c r="G134" s="763">
        <v>564.13</v>
      </c>
      <c r="H134" s="763">
        <v>9.67</v>
      </c>
      <c r="I134" s="763">
        <v>9.6999999999999993</v>
      </c>
      <c r="J134" s="779">
        <v>5.3829999999999991</v>
      </c>
      <c r="K134" s="779">
        <v>3.8229999999999995</v>
      </c>
      <c r="L134" s="766">
        <v>3.97</v>
      </c>
      <c r="M134" s="766">
        <v>5.56</v>
      </c>
      <c r="N134" s="767">
        <v>-0.05</v>
      </c>
      <c r="O134" s="768">
        <v>-2.8180000000000001</v>
      </c>
      <c r="P134" s="769"/>
      <c r="Q134" s="770">
        <v>-1.5899999999999994</v>
      </c>
      <c r="R134" s="768" t="e">
        <v>#NUM!</v>
      </c>
      <c r="S134" s="768" t="e">
        <v>#NUM!</v>
      </c>
      <c r="T134" s="774" t="e">
        <v>#NUM!</v>
      </c>
      <c r="U134" s="774" t="e">
        <v>#NUM!</v>
      </c>
      <c r="V134" s="774" t="e">
        <v>#NUM!</v>
      </c>
      <c r="W134" s="775" t="e">
        <v>#NUM!</v>
      </c>
      <c r="X134" s="771" t="e">
        <v>#NUM!</v>
      </c>
      <c r="Y134" s="773"/>
    </row>
    <row r="135" spans="1:25">
      <c r="A135" s="762" t="s">
        <v>1196</v>
      </c>
      <c r="B135" s="762" t="s">
        <v>1197</v>
      </c>
      <c r="C135" s="763">
        <v>102.88590000000001</v>
      </c>
      <c r="D135" s="764">
        <v>1.1908090277777778E-3</v>
      </c>
      <c r="E135" s="765">
        <v>1.1908090277777778E-3</v>
      </c>
      <c r="F135" s="778">
        <v>300</v>
      </c>
      <c r="G135" s="763">
        <v>44.31</v>
      </c>
      <c r="H135" s="763">
        <v>12.21</v>
      </c>
      <c r="I135" s="763">
        <v>12.05</v>
      </c>
      <c r="J135" s="779">
        <v>1.1430000000000009</v>
      </c>
      <c r="K135" s="779">
        <v>1.1330000000000011</v>
      </c>
      <c r="L135" s="766">
        <v>10.75</v>
      </c>
      <c r="M135" s="766">
        <v>10.6</v>
      </c>
      <c r="N135" s="767">
        <v>3.61</v>
      </c>
      <c r="O135" s="768">
        <v>3.3849999999999998</v>
      </c>
      <c r="P135" s="769"/>
      <c r="Q135" s="770">
        <v>0.15000000000000036</v>
      </c>
      <c r="R135" s="768">
        <v>0.94064877361512744</v>
      </c>
      <c r="S135" s="768">
        <v>6.6490529894979652E-2</v>
      </c>
      <c r="T135" s="774">
        <v>1.7909453115483285E-2</v>
      </c>
      <c r="U135" s="774">
        <v>0.38162476000686335</v>
      </c>
      <c r="V135" s="774">
        <v>9.2436102135722065E-2</v>
      </c>
      <c r="W135" s="775">
        <v>0.35897486248162336</v>
      </c>
      <c r="X135" s="771">
        <v>5584</v>
      </c>
      <c r="Y135" s="772"/>
    </row>
    <row r="136" spans="1:25">
      <c r="A136" s="762" t="s">
        <v>1197</v>
      </c>
      <c r="B136" s="762" t="s">
        <v>1198</v>
      </c>
      <c r="C136" s="763">
        <v>107.5664</v>
      </c>
      <c r="D136" s="764">
        <v>1.2449814814814815E-3</v>
      </c>
      <c r="E136" s="765">
        <v>2.4357905092592591E-3</v>
      </c>
      <c r="F136" s="778">
        <v>300</v>
      </c>
      <c r="G136" s="763">
        <v>56.88</v>
      </c>
      <c r="H136" s="763">
        <v>12.05</v>
      </c>
      <c r="I136" s="763">
        <v>11.85</v>
      </c>
      <c r="J136" s="779">
        <v>1.1330000000000011</v>
      </c>
      <c r="K136" s="779">
        <v>2.0030000000000006</v>
      </c>
      <c r="L136" s="766">
        <v>10.6</v>
      </c>
      <c r="M136" s="766">
        <v>9.5299999999999994</v>
      </c>
      <c r="N136" s="767">
        <v>3.52</v>
      </c>
      <c r="O136" s="768">
        <v>18.812000000000001</v>
      </c>
      <c r="P136" s="769"/>
      <c r="Q136" s="770">
        <v>1.0700000000000003</v>
      </c>
      <c r="R136" s="768">
        <v>2.2175102816147443</v>
      </c>
      <c r="S136" s="768">
        <v>0.15674653261436913</v>
      </c>
      <c r="T136" s="774">
        <v>1.5539677137559644E-2</v>
      </c>
      <c r="U136" s="774">
        <v>0.36571699000133223</v>
      </c>
      <c r="V136" s="774">
        <v>8.6459712862718363E-2</v>
      </c>
      <c r="W136" s="775">
        <v>0.81098118548915088</v>
      </c>
      <c r="X136" s="771">
        <v>6436</v>
      </c>
      <c r="Y136" s="772"/>
    </row>
    <row r="137" spans="1:25">
      <c r="A137" s="762" t="s">
        <v>1198</v>
      </c>
      <c r="B137" s="762" t="s">
        <v>1199</v>
      </c>
      <c r="C137" s="763">
        <v>144.04025999999999</v>
      </c>
      <c r="D137" s="764">
        <v>1.6671326388888888E-3</v>
      </c>
      <c r="E137" s="765">
        <v>4.1029231481481479E-3</v>
      </c>
      <c r="F137" s="778">
        <v>300</v>
      </c>
      <c r="G137" s="763">
        <v>45.68</v>
      </c>
      <c r="H137" s="763">
        <v>11.85</v>
      </c>
      <c r="I137" s="763">
        <v>11.9</v>
      </c>
      <c r="J137" s="779">
        <v>2.0030000000000006</v>
      </c>
      <c r="K137" s="779">
        <v>3.6030000000000002</v>
      </c>
      <c r="L137" s="766">
        <v>9.5299999999999994</v>
      </c>
      <c r="M137" s="766">
        <v>7.98</v>
      </c>
      <c r="N137" s="767">
        <v>-1.0900000000000001</v>
      </c>
      <c r="O137" s="768">
        <v>33.932000000000002</v>
      </c>
      <c r="P137" s="769"/>
      <c r="Q137" s="770">
        <v>1.5499999999999989</v>
      </c>
      <c r="R137" s="768">
        <v>2.9781933274325447</v>
      </c>
      <c r="S137" s="768">
        <v>0.21051603746809791</v>
      </c>
      <c r="T137" s="774">
        <v>1.9489836487017832E-2</v>
      </c>
      <c r="U137" s="774">
        <v>0.39158559927254516</v>
      </c>
      <c r="V137" s="774">
        <v>9.6262297257629192E-2</v>
      </c>
      <c r="W137" s="775">
        <v>1.1662176188721682</v>
      </c>
      <c r="X137" s="771">
        <v>5131</v>
      </c>
      <c r="Y137" s="773"/>
    </row>
    <row r="138" spans="1:25">
      <c r="A138" s="762" t="s">
        <v>1199</v>
      </c>
      <c r="B138" s="762" t="s">
        <v>1200</v>
      </c>
      <c r="C138" s="763">
        <v>0</v>
      </c>
      <c r="D138" s="764">
        <v>0</v>
      </c>
      <c r="E138" s="765">
        <v>7.0161356712962961E-3</v>
      </c>
      <c r="F138" s="778">
        <v>300</v>
      </c>
      <c r="G138" s="763">
        <v>72</v>
      </c>
      <c r="H138" s="763">
        <v>11.9</v>
      </c>
      <c r="I138" s="763">
        <v>10.130000000000001</v>
      </c>
      <c r="J138" s="779">
        <v>3.6030000000000002</v>
      </c>
      <c r="K138" s="779">
        <v>2.0030000000000014</v>
      </c>
      <c r="L138" s="766">
        <v>7.98</v>
      </c>
      <c r="M138" s="766">
        <v>7.81</v>
      </c>
      <c r="N138" s="767">
        <v>24.58</v>
      </c>
      <c r="O138" s="768">
        <v>2.3610000000000002</v>
      </c>
      <c r="P138" s="769"/>
      <c r="Q138" s="770">
        <v>0.17000000000000082</v>
      </c>
      <c r="R138" s="768">
        <v>0.78559036917053748</v>
      </c>
      <c r="S138" s="768">
        <v>5.5530099428922161E-2</v>
      </c>
      <c r="T138" s="774">
        <v>0.12634833618976071</v>
      </c>
      <c r="U138" s="774">
        <v>0.68420396303047748</v>
      </c>
      <c r="V138" s="774">
        <v>0.23986771501895021</v>
      </c>
      <c r="W138" s="775">
        <v>0.53750404390505757</v>
      </c>
      <c r="X138" s="771">
        <v>792</v>
      </c>
      <c r="Y138" s="772"/>
    </row>
    <row r="139" spans="1:25">
      <c r="A139" s="762" t="s">
        <v>1200</v>
      </c>
      <c r="B139" s="762" t="s">
        <v>1201</v>
      </c>
      <c r="C139" s="763">
        <v>0</v>
      </c>
      <c r="D139" s="764">
        <v>0</v>
      </c>
      <c r="E139" s="765">
        <v>7.0161356712962961E-3</v>
      </c>
      <c r="F139" s="778">
        <v>300</v>
      </c>
      <c r="G139" s="763">
        <v>11.9</v>
      </c>
      <c r="H139" s="763">
        <v>10.130000000000001</v>
      </c>
      <c r="I139" s="763">
        <v>9.5399999999999991</v>
      </c>
      <c r="J139" s="779">
        <v>2.0030000000000014</v>
      </c>
      <c r="K139" s="779">
        <v>1.8029999999999993</v>
      </c>
      <c r="L139" s="766">
        <v>7.81</v>
      </c>
      <c r="M139" s="766">
        <v>7.42</v>
      </c>
      <c r="N139" s="767">
        <v>49.58</v>
      </c>
      <c r="O139" s="768">
        <v>32.773000000000003</v>
      </c>
      <c r="P139" s="769"/>
      <c r="Q139" s="770">
        <v>0.38999999999999968</v>
      </c>
      <c r="R139" s="768">
        <v>2.9268890244677652</v>
      </c>
      <c r="S139" s="768">
        <v>0.20688955074350407</v>
      </c>
      <c r="T139" s="774">
        <v>3.3912469943901159E-2</v>
      </c>
      <c r="U139" s="774">
        <v>0.46345995091892328</v>
      </c>
      <c r="V139" s="774">
        <v>0.12581140469766877</v>
      </c>
      <c r="W139" s="775">
        <v>1.3564958436249657</v>
      </c>
      <c r="X139" s="771">
        <v>2949</v>
      </c>
      <c r="Y139" s="772"/>
    </row>
    <row r="140" spans="1:25">
      <c r="A140" s="762" t="s">
        <v>1201</v>
      </c>
      <c r="B140" s="762" t="s">
        <v>1202</v>
      </c>
      <c r="C140" s="763">
        <v>0</v>
      </c>
      <c r="D140" s="764">
        <v>0</v>
      </c>
      <c r="E140" s="765">
        <v>7.0161356712962961E-3</v>
      </c>
      <c r="F140" s="778">
        <v>300</v>
      </c>
      <c r="G140" s="763">
        <v>57.23</v>
      </c>
      <c r="H140" s="763">
        <v>9.5399999999999991</v>
      </c>
      <c r="I140" s="763">
        <v>9.48</v>
      </c>
      <c r="J140" s="779">
        <v>1.8029999999999993</v>
      </c>
      <c r="K140" s="779">
        <v>1.8530000000000009</v>
      </c>
      <c r="L140" s="766">
        <v>7.42</v>
      </c>
      <c r="M140" s="766">
        <v>7.31</v>
      </c>
      <c r="N140" s="767">
        <v>1.05</v>
      </c>
      <c r="O140" s="768">
        <v>1.9219999999999999</v>
      </c>
      <c r="P140" s="769"/>
      <c r="Q140" s="770">
        <v>0.11000000000000032</v>
      </c>
      <c r="R140" s="768">
        <v>0.70880186038564075</v>
      </c>
      <c r="S140" s="768">
        <v>5.0102240718884535E-2</v>
      </c>
      <c r="T140" s="774">
        <v>0.14003636505326547</v>
      </c>
      <c r="U140" s="774">
        <v>0.70430305624193335</v>
      </c>
      <c r="V140" s="774">
        <v>0.2522706657837932</v>
      </c>
      <c r="W140" s="775">
        <v>0.4992113165395749</v>
      </c>
      <c r="X140" s="771">
        <v>715</v>
      </c>
      <c r="Y140" s="773"/>
    </row>
    <row r="141" spans="1:25">
      <c r="A141" s="762" t="s">
        <v>1202</v>
      </c>
      <c r="B141" s="762" t="s">
        <v>1190</v>
      </c>
      <c r="C141" s="763">
        <v>0</v>
      </c>
      <c r="D141" s="764">
        <v>0</v>
      </c>
      <c r="E141" s="765">
        <v>7.0161356712962961E-3</v>
      </c>
      <c r="F141" s="778">
        <v>300</v>
      </c>
      <c r="G141" s="763">
        <v>43.63</v>
      </c>
      <c r="H141" s="763">
        <v>9.48</v>
      </c>
      <c r="I141" s="763">
        <v>9.73</v>
      </c>
      <c r="J141" s="779">
        <v>1.8530000000000009</v>
      </c>
      <c r="K141" s="779">
        <v>2.5730000000000008</v>
      </c>
      <c r="L141" s="766">
        <v>7.31</v>
      </c>
      <c r="M141" s="766">
        <v>6.84</v>
      </c>
      <c r="N141" s="767">
        <v>-5.73</v>
      </c>
      <c r="O141" s="768">
        <v>10.772</v>
      </c>
      <c r="P141" s="769"/>
      <c r="Q141" s="770">
        <v>0.46999999999999975</v>
      </c>
      <c r="R141" s="768">
        <v>1.6780168961329869</v>
      </c>
      <c r="S141" s="768">
        <v>0.118612000277015</v>
      </c>
      <c r="T141" s="774">
        <v>5.9151988457409939E-2</v>
      </c>
      <c r="U141" s="774">
        <v>0.54672961781042173</v>
      </c>
      <c r="V141" s="774">
        <v>0.16446307016656675</v>
      </c>
      <c r="W141" s="775">
        <v>0.91742153630221801</v>
      </c>
      <c r="X141" s="771">
        <v>1691</v>
      </c>
      <c r="Y141" s="772"/>
    </row>
    <row r="142" spans="1:25">
      <c r="A142" s="762" t="s">
        <v>1203</v>
      </c>
      <c r="B142" s="762" t="s">
        <v>1204</v>
      </c>
      <c r="C142" s="763">
        <v>225.90646000000001</v>
      </c>
      <c r="D142" s="764">
        <v>2.6146581018518518E-3</v>
      </c>
      <c r="E142" s="765">
        <v>2.6146581018518518E-3</v>
      </c>
      <c r="F142" s="778">
        <v>300</v>
      </c>
      <c r="G142" s="763">
        <v>13.76</v>
      </c>
      <c r="H142" s="763">
        <v>13.2</v>
      </c>
      <c r="I142" s="763">
        <v>13.65</v>
      </c>
      <c r="J142" s="779">
        <v>1.603</v>
      </c>
      <c r="K142" s="779">
        <v>2.0830000000000006</v>
      </c>
      <c r="L142" s="766">
        <v>11.28</v>
      </c>
      <c r="M142" s="766">
        <v>11.25</v>
      </c>
      <c r="N142" s="767">
        <v>-32.700000000000003</v>
      </c>
      <c r="O142" s="768">
        <v>2.1800000000000002</v>
      </c>
      <c r="P142" s="769"/>
      <c r="Q142" s="770">
        <v>2.9999999999999361E-2</v>
      </c>
      <c r="R142" s="768">
        <v>0.75487736614685308</v>
      </c>
      <c r="S142" s="768">
        <v>5.3359125625530551E-2</v>
      </c>
      <c r="T142" s="774">
        <v>4.9001142188897222E-2</v>
      </c>
      <c r="U142" s="774">
        <v>0.51714608190482481</v>
      </c>
      <c r="V142" s="774">
        <v>0.15016832974331568</v>
      </c>
      <c r="W142" s="775">
        <v>0.39038187222147891</v>
      </c>
      <c r="X142" s="771">
        <v>2041</v>
      </c>
      <c r="Y142" s="772"/>
    </row>
    <row r="143" spans="1:25">
      <c r="A143" s="762" t="s">
        <v>1204</v>
      </c>
      <c r="B143" s="762" t="s">
        <v>1205</v>
      </c>
      <c r="C143" s="763">
        <v>0</v>
      </c>
      <c r="D143" s="764">
        <v>0</v>
      </c>
      <c r="E143" s="765">
        <v>2.6146581018518518E-3</v>
      </c>
      <c r="F143" s="778">
        <v>300</v>
      </c>
      <c r="G143" s="763">
        <v>63.93</v>
      </c>
      <c r="H143" s="763">
        <v>13.65</v>
      </c>
      <c r="I143" s="763">
        <v>12.96</v>
      </c>
      <c r="J143" s="779">
        <v>2.0830000000000006</v>
      </c>
      <c r="K143" s="779">
        <v>2.7830000000000017</v>
      </c>
      <c r="L143" s="766">
        <v>11.25</v>
      </c>
      <c r="M143" s="766">
        <v>9.86</v>
      </c>
      <c r="N143" s="767">
        <v>10.79</v>
      </c>
      <c r="O143" s="768">
        <v>21.742999999999999</v>
      </c>
      <c r="P143" s="769"/>
      <c r="Q143" s="770">
        <v>1.3900000000000006</v>
      </c>
      <c r="R143" s="768">
        <v>2.3840089968805529</v>
      </c>
      <c r="S143" s="768">
        <v>0.16851563083187934</v>
      </c>
      <c r="T143" s="774">
        <v>1.5515819446211382E-2</v>
      </c>
      <c r="U143" s="774">
        <v>0.36571699000133223</v>
      </c>
      <c r="V143" s="774">
        <v>8.6459712862718363E-2</v>
      </c>
      <c r="W143" s="775">
        <v>0.87187259447525123</v>
      </c>
      <c r="X143" s="771">
        <v>6446</v>
      </c>
      <c r="Y143" s="772"/>
    </row>
    <row r="144" spans="1:25">
      <c r="A144" s="762" t="s">
        <v>1205</v>
      </c>
      <c r="B144" s="762" t="s">
        <v>1206</v>
      </c>
      <c r="C144" s="763">
        <v>0</v>
      </c>
      <c r="D144" s="764">
        <v>0</v>
      </c>
      <c r="E144" s="765">
        <v>3.3553858796296293E-3</v>
      </c>
      <c r="F144" s="778">
        <v>300</v>
      </c>
      <c r="G144" s="763">
        <v>21.91</v>
      </c>
      <c r="H144" s="763">
        <v>12.96</v>
      </c>
      <c r="I144" s="763">
        <v>12.72</v>
      </c>
      <c r="J144" s="779">
        <v>3.3330000000000006</v>
      </c>
      <c r="K144" s="779">
        <v>3.1530000000000009</v>
      </c>
      <c r="L144" s="766">
        <v>9.31</v>
      </c>
      <c r="M144" s="766">
        <v>9.25</v>
      </c>
      <c r="N144" s="767">
        <v>10.95</v>
      </c>
      <c r="O144" s="768">
        <v>2.738</v>
      </c>
      <c r="P144" s="769"/>
      <c r="Q144" s="770">
        <v>6.0000000000000497E-2</v>
      </c>
      <c r="R144" s="768">
        <v>0.84598931723447457</v>
      </c>
      <c r="S144" s="768">
        <v>5.9799448599958969E-2</v>
      </c>
      <c r="T144" s="774">
        <v>5.611064914789083E-2</v>
      </c>
      <c r="U144" s="774">
        <v>0.53886279348787125</v>
      </c>
      <c r="V144" s="774">
        <v>0.16059962723352739</v>
      </c>
      <c r="W144" s="775">
        <v>0.45587216674586589</v>
      </c>
      <c r="X144" s="771">
        <v>1783</v>
      </c>
      <c r="Y144" s="773"/>
    </row>
    <row r="145" spans="1:25">
      <c r="A145" s="762" t="s">
        <v>1206</v>
      </c>
      <c r="B145" s="762" t="s">
        <v>1207</v>
      </c>
      <c r="C145" s="763">
        <v>30.285696000000002</v>
      </c>
      <c r="D145" s="764">
        <v>3.5052888888888889E-4</v>
      </c>
      <c r="E145" s="765">
        <v>3.7059147685185182E-3</v>
      </c>
      <c r="F145" s="778">
        <v>300</v>
      </c>
      <c r="G145" s="763">
        <v>64.540000000000006</v>
      </c>
      <c r="H145" s="763">
        <v>12.72</v>
      </c>
      <c r="I145" s="763">
        <v>11.78</v>
      </c>
      <c r="J145" s="779">
        <v>3.1530000000000009</v>
      </c>
      <c r="K145" s="779">
        <v>2.3430000000000004</v>
      </c>
      <c r="L145" s="766">
        <v>9.25</v>
      </c>
      <c r="M145" s="766">
        <v>9.1199999999999992</v>
      </c>
      <c r="N145" s="767">
        <v>14.56</v>
      </c>
      <c r="O145" s="768">
        <v>2.0139999999999998</v>
      </c>
      <c r="P145" s="769"/>
      <c r="Q145" s="770">
        <v>0.13000000000000078</v>
      </c>
      <c r="R145" s="768">
        <v>0.72556761506015954</v>
      </c>
      <c r="S145" s="768">
        <v>5.128734183597173E-2</v>
      </c>
      <c r="T145" s="774">
        <v>7.225788344365465E-2</v>
      </c>
      <c r="U145" s="774">
        <v>0.57994989385601614</v>
      </c>
      <c r="V145" s="774">
        <v>0.18128800512565313</v>
      </c>
      <c r="W145" s="775">
        <v>0.42079286133950233</v>
      </c>
      <c r="X145" s="771">
        <v>1384</v>
      </c>
      <c r="Y145" s="772"/>
    </row>
    <row r="146" spans="1:25">
      <c r="A146" s="762" t="s">
        <v>1207</v>
      </c>
      <c r="B146" s="762" t="s">
        <v>1208</v>
      </c>
      <c r="C146" s="763">
        <v>0</v>
      </c>
      <c r="D146" s="764">
        <v>0</v>
      </c>
      <c r="E146" s="765">
        <v>3.7059147685185182E-3</v>
      </c>
      <c r="F146" s="778">
        <v>300</v>
      </c>
      <c r="G146" s="763">
        <v>56.96</v>
      </c>
      <c r="H146" s="763">
        <v>11.78</v>
      </c>
      <c r="I146" s="763">
        <v>11.32</v>
      </c>
      <c r="J146" s="779">
        <v>2.3430000000000004</v>
      </c>
      <c r="K146" s="779">
        <v>2.0030000000000006</v>
      </c>
      <c r="L146" s="766">
        <v>9.1199999999999992</v>
      </c>
      <c r="M146" s="766">
        <v>9</v>
      </c>
      <c r="N146" s="767">
        <v>8.08</v>
      </c>
      <c r="O146" s="768">
        <v>2.1070000000000002</v>
      </c>
      <c r="P146" s="769"/>
      <c r="Q146" s="770">
        <v>0.11999999999999922</v>
      </c>
      <c r="R146" s="768">
        <v>0.74213074669029522</v>
      </c>
      <c r="S146" s="768">
        <v>5.2458120377015804E-2</v>
      </c>
      <c r="T146" s="774">
        <v>7.0645206917139977E-2</v>
      </c>
      <c r="U146" s="774">
        <v>0.57606126286438541</v>
      </c>
      <c r="V146" s="774">
        <v>0.17927518421541905</v>
      </c>
      <c r="W146" s="775">
        <v>0.42751277514890079</v>
      </c>
      <c r="X146" s="771">
        <v>1416</v>
      </c>
      <c r="Y146" s="772"/>
    </row>
    <row r="147" spans="1:25">
      <c r="A147" s="762" t="s">
        <v>1208</v>
      </c>
      <c r="B147" s="762" t="s">
        <v>1209</v>
      </c>
      <c r="C147" s="763">
        <v>251.77921999999995</v>
      </c>
      <c r="D147" s="764">
        <v>2.9141113425925919E-3</v>
      </c>
      <c r="E147" s="765">
        <v>6.6200261111111101E-3</v>
      </c>
      <c r="F147" s="778">
        <v>300</v>
      </c>
      <c r="G147" s="763">
        <v>50.38</v>
      </c>
      <c r="H147" s="763">
        <v>11.32</v>
      </c>
      <c r="I147" s="763">
        <v>10.67</v>
      </c>
      <c r="J147" s="779">
        <v>2.0030000000000006</v>
      </c>
      <c r="K147" s="779">
        <v>2.9129999999999998</v>
      </c>
      <c r="L147" s="766">
        <v>9</v>
      </c>
      <c r="M147" s="766">
        <v>7.44</v>
      </c>
      <c r="N147" s="767">
        <v>12.9</v>
      </c>
      <c r="O147" s="768">
        <v>30.965</v>
      </c>
      <c r="P147" s="769"/>
      <c r="Q147" s="770">
        <v>1.5599999999999996</v>
      </c>
      <c r="R147" s="768">
        <v>2.8450093582034284</v>
      </c>
      <c r="S147" s="768">
        <v>0.20110181939228305</v>
      </c>
      <c r="T147" s="774">
        <v>3.2918777816712E-2</v>
      </c>
      <c r="U147" s="774">
        <v>0.45946907404862253</v>
      </c>
      <c r="V147" s="774">
        <v>0.12408009626051007</v>
      </c>
      <c r="W147" s="775">
        <v>1.3071938154733951</v>
      </c>
      <c r="X147" s="771">
        <v>3038</v>
      </c>
      <c r="Y147" s="773"/>
    </row>
    <row r="148" spans="1:25">
      <c r="A148" s="762" t="s">
        <v>1209</v>
      </c>
      <c r="B148" s="762" t="s">
        <v>1210</v>
      </c>
      <c r="C148" s="763">
        <v>24.900424000000001</v>
      </c>
      <c r="D148" s="764">
        <v>2.8819935185185185E-4</v>
      </c>
      <c r="E148" s="765">
        <v>6.9082254629629618E-3</v>
      </c>
      <c r="F148" s="778">
        <v>300</v>
      </c>
      <c r="G148" s="763">
        <v>55</v>
      </c>
      <c r="H148" s="763">
        <v>10.67</v>
      </c>
      <c r="I148" s="763">
        <v>10.43</v>
      </c>
      <c r="J148" s="779">
        <v>2.9129999999999998</v>
      </c>
      <c r="K148" s="779">
        <v>2.9430000000000001</v>
      </c>
      <c r="L148" s="766">
        <v>7.44</v>
      </c>
      <c r="M148" s="766">
        <v>7.17</v>
      </c>
      <c r="N148" s="767">
        <v>4.3600000000000003</v>
      </c>
      <c r="O148" s="768">
        <v>4.9089999999999998</v>
      </c>
      <c r="P148" s="769"/>
      <c r="Q148" s="770">
        <v>0.27000000000000046</v>
      </c>
      <c r="R148" s="768">
        <v>1.1327776538253573</v>
      </c>
      <c r="S148" s="768">
        <v>8.0071317338321513E-2</v>
      </c>
      <c r="T148" s="774">
        <v>8.6275906187155221E-2</v>
      </c>
      <c r="U148" s="774">
        <v>0.61084314863166878</v>
      </c>
      <c r="V148" s="774">
        <v>0.19770044256881031</v>
      </c>
      <c r="W148" s="775">
        <v>0.69194946876227581</v>
      </c>
      <c r="X148" s="771">
        <v>1160</v>
      </c>
      <c r="Y148" s="772"/>
    </row>
    <row r="149" spans="1:25">
      <c r="A149" s="762" t="s">
        <v>1210</v>
      </c>
      <c r="B149" s="762" t="s">
        <v>1211</v>
      </c>
      <c r="C149" s="763">
        <v>101.09824</v>
      </c>
      <c r="D149" s="764">
        <v>1.1701185185185186E-3</v>
      </c>
      <c r="E149" s="765">
        <v>8.0783439814814811E-3</v>
      </c>
      <c r="F149" s="778">
        <v>300</v>
      </c>
      <c r="G149" s="763">
        <v>60</v>
      </c>
      <c r="H149" s="763">
        <v>10.43</v>
      </c>
      <c r="I149" s="763">
        <v>10.95</v>
      </c>
      <c r="J149" s="779">
        <v>2.9430000000000001</v>
      </c>
      <c r="K149" s="779">
        <v>3.613</v>
      </c>
      <c r="L149" s="766">
        <v>7.17</v>
      </c>
      <c r="M149" s="766">
        <v>7.02</v>
      </c>
      <c r="N149" s="767">
        <v>-8.67</v>
      </c>
      <c r="O149" s="768">
        <v>2.5</v>
      </c>
      <c r="P149" s="769"/>
      <c r="Q149" s="770">
        <v>0.15000000000000036</v>
      </c>
      <c r="R149" s="768">
        <v>0.80838484192955995</v>
      </c>
      <c r="S149" s="768">
        <v>5.714134542736133E-2</v>
      </c>
      <c r="T149" s="774">
        <v>0.14137475974818892</v>
      </c>
      <c r="U149" s="774">
        <v>0.70611580340402591</v>
      </c>
      <c r="V149" s="774">
        <v>0.25340854943301416</v>
      </c>
      <c r="W149" s="775">
        <v>0.57081331211872777</v>
      </c>
      <c r="X149" s="771">
        <v>708</v>
      </c>
      <c r="Y149" s="772"/>
    </row>
    <row r="150" spans="1:25">
      <c r="A150" s="762" t="s">
        <v>1211</v>
      </c>
      <c r="B150" s="762" t="s">
        <v>1212</v>
      </c>
      <c r="C150" s="763">
        <v>0</v>
      </c>
      <c r="D150" s="764">
        <v>0</v>
      </c>
      <c r="E150" s="765">
        <v>8.0783439814814811E-3</v>
      </c>
      <c r="F150" s="778">
        <v>300</v>
      </c>
      <c r="G150" s="763">
        <v>56.74</v>
      </c>
      <c r="H150" s="763">
        <v>10.95</v>
      </c>
      <c r="I150" s="763">
        <v>10.57</v>
      </c>
      <c r="J150" s="779">
        <v>3.613</v>
      </c>
      <c r="K150" s="779">
        <v>3.3830000000000005</v>
      </c>
      <c r="L150" s="766">
        <v>7.02</v>
      </c>
      <c r="M150" s="766">
        <v>6.87</v>
      </c>
      <c r="N150" s="767">
        <v>6.7</v>
      </c>
      <c r="O150" s="768">
        <v>2.6440000000000001</v>
      </c>
      <c r="P150" s="769"/>
      <c r="Q150" s="770">
        <v>0.14999999999999947</v>
      </c>
      <c r="R150" s="768">
        <v>0.83134039315720776</v>
      </c>
      <c r="S150" s="768">
        <v>5.8763977389439621E-2</v>
      </c>
      <c r="T150" s="774">
        <v>0.13747102119968529</v>
      </c>
      <c r="U150" s="774">
        <v>0.70067021134549823</v>
      </c>
      <c r="V150" s="774">
        <v>0.24999999999999703</v>
      </c>
      <c r="W150" s="775">
        <v>0.58249544897351035</v>
      </c>
      <c r="X150" s="771">
        <v>728</v>
      </c>
      <c r="Y150" s="773"/>
    </row>
    <row r="151" spans="1:25">
      <c r="A151" s="762" t="s">
        <v>1212</v>
      </c>
      <c r="B151" s="762" t="s">
        <v>1213</v>
      </c>
      <c r="C151" s="763">
        <v>63.516544000000003</v>
      </c>
      <c r="D151" s="764">
        <v>7.351451851851852E-4</v>
      </c>
      <c r="E151" s="765">
        <v>8.8134891666666656E-3</v>
      </c>
      <c r="F151" s="778">
        <v>300</v>
      </c>
      <c r="G151" s="763">
        <v>39.9</v>
      </c>
      <c r="H151" s="763">
        <v>10.57</v>
      </c>
      <c r="I151" s="763">
        <v>8.82</v>
      </c>
      <c r="J151" s="779">
        <v>3.3830000000000005</v>
      </c>
      <c r="K151" s="779">
        <v>1.7430000000000005</v>
      </c>
      <c r="L151" s="766">
        <v>6.87</v>
      </c>
      <c r="M151" s="766">
        <v>6.76</v>
      </c>
      <c r="N151" s="767">
        <v>43.86</v>
      </c>
      <c r="O151" s="768">
        <v>2.7570000000000001</v>
      </c>
      <c r="P151" s="769"/>
      <c r="Q151" s="770">
        <v>0.11000000000000032</v>
      </c>
      <c r="R151" s="768">
        <v>0.84891955971992983</v>
      </c>
      <c r="S151" s="768">
        <v>6.0006575192842214E-2</v>
      </c>
      <c r="T151" s="774">
        <v>0.14687539054416771</v>
      </c>
      <c r="U151" s="774">
        <v>0.71334195993963134</v>
      </c>
      <c r="V151" s="774">
        <v>0.25797690696910525</v>
      </c>
      <c r="W151" s="775">
        <v>0.60556994256170371</v>
      </c>
      <c r="X151" s="771">
        <v>681</v>
      </c>
      <c r="Y151" s="772"/>
    </row>
    <row r="152" spans="1:25">
      <c r="A152" s="762" t="s">
        <v>1213</v>
      </c>
      <c r="B152" s="762" t="s">
        <v>1214</v>
      </c>
      <c r="C152" s="763">
        <v>0</v>
      </c>
      <c r="D152" s="764">
        <v>0</v>
      </c>
      <c r="E152" s="765">
        <v>8.8134891666666656E-3</v>
      </c>
      <c r="F152" s="778">
        <v>300</v>
      </c>
      <c r="G152" s="763">
        <v>30.5</v>
      </c>
      <c r="H152" s="763">
        <v>8.82</v>
      </c>
      <c r="I152" s="763">
        <v>8.7200000000000006</v>
      </c>
      <c r="J152" s="779">
        <v>1.7430000000000005</v>
      </c>
      <c r="K152" s="779">
        <v>1.7030000000000005</v>
      </c>
      <c r="L152" s="766">
        <v>6.76</v>
      </c>
      <c r="M152" s="766">
        <v>6.7</v>
      </c>
      <c r="N152" s="767">
        <v>3.28</v>
      </c>
      <c r="O152" s="768">
        <v>1.9670000000000001</v>
      </c>
      <c r="P152" s="769"/>
      <c r="Q152" s="770">
        <v>5.9999999999999609E-2</v>
      </c>
      <c r="R152" s="768">
        <v>0.71705148088129078</v>
      </c>
      <c r="S152" s="768">
        <v>5.0685371908308359E-2</v>
      </c>
      <c r="T152" s="774">
        <v>0.17388624833631647</v>
      </c>
      <c r="U152" s="774">
        <v>0.74884908734240618</v>
      </c>
      <c r="V152" s="774">
        <v>0.28120668290048739</v>
      </c>
      <c r="W152" s="775">
        <v>0.53696334703547544</v>
      </c>
      <c r="X152" s="771">
        <v>576</v>
      </c>
      <c r="Y152" s="772"/>
    </row>
    <row r="153" spans="1:25">
      <c r="A153" s="762" t="s">
        <v>1214</v>
      </c>
      <c r="B153" s="762" t="s">
        <v>1215</v>
      </c>
      <c r="C153" s="763">
        <v>0</v>
      </c>
      <c r="D153" s="764">
        <v>0</v>
      </c>
      <c r="E153" s="765">
        <v>8.8134891666666656E-3</v>
      </c>
      <c r="F153" s="778">
        <v>300</v>
      </c>
      <c r="G153" s="763">
        <v>58.81</v>
      </c>
      <c r="H153" s="763">
        <v>8.7200000000000006</v>
      </c>
      <c r="I153" s="763">
        <v>8.56</v>
      </c>
      <c r="J153" s="779">
        <v>1.7030000000000005</v>
      </c>
      <c r="K153" s="779">
        <v>1.6630000000000005</v>
      </c>
      <c r="L153" s="766">
        <v>6.7</v>
      </c>
      <c r="M153" s="766">
        <v>6.58</v>
      </c>
      <c r="N153" s="767">
        <v>2.72</v>
      </c>
      <c r="O153" s="768">
        <v>2.04</v>
      </c>
      <c r="P153" s="769"/>
      <c r="Q153" s="770">
        <v>0.12000000000000011</v>
      </c>
      <c r="R153" s="768">
        <v>0.73023600224295115</v>
      </c>
      <c r="S153" s="768">
        <v>5.1617330612064846E-2</v>
      </c>
      <c r="T153" s="774">
        <v>0.17074670584779586</v>
      </c>
      <c r="U153" s="774">
        <v>0.7453469410218555</v>
      </c>
      <c r="V153" s="774">
        <v>0.27885565489049602</v>
      </c>
      <c r="W153" s="775">
        <v>0.54427917049581243</v>
      </c>
      <c r="X153" s="771">
        <v>586</v>
      </c>
      <c r="Y153" s="772"/>
    </row>
    <row r="154" spans="1:25">
      <c r="A154" s="762" t="s">
        <v>1215</v>
      </c>
      <c r="B154" s="762" t="s">
        <v>1311</v>
      </c>
      <c r="C154" s="763">
        <v>130.10156000000001</v>
      </c>
      <c r="D154" s="764">
        <v>1.5058050925925927E-3</v>
      </c>
      <c r="E154" s="765">
        <v>1.0319294259259258E-2</v>
      </c>
      <c r="F154" s="778">
        <v>300</v>
      </c>
      <c r="G154" s="763">
        <v>5.94</v>
      </c>
      <c r="H154" s="763">
        <v>8.56</v>
      </c>
      <c r="I154" s="763">
        <v>8.4700000000000006</v>
      </c>
      <c r="J154" s="779">
        <v>1.6630000000000005</v>
      </c>
      <c r="K154" s="779">
        <v>1.6630000000000005</v>
      </c>
      <c r="L154" s="766">
        <v>6.58</v>
      </c>
      <c r="M154" s="766">
        <v>6.49</v>
      </c>
      <c r="N154" s="767">
        <v>15.15</v>
      </c>
      <c r="O154" s="768">
        <v>15.151999999999999</v>
      </c>
      <c r="P154" s="769"/>
      <c r="Q154" s="770">
        <v>8.9999999999999858E-2</v>
      </c>
      <c r="R154" s="768">
        <v>1.9901377510038583</v>
      </c>
      <c r="S154" s="768">
        <v>0.14067451884266355</v>
      </c>
      <c r="T154" s="774">
        <v>7.3355816989150696E-2</v>
      </c>
      <c r="U154" s="774">
        <v>0.5818920891299183</v>
      </c>
      <c r="V154" s="774">
        <v>0.18229769565792747</v>
      </c>
      <c r="W154" s="775">
        <v>1.1580454135879523</v>
      </c>
      <c r="X154" s="771">
        <v>1364</v>
      </c>
      <c r="Y154" s="773"/>
    </row>
    <row r="155" spans="1:25">
      <c r="A155" s="762" t="s">
        <v>1311</v>
      </c>
      <c r="B155" s="762" t="s">
        <v>1312</v>
      </c>
      <c r="C155" s="763">
        <v>0</v>
      </c>
      <c r="D155" s="764">
        <v>0</v>
      </c>
      <c r="E155" s="765">
        <v>1.0319294259259258E-2</v>
      </c>
      <c r="F155" s="778">
        <v>300</v>
      </c>
      <c r="G155" s="763">
        <v>52.16</v>
      </c>
      <c r="H155" s="763">
        <v>8.4700000000000006</v>
      </c>
      <c r="I155" s="763">
        <v>8.1999999999999993</v>
      </c>
      <c r="J155" s="779">
        <v>1.6630000000000005</v>
      </c>
      <c r="K155" s="779">
        <v>1.6629999999999996</v>
      </c>
      <c r="L155" s="766">
        <v>6.49</v>
      </c>
      <c r="M155" s="766">
        <v>6.22</v>
      </c>
      <c r="N155" s="767">
        <v>5.18</v>
      </c>
      <c r="O155" s="768">
        <v>5.1760000000000002</v>
      </c>
      <c r="P155" s="769"/>
      <c r="Q155" s="770">
        <v>0.27000000000000046</v>
      </c>
      <c r="R155" s="768">
        <v>1.1631756202011487</v>
      </c>
      <c r="S155" s="768">
        <v>8.2220022517926761E-2</v>
      </c>
      <c r="T155" s="774">
        <v>0.12550828792353227</v>
      </c>
      <c r="U155" s="774">
        <v>0.68236270525628517</v>
      </c>
      <c r="V155" s="774">
        <v>0.23875071764202282</v>
      </c>
      <c r="W155" s="775">
        <v>0.79370766288861316</v>
      </c>
      <c r="X155" s="771">
        <v>797</v>
      </c>
      <c r="Y155" s="772"/>
    </row>
    <row r="156" spans="1:25">
      <c r="A156" s="762" t="s">
        <v>1312</v>
      </c>
      <c r="B156" s="762" t="s">
        <v>1313</v>
      </c>
      <c r="C156" s="763">
        <v>85.098023999999995</v>
      </c>
      <c r="D156" s="764">
        <v>9.8493083333333329E-4</v>
      </c>
      <c r="E156" s="765">
        <v>1.1304225092592591E-2</v>
      </c>
      <c r="F156" s="778">
        <v>300</v>
      </c>
      <c r="G156" s="763">
        <v>50.9</v>
      </c>
      <c r="H156" s="763">
        <v>8.1999999999999993</v>
      </c>
      <c r="I156" s="763">
        <v>7.94</v>
      </c>
      <c r="J156" s="779">
        <v>1.6629999999999996</v>
      </c>
      <c r="K156" s="779">
        <v>1.6630000000000005</v>
      </c>
      <c r="L156" s="766">
        <v>6.22</v>
      </c>
      <c r="M156" s="766">
        <v>5.96</v>
      </c>
      <c r="N156" s="767">
        <v>5.1100000000000003</v>
      </c>
      <c r="O156" s="768">
        <v>5.1079999999999997</v>
      </c>
      <c r="P156" s="769"/>
      <c r="Q156" s="770">
        <v>0.25999999999999979</v>
      </c>
      <c r="R156" s="768">
        <v>1.1555097155792049</v>
      </c>
      <c r="S156" s="768">
        <v>8.1678151763682885E-2</v>
      </c>
      <c r="T156" s="774">
        <v>0.13839961909641135</v>
      </c>
      <c r="U156" s="774">
        <v>0.70248785414903436</v>
      </c>
      <c r="V156" s="774">
        <v>0.25113448004369088</v>
      </c>
      <c r="W156" s="775">
        <v>0.81173154054559671</v>
      </c>
      <c r="X156" s="771">
        <v>723</v>
      </c>
      <c r="Y156" s="772"/>
    </row>
    <row r="157" spans="1:25">
      <c r="A157" s="762" t="s">
        <v>1313</v>
      </c>
      <c r="B157" s="762" t="s">
        <v>1314</v>
      </c>
      <c r="C157" s="763">
        <v>0</v>
      </c>
      <c r="D157" s="764">
        <v>0</v>
      </c>
      <c r="E157" s="765">
        <v>1.1304225092592591E-2</v>
      </c>
      <c r="F157" s="778">
        <v>300</v>
      </c>
      <c r="G157" s="763">
        <v>22.8</v>
      </c>
      <c r="H157" s="763">
        <v>7.94</v>
      </c>
      <c r="I157" s="763">
        <v>7.8</v>
      </c>
      <c r="J157" s="779">
        <v>1.6630000000000005</v>
      </c>
      <c r="K157" s="779">
        <v>1.6629999999999996</v>
      </c>
      <c r="L157" s="766">
        <v>5.96</v>
      </c>
      <c r="M157" s="766">
        <v>5.82</v>
      </c>
      <c r="N157" s="767">
        <v>6.14</v>
      </c>
      <c r="O157" s="768">
        <v>6.14</v>
      </c>
      <c r="P157" s="769"/>
      <c r="Q157" s="770">
        <v>0.13999999999999968</v>
      </c>
      <c r="R157" s="768">
        <v>1.2668708479306776</v>
      </c>
      <c r="S157" s="768">
        <v>8.9549804720075246E-2</v>
      </c>
      <c r="T157" s="774">
        <v>0.12623394465156676</v>
      </c>
      <c r="U157" s="774">
        <v>0.68420396303047748</v>
      </c>
      <c r="V157" s="774">
        <v>0.23986771501895021</v>
      </c>
      <c r="W157" s="775">
        <v>0.86679805480195105</v>
      </c>
      <c r="X157" s="771">
        <v>793</v>
      </c>
      <c r="Y157" s="773"/>
    </row>
    <row r="158" spans="1:25">
      <c r="A158" s="762" t="s">
        <v>1314</v>
      </c>
      <c r="B158" s="762" t="s">
        <v>1315</v>
      </c>
      <c r="C158" s="763">
        <v>0</v>
      </c>
      <c r="D158" s="764">
        <v>0</v>
      </c>
      <c r="E158" s="765">
        <v>1.1304225092592591E-2</v>
      </c>
      <c r="F158" s="778">
        <v>300</v>
      </c>
      <c r="G158" s="763">
        <v>32.270000000000003</v>
      </c>
      <c r="H158" s="763">
        <v>7.8</v>
      </c>
      <c r="I158" s="763">
        <v>7.62</v>
      </c>
      <c r="J158" s="779">
        <v>1.6629999999999996</v>
      </c>
      <c r="K158" s="779">
        <v>2.1430000000000002</v>
      </c>
      <c r="L158" s="766">
        <v>5.82</v>
      </c>
      <c r="M158" s="766">
        <v>5.16</v>
      </c>
      <c r="N158" s="767">
        <v>5.58</v>
      </c>
      <c r="O158" s="768">
        <v>20.452000000000002</v>
      </c>
      <c r="P158" s="769"/>
      <c r="Q158" s="770">
        <v>0.66000000000000014</v>
      </c>
      <c r="R158" s="768">
        <v>2.3121502329245462</v>
      </c>
      <c r="S158" s="768">
        <v>0.16343623517746256</v>
      </c>
      <c r="T158" s="774">
        <v>6.9165966043688062E-2</v>
      </c>
      <c r="U158" s="774">
        <v>0.57216709291143353</v>
      </c>
      <c r="V158" s="774">
        <v>0.17727115613802275</v>
      </c>
      <c r="W158" s="775">
        <v>1.3229362771469315</v>
      </c>
      <c r="X158" s="771">
        <v>1446</v>
      </c>
      <c r="Y158" s="772"/>
    </row>
    <row r="159" spans="1:25">
      <c r="A159" s="762" t="s">
        <v>1315</v>
      </c>
      <c r="B159" s="762" t="s">
        <v>1316</v>
      </c>
      <c r="C159" s="763">
        <v>100.499364</v>
      </c>
      <c r="D159" s="764">
        <v>1.1631870833333333E-3</v>
      </c>
      <c r="E159" s="765">
        <v>1.2467412175925924E-2</v>
      </c>
      <c r="F159" s="778">
        <v>300</v>
      </c>
      <c r="G159" s="763">
        <v>27.4</v>
      </c>
      <c r="H159" s="763">
        <v>7.62</v>
      </c>
      <c r="I159" s="763">
        <v>7.67</v>
      </c>
      <c r="J159" s="779">
        <v>2.1430000000000002</v>
      </c>
      <c r="K159" s="779">
        <v>2.3030000000000004</v>
      </c>
      <c r="L159" s="766">
        <v>5.16</v>
      </c>
      <c r="M159" s="766">
        <v>5.05</v>
      </c>
      <c r="N159" s="767">
        <v>-1.82</v>
      </c>
      <c r="O159" s="768">
        <v>4.0149999999999997</v>
      </c>
      <c r="P159" s="769"/>
      <c r="Q159" s="770">
        <v>0.11000000000000032</v>
      </c>
      <c r="R159" s="768">
        <v>1.0244503895134873</v>
      </c>
      <c r="S159" s="768">
        <v>7.2414115832080253E-2</v>
      </c>
      <c r="T159" s="774">
        <v>0.17216825797937482</v>
      </c>
      <c r="U159" s="774">
        <v>0.74709940540545638</v>
      </c>
      <c r="V159" s="774">
        <v>0.28003041507203907</v>
      </c>
      <c r="W159" s="775">
        <v>0.76536627687291459</v>
      </c>
      <c r="X159" s="771">
        <v>581</v>
      </c>
      <c r="Y159" s="772"/>
    </row>
    <row r="160" spans="1:25">
      <c r="A160" s="762" t="s">
        <v>1316</v>
      </c>
      <c r="B160" s="762" t="s">
        <v>1216</v>
      </c>
      <c r="C160" s="763">
        <v>0</v>
      </c>
      <c r="D160" s="764">
        <v>0</v>
      </c>
      <c r="E160" s="765">
        <v>1.2467412175925924E-2</v>
      </c>
      <c r="F160" s="778">
        <v>300</v>
      </c>
      <c r="G160" s="763">
        <v>56.47</v>
      </c>
      <c r="H160" s="763">
        <v>7.67</v>
      </c>
      <c r="I160" s="763">
        <v>11.37</v>
      </c>
      <c r="J160" s="779">
        <v>2.3030000000000004</v>
      </c>
      <c r="K160" s="779">
        <v>6.1129999999999987</v>
      </c>
      <c r="L160" s="766">
        <v>5.05</v>
      </c>
      <c r="M160" s="766">
        <v>4.9400000000000004</v>
      </c>
      <c r="N160" s="767">
        <v>-65.52</v>
      </c>
      <c r="O160" s="768">
        <v>1.948</v>
      </c>
      <c r="P160" s="769"/>
      <c r="Q160" s="770">
        <v>0.10999999999999943</v>
      </c>
      <c r="R160" s="768">
        <v>0.713579941025408</v>
      </c>
      <c r="S160" s="768">
        <v>5.0439983266932609E-2</v>
      </c>
      <c r="T160" s="774">
        <v>0.24717320205970997</v>
      </c>
      <c r="U160" s="774">
        <v>0.82771467721167713</v>
      </c>
      <c r="V160" s="774">
        <v>0.33804129090092394</v>
      </c>
      <c r="W160" s="775">
        <v>0.59064059055057316</v>
      </c>
      <c r="X160" s="771">
        <v>405</v>
      </c>
      <c r="Y160" s="773"/>
    </row>
    <row r="161" spans="1:25">
      <c r="A161" s="762" t="s">
        <v>1216</v>
      </c>
      <c r="B161" s="762" t="s">
        <v>1217</v>
      </c>
      <c r="C161" s="763">
        <v>263.29939999999999</v>
      </c>
      <c r="D161" s="764">
        <v>3.0474467592592593E-3</v>
      </c>
      <c r="E161" s="765">
        <v>1.5514858935185182E-2</v>
      </c>
      <c r="F161" s="778">
        <v>300</v>
      </c>
      <c r="G161" s="763">
        <v>14.25</v>
      </c>
      <c r="H161" s="763">
        <v>11.37</v>
      </c>
      <c r="I161" s="763">
        <v>10.83</v>
      </c>
      <c r="J161" s="779">
        <v>6.1129999999999987</v>
      </c>
      <c r="K161" s="779">
        <v>5.6029999999999998</v>
      </c>
      <c r="L161" s="766">
        <v>4.9400000000000004</v>
      </c>
      <c r="M161" s="766">
        <v>4.91</v>
      </c>
      <c r="N161" s="767">
        <v>37.89</v>
      </c>
      <c r="O161" s="768">
        <v>2.105</v>
      </c>
      <c r="P161" s="769"/>
      <c r="Q161" s="770">
        <v>3.0000000000000249E-2</v>
      </c>
      <c r="R161" s="768">
        <v>0.74177844154502481</v>
      </c>
      <c r="S161" s="768">
        <v>5.2433217398932148E-2</v>
      </c>
      <c r="T161" s="774">
        <v>0.29589751887896082</v>
      </c>
      <c r="U161" s="774">
        <v>0.86974588977241651</v>
      </c>
      <c r="V161" s="774">
        <v>0.37185531343350164</v>
      </c>
      <c r="W161" s="775">
        <v>0.64515875065557404</v>
      </c>
      <c r="X161" s="771">
        <v>338</v>
      </c>
      <c r="Y161" s="772"/>
    </row>
    <row r="162" spans="1:25">
      <c r="A162" s="762" t="s">
        <v>1217</v>
      </c>
      <c r="B162" s="762" t="s">
        <v>1218</v>
      </c>
      <c r="C162" s="763">
        <v>511.81001099999997</v>
      </c>
      <c r="D162" s="764">
        <v>5.923726979166666E-3</v>
      </c>
      <c r="E162" s="765">
        <v>2.3730376192129626E-2</v>
      </c>
      <c r="F162" s="778">
        <v>300</v>
      </c>
      <c r="G162" s="763">
        <v>72.7</v>
      </c>
      <c r="H162" s="763">
        <v>10.83</v>
      </c>
      <c r="I162" s="763">
        <v>10.79</v>
      </c>
      <c r="J162" s="779">
        <v>5.6029999999999998</v>
      </c>
      <c r="K162" s="779">
        <v>5.7529999999999992</v>
      </c>
      <c r="L162" s="766">
        <v>4.91</v>
      </c>
      <c r="M162" s="766">
        <v>4.72</v>
      </c>
      <c r="N162" s="767">
        <v>0.55000000000000004</v>
      </c>
      <c r="O162" s="768">
        <v>2.613</v>
      </c>
      <c r="P162" s="769"/>
      <c r="Q162" s="770">
        <v>0.19000000000000039</v>
      </c>
      <c r="R162" s="768">
        <v>0.82645243192925399</v>
      </c>
      <c r="S162" s="768">
        <v>5.8418467841913506E-2</v>
      </c>
      <c r="T162" s="774">
        <v>0.40621360108838372</v>
      </c>
      <c r="U162" s="774">
        <v>0.9469990644437255</v>
      </c>
      <c r="V162" s="774">
        <v>0.44253142475356938</v>
      </c>
      <c r="W162" s="775">
        <v>0.78264967984424527</v>
      </c>
      <c r="X162" s="771">
        <v>247</v>
      </c>
      <c r="Y162" s="772"/>
    </row>
    <row r="163" spans="1:25">
      <c r="A163" s="762" t="s">
        <v>1218</v>
      </c>
      <c r="B163" s="762" t="s">
        <v>1219</v>
      </c>
      <c r="C163" s="763">
        <v>0</v>
      </c>
      <c r="D163" s="764">
        <v>0</v>
      </c>
      <c r="E163" s="765">
        <v>2.3730376192129626E-2</v>
      </c>
      <c r="F163" s="778">
        <v>300</v>
      </c>
      <c r="G163" s="763">
        <v>36</v>
      </c>
      <c r="H163" s="763">
        <v>10.79</v>
      </c>
      <c r="I163" s="763">
        <v>10.68</v>
      </c>
      <c r="J163" s="779">
        <v>5.7529999999999992</v>
      </c>
      <c r="K163" s="779">
        <v>5.7129999999999992</v>
      </c>
      <c r="L163" s="766">
        <v>4.72</v>
      </c>
      <c r="M163" s="766">
        <v>4.6500000000000004</v>
      </c>
      <c r="N163" s="767">
        <v>3.06</v>
      </c>
      <c r="O163" s="768">
        <v>1.944</v>
      </c>
      <c r="P163" s="769"/>
      <c r="Q163" s="770">
        <v>6.9999999999999396E-2</v>
      </c>
      <c r="R163" s="768">
        <v>0.71284693627002882</v>
      </c>
      <c r="S163" s="768">
        <v>5.0388170224734727E-2</v>
      </c>
      <c r="T163" s="774">
        <v>0.47095133810754597</v>
      </c>
      <c r="U163" s="774">
        <v>0.98402308375759229</v>
      </c>
      <c r="V163" s="774">
        <v>0.4816781456467259</v>
      </c>
      <c r="W163" s="775">
        <v>0.70145784047558557</v>
      </c>
      <c r="X163" s="771">
        <v>213</v>
      </c>
      <c r="Y163" s="772"/>
    </row>
    <row r="164" spans="1:25">
      <c r="A164" s="762" t="s">
        <v>1219</v>
      </c>
      <c r="B164" s="762" t="s">
        <v>1220</v>
      </c>
      <c r="C164" s="763">
        <v>170.52139</v>
      </c>
      <c r="D164" s="764">
        <v>1.973627199074074E-3</v>
      </c>
      <c r="E164" s="765">
        <v>2.5704003391203701E-2</v>
      </c>
      <c r="F164" s="778">
        <v>300</v>
      </c>
      <c r="G164" s="763">
        <v>39.700000000000003</v>
      </c>
      <c r="H164" s="763">
        <v>10.68</v>
      </c>
      <c r="I164" s="763">
        <v>10.51</v>
      </c>
      <c r="J164" s="779">
        <v>5.7129999999999992</v>
      </c>
      <c r="K164" s="779">
        <v>5.6229999999999993</v>
      </c>
      <c r="L164" s="766">
        <v>4.6500000000000004</v>
      </c>
      <c r="M164" s="766">
        <v>4.57</v>
      </c>
      <c r="N164" s="767">
        <v>4.28</v>
      </c>
      <c r="O164" s="768">
        <v>2.0150000000000001</v>
      </c>
      <c r="P164" s="769"/>
      <c r="Q164" s="770">
        <v>8.0000000000000071E-2</v>
      </c>
      <c r="R164" s="768">
        <v>0.72574772369271168</v>
      </c>
      <c r="S164" s="768">
        <v>5.1300072962352755E-2</v>
      </c>
      <c r="T164" s="774">
        <v>0.50105198505403548</v>
      </c>
      <c r="U164" s="774">
        <v>1.0000000000000044</v>
      </c>
      <c r="V164" s="774">
        <v>0.50000000000000488</v>
      </c>
      <c r="W164" s="775">
        <v>0.7257477236927149</v>
      </c>
      <c r="X164" s="771">
        <v>200</v>
      </c>
      <c r="Y164" s="773"/>
    </row>
    <row r="165" spans="1:25">
      <c r="A165" s="762" t="s">
        <v>1220</v>
      </c>
      <c r="B165" s="762" t="s">
        <v>1194</v>
      </c>
      <c r="C165" s="763">
        <v>0</v>
      </c>
      <c r="D165" s="764">
        <v>0</v>
      </c>
      <c r="E165" s="765">
        <v>2.5704003391203701E-2</v>
      </c>
      <c r="F165" s="778">
        <v>300</v>
      </c>
      <c r="G165" s="763">
        <v>28.5</v>
      </c>
      <c r="H165" s="763">
        <v>10.51</v>
      </c>
      <c r="I165" s="763">
        <v>9.7200000000000006</v>
      </c>
      <c r="J165" s="779">
        <v>5.6229999999999993</v>
      </c>
      <c r="K165" s="779">
        <v>5.0830000000000002</v>
      </c>
      <c r="L165" s="766">
        <v>4.57</v>
      </c>
      <c r="M165" s="766">
        <v>4.32</v>
      </c>
      <c r="N165" s="767">
        <v>27.72</v>
      </c>
      <c r="O165" s="768">
        <v>8.7720000000000002</v>
      </c>
      <c r="P165" s="769"/>
      <c r="Q165" s="770">
        <v>0.25</v>
      </c>
      <c r="R165" s="768">
        <v>1.5142496034599446</v>
      </c>
      <c r="S165" s="768">
        <v>0.10703597490524103</v>
      </c>
      <c r="T165" s="774">
        <v>0.24014359110532194</v>
      </c>
      <c r="U165" s="774">
        <v>0.8212747390723879</v>
      </c>
      <c r="V165" s="774">
        <v>0.33309657038311297</v>
      </c>
      <c r="W165" s="775">
        <v>1.2436149479720329</v>
      </c>
      <c r="X165" s="771">
        <v>417</v>
      </c>
      <c r="Y165" s="772"/>
    </row>
    <row r="166" spans="1:25">
      <c r="A166" s="762" t="s">
        <v>1221</v>
      </c>
      <c r="B166" s="762" t="s">
        <v>1205</v>
      </c>
      <c r="C166" s="763">
        <v>63.99888</v>
      </c>
      <c r="D166" s="764">
        <v>7.4072777777777778E-4</v>
      </c>
      <c r="E166" s="765">
        <v>7.4072777777777778E-4</v>
      </c>
      <c r="F166" s="778">
        <v>300</v>
      </c>
      <c r="G166" s="763">
        <v>12.18</v>
      </c>
      <c r="H166" s="763">
        <v>12.94</v>
      </c>
      <c r="I166" s="763">
        <v>12.96</v>
      </c>
      <c r="J166" s="779">
        <v>2.3530000000000002</v>
      </c>
      <c r="K166" s="779">
        <v>2.7830000000000017</v>
      </c>
      <c r="L166" s="766">
        <v>10.27</v>
      </c>
      <c r="M166" s="766">
        <v>9.86</v>
      </c>
      <c r="N166" s="767">
        <v>-1.64</v>
      </c>
      <c r="O166" s="768">
        <v>33.661999999999999</v>
      </c>
      <c r="P166" s="769"/>
      <c r="Q166" s="770">
        <v>0.41000000000000014</v>
      </c>
      <c r="R166" s="768">
        <v>2.9663207853966651</v>
      </c>
      <c r="S166" s="768">
        <v>0.20967681709880731</v>
      </c>
      <c r="T166" s="774">
        <v>3.5327118564028948E-3</v>
      </c>
      <c r="U166" s="774">
        <v>0.23364444772016063</v>
      </c>
      <c r="V166" s="774">
        <v>4.32272711786994E-2</v>
      </c>
      <c r="W166" s="775">
        <v>0.69306438166483697</v>
      </c>
      <c r="X166" s="771">
        <v>28307</v>
      </c>
      <c r="Y166" s="772"/>
    </row>
    <row r="167" spans="1:25">
      <c r="A167" s="762" t="s">
        <v>1222</v>
      </c>
      <c r="B167" s="762" t="s">
        <v>1223</v>
      </c>
      <c r="C167" s="763">
        <v>198.01068000000001</v>
      </c>
      <c r="D167" s="764">
        <v>2.2917902777777779E-3</v>
      </c>
      <c r="E167" s="765">
        <v>2.2917902777777779E-3</v>
      </c>
      <c r="F167" s="778">
        <v>300</v>
      </c>
      <c r="G167" s="763">
        <v>32.270000000000003</v>
      </c>
      <c r="H167" s="763">
        <v>12.77</v>
      </c>
      <c r="I167" s="763">
        <v>11.71</v>
      </c>
      <c r="J167" s="779">
        <v>5.1929999999999996</v>
      </c>
      <c r="K167" s="779">
        <v>5.2330000000000005</v>
      </c>
      <c r="L167" s="766">
        <v>7.26</v>
      </c>
      <c r="M167" s="766">
        <v>6.16</v>
      </c>
      <c r="N167" s="767">
        <v>32.85</v>
      </c>
      <c r="O167" s="768">
        <v>34.087000000000003</v>
      </c>
      <c r="P167" s="769"/>
      <c r="Q167" s="770">
        <v>1.0999999999999996</v>
      </c>
      <c r="R167" s="768">
        <v>2.9849877103312741</v>
      </c>
      <c r="S167" s="768">
        <v>0.21099630399468861</v>
      </c>
      <c r="T167" s="774">
        <v>1.0861755558692008E-2</v>
      </c>
      <c r="U167" s="774">
        <v>0.32814478915475137</v>
      </c>
      <c r="V167" s="774">
        <v>7.2997430557449894E-2</v>
      </c>
      <c r="W167" s="775">
        <v>0.97950816283618003</v>
      </c>
      <c r="X167" s="771">
        <v>9207</v>
      </c>
      <c r="Y167" s="773"/>
    </row>
    <row r="168" spans="1:25">
      <c r="A168" s="762" t="s">
        <v>1223</v>
      </c>
      <c r="B168" s="762" t="s">
        <v>1217</v>
      </c>
      <c r="C168" s="763">
        <v>0</v>
      </c>
      <c r="D168" s="764">
        <v>0</v>
      </c>
      <c r="E168" s="765">
        <v>2.2917902777777779E-3</v>
      </c>
      <c r="F168" s="778">
        <v>300</v>
      </c>
      <c r="G168" s="763">
        <v>6.04</v>
      </c>
      <c r="H168" s="763">
        <v>11.71</v>
      </c>
      <c r="I168" s="763">
        <v>10.83</v>
      </c>
      <c r="J168" s="779">
        <v>5.7830000000000004</v>
      </c>
      <c r="K168" s="779">
        <v>5.0529999999999999</v>
      </c>
      <c r="L168" s="766">
        <v>5.61</v>
      </c>
      <c r="M168" s="766">
        <v>5.46</v>
      </c>
      <c r="N168" s="767">
        <v>145.69999999999999</v>
      </c>
      <c r="O168" s="768">
        <v>24.834</v>
      </c>
      <c r="P168" s="769"/>
      <c r="Q168" s="770">
        <v>0.15000000000000036</v>
      </c>
      <c r="R168" s="768">
        <v>2.5478361510737053</v>
      </c>
      <c r="S168" s="768">
        <v>0.18009588756428874</v>
      </c>
      <c r="T168" s="774">
        <v>1.272538928441483E-2</v>
      </c>
      <c r="U168" s="774">
        <v>0.34392232714001469</v>
      </c>
      <c r="V168" s="774">
        <v>7.8538878814502167E-2</v>
      </c>
      <c r="W168" s="775">
        <v>0.87625773824872677</v>
      </c>
      <c r="X168" s="771">
        <v>7859</v>
      </c>
      <c r="Y168" s="772"/>
    </row>
    <row r="169" spans="1:25">
      <c r="A169" s="762" t="s">
        <v>1224</v>
      </c>
      <c r="B169" s="762" t="s">
        <v>1186</v>
      </c>
      <c r="C169" s="763">
        <v>509.80511999999999</v>
      </c>
      <c r="D169" s="764">
        <v>5.9005222222222225E-3</v>
      </c>
      <c r="E169" s="765">
        <v>5.9005222222222225E-3</v>
      </c>
      <c r="F169" s="778">
        <v>300</v>
      </c>
      <c r="G169" s="763">
        <v>6</v>
      </c>
      <c r="H169" s="763">
        <v>11.63</v>
      </c>
      <c r="I169" s="763">
        <v>11.48</v>
      </c>
      <c r="J169" s="779">
        <v>1.2030000000000014</v>
      </c>
      <c r="K169" s="779">
        <v>1.2130000000000012</v>
      </c>
      <c r="L169" s="766">
        <v>10.11</v>
      </c>
      <c r="M169" s="766">
        <v>9.9499999999999993</v>
      </c>
      <c r="N169" s="767">
        <v>25</v>
      </c>
      <c r="O169" s="768">
        <v>26.667000000000002</v>
      </c>
      <c r="P169" s="769"/>
      <c r="Q169" s="770">
        <v>0.16000000000000014</v>
      </c>
      <c r="R169" s="768">
        <v>2.640190339072066</v>
      </c>
      <c r="S169" s="768">
        <v>0.18662401907338702</v>
      </c>
      <c r="T169" s="774">
        <v>3.1617164025933515E-2</v>
      </c>
      <c r="U169" s="774">
        <v>0.45348068775480221</v>
      </c>
      <c r="V169" s="774">
        <v>0.12150247217412057</v>
      </c>
      <c r="W169" s="775">
        <v>1.1972753307659849</v>
      </c>
      <c r="X169" s="771">
        <v>3163</v>
      </c>
      <c r="Y169" s="772"/>
    </row>
    <row r="170" spans="1:25">
      <c r="A170" s="762" t="s">
        <v>1225</v>
      </c>
      <c r="B170" s="762" t="s">
        <v>1199</v>
      </c>
      <c r="C170" s="763">
        <v>251.701562</v>
      </c>
      <c r="D170" s="764">
        <v>2.9132125231481482E-3</v>
      </c>
      <c r="E170" s="765">
        <v>2.9132125231481482E-3</v>
      </c>
      <c r="F170" s="778">
        <v>300</v>
      </c>
      <c r="G170" s="763">
        <v>24</v>
      </c>
      <c r="H170" s="763">
        <v>11.9</v>
      </c>
      <c r="I170" s="763">
        <v>11.9</v>
      </c>
      <c r="J170" s="779">
        <v>1.3130000000000008</v>
      </c>
      <c r="K170" s="779">
        <v>2.113</v>
      </c>
      <c r="L170" s="766">
        <v>10.27</v>
      </c>
      <c r="M170" s="766">
        <v>9.4700000000000006</v>
      </c>
      <c r="N170" s="767">
        <v>0</v>
      </c>
      <c r="O170" s="768">
        <v>33.332999999999998</v>
      </c>
      <c r="P170" s="769"/>
      <c r="Q170" s="770">
        <v>0.79999999999999893</v>
      </c>
      <c r="R170" s="768">
        <v>2.9517893280764529</v>
      </c>
      <c r="S170" s="768">
        <v>0.20864964912233311</v>
      </c>
      <c r="T170" s="774">
        <v>1.3962221050465828E-2</v>
      </c>
      <c r="U170" s="774">
        <v>0.35381609887623011</v>
      </c>
      <c r="V170" s="774">
        <v>8.2096319315864197E-2</v>
      </c>
      <c r="W170" s="775">
        <v>1.0443905847644992</v>
      </c>
      <c r="X170" s="771">
        <v>7163</v>
      </c>
      <c r="Y170" s="773"/>
    </row>
    <row r="171" spans="1:25">
      <c r="A171" s="762"/>
      <c r="B171" s="762"/>
      <c r="C171" s="763"/>
      <c r="D171" s="764"/>
      <c r="E171" s="765"/>
      <c r="F171" s="778"/>
      <c r="G171" s="763"/>
      <c r="H171" s="763"/>
      <c r="I171" s="763"/>
      <c r="J171" s="779"/>
      <c r="K171" s="779"/>
      <c r="L171" s="766"/>
      <c r="M171" s="766"/>
      <c r="N171" s="767"/>
      <c r="O171" s="768"/>
      <c r="P171" s="769"/>
      <c r="Q171" s="770"/>
      <c r="R171" s="768"/>
      <c r="S171" s="768"/>
      <c r="T171" s="774"/>
      <c r="U171" s="774"/>
      <c r="V171" s="774"/>
      <c r="W171" s="775"/>
      <c r="X171" s="771"/>
      <c r="Y171" s="772"/>
    </row>
    <row r="172" spans="1:25">
      <c r="A172" s="762"/>
      <c r="B172" s="762"/>
      <c r="C172" s="763"/>
      <c r="D172" s="764"/>
      <c r="E172" s="765"/>
      <c r="F172" s="778"/>
      <c r="G172" s="763"/>
      <c r="H172" s="763"/>
      <c r="I172" s="763"/>
      <c r="J172" s="779"/>
      <c r="K172" s="779"/>
      <c r="L172" s="766"/>
      <c r="M172" s="766"/>
      <c r="N172" s="767"/>
      <c r="O172" s="768"/>
      <c r="P172" s="769"/>
      <c r="Q172" s="770"/>
      <c r="R172" s="768"/>
      <c r="S172" s="768"/>
      <c r="T172" s="774"/>
      <c r="U172" s="774"/>
      <c r="V172" s="774"/>
      <c r="W172" s="775"/>
      <c r="X172" s="771"/>
      <c r="Y172" s="772"/>
    </row>
    <row r="173" spans="1:25">
      <c r="A173" s="762"/>
      <c r="B173" s="762"/>
      <c r="C173" s="763"/>
      <c r="D173" s="764"/>
      <c r="E173" s="765"/>
      <c r="F173" s="778"/>
      <c r="G173" s="763"/>
      <c r="H173" s="763"/>
      <c r="I173" s="763"/>
      <c r="J173" s="779"/>
      <c r="K173" s="779"/>
      <c r="L173" s="766"/>
      <c r="M173" s="766"/>
      <c r="N173" s="767"/>
      <c r="O173" s="768"/>
      <c r="P173" s="769"/>
      <c r="Q173" s="770"/>
      <c r="R173" s="768"/>
      <c r="S173" s="768"/>
      <c r="T173" s="774"/>
      <c r="U173" s="774"/>
      <c r="V173" s="774"/>
      <c r="W173" s="775"/>
      <c r="X173" s="771"/>
      <c r="Y173" s="772"/>
    </row>
    <row r="174" spans="1:25">
      <c r="A174" s="762"/>
      <c r="B174" s="762"/>
      <c r="C174" s="763"/>
      <c r="D174" s="764"/>
      <c r="E174" s="765"/>
      <c r="F174" s="778"/>
      <c r="G174" s="763"/>
      <c r="H174" s="763"/>
      <c r="I174" s="763"/>
      <c r="J174" s="779"/>
      <c r="K174" s="779"/>
      <c r="L174" s="766"/>
      <c r="M174" s="766"/>
      <c r="N174" s="767"/>
      <c r="O174" s="768"/>
      <c r="P174" s="769"/>
      <c r="Q174" s="770"/>
      <c r="R174" s="768"/>
      <c r="S174" s="768"/>
      <c r="T174" s="774"/>
      <c r="U174" s="774"/>
      <c r="V174" s="774"/>
      <c r="W174" s="775"/>
      <c r="X174" s="771"/>
      <c r="Y174" s="773"/>
    </row>
    <row r="175" spans="1:25">
      <c r="A175" s="762"/>
      <c r="B175" s="762"/>
      <c r="C175" s="763"/>
      <c r="D175" s="764"/>
      <c r="E175" s="765"/>
      <c r="F175" s="778"/>
      <c r="G175" s="763"/>
      <c r="H175" s="763"/>
      <c r="I175" s="763"/>
      <c r="J175" s="779"/>
      <c r="K175" s="779"/>
      <c r="L175" s="766"/>
      <c r="M175" s="766"/>
      <c r="N175" s="767"/>
      <c r="O175" s="768"/>
      <c r="P175" s="769"/>
      <c r="Q175" s="770"/>
      <c r="R175" s="768"/>
      <c r="S175" s="768"/>
      <c r="T175" s="774"/>
      <c r="U175" s="774"/>
      <c r="V175" s="774"/>
      <c r="W175" s="775"/>
      <c r="X175" s="771"/>
      <c r="Y175" s="772"/>
    </row>
    <row r="176" spans="1:25">
      <c r="A176" s="762"/>
      <c r="B176" s="762"/>
      <c r="C176" s="763"/>
      <c r="D176" s="764"/>
      <c r="E176" s="765"/>
      <c r="F176" s="778"/>
      <c r="G176" s="763"/>
      <c r="H176" s="763"/>
      <c r="I176" s="763"/>
      <c r="J176" s="779"/>
      <c r="K176" s="779"/>
      <c r="L176" s="766"/>
      <c r="M176" s="766"/>
      <c r="N176" s="767"/>
      <c r="O176" s="768"/>
      <c r="P176" s="769"/>
      <c r="Q176" s="770"/>
      <c r="R176" s="768"/>
      <c r="S176" s="768"/>
      <c r="T176" s="774"/>
      <c r="U176" s="774"/>
      <c r="V176" s="774"/>
      <c r="W176" s="775"/>
      <c r="X176" s="771"/>
      <c r="Y176" s="772"/>
    </row>
    <row r="177" spans="1:25">
      <c r="A177" s="762"/>
      <c r="B177" s="762"/>
      <c r="C177" s="763"/>
      <c r="D177" s="764"/>
      <c r="E177" s="765"/>
      <c r="F177" s="778"/>
      <c r="G177" s="763"/>
      <c r="H177" s="763"/>
      <c r="I177" s="763"/>
      <c r="J177" s="779"/>
      <c r="K177" s="779"/>
      <c r="L177" s="766"/>
      <c r="M177" s="766"/>
      <c r="N177" s="767"/>
      <c r="O177" s="768"/>
      <c r="P177" s="769"/>
      <c r="Q177" s="770"/>
      <c r="R177" s="768"/>
      <c r="S177" s="768"/>
      <c r="T177" s="774"/>
      <c r="U177" s="774"/>
      <c r="V177" s="774"/>
      <c r="W177" s="775"/>
      <c r="X177" s="771"/>
      <c r="Y177" s="773"/>
    </row>
    <row r="178" spans="1:25">
      <c r="A178" s="762"/>
      <c r="B178" s="762"/>
      <c r="C178" s="763"/>
      <c r="D178" s="764"/>
      <c r="E178" s="765"/>
      <c r="F178" s="778"/>
      <c r="G178" s="763"/>
      <c r="H178" s="763"/>
      <c r="I178" s="763"/>
      <c r="J178" s="779"/>
      <c r="K178" s="779"/>
      <c r="L178" s="766"/>
      <c r="M178" s="766"/>
      <c r="N178" s="767"/>
      <c r="O178" s="768"/>
      <c r="P178" s="769"/>
      <c r="Q178" s="770"/>
      <c r="R178" s="768"/>
      <c r="S178" s="768"/>
      <c r="T178" s="774"/>
      <c r="U178" s="774"/>
      <c r="V178" s="774"/>
      <c r="W178" s="775"/>
      <c r="X178" s="771"/>
      <c r="Y178" s="772"/>
    </row>
    <row r="179" spans="1:25">
      <c r="A179" s="762"/>
      <c r="B179" s="762"/>
      <c r="C179" s="763"/>
      <c r="D179" s="764"/>
      <c r="E179" s="765"/>
      <c r="F179" s="778"/>
      <c r="G179" s="763"/>
      <c r="H179" s="763"/>
      <c r="I179" s="763"/>
      <c r="J179" s="779"/>
      <c r="K179" s="779"/>
      <c r="L179" s="766"/>
      <c r="M179" s="766"/>
      <c r="N179" s="767"/>
      <c r="O179" s="768"/>
      <c r="P179" s="769"/>
      <c r="Q179" s="770"/>
      <c r="R179" s="768"/>
      <c r="S179" s="768"/>
      <c r="T179" s="774"/>
      <c r="U179" s="774"/>
      <c r="V179" s="774"/>
      <c r="W179" s="775"/>
      <c r="X179" s="771"/>
      <c r="Y179" s="772"/>
    </row>
    <row r="180" spans="1:25">
      <c r="A180" s="762"/>
      <c r="B180" s="762"/>
      <c r="C180" s="763"/>
      <c r="D180" s="764"/>
      <c r="E180" s="765"/>
      <c r="F180" s="778"/>
      <c r="G180" s="763"/>
      <c r="H180" s="763"/>
      <c r="I180" s="763"/>
      <c r="J180" s="779"/>
      <c r="K180" s="779"/>
      <c r="L180" s="766"/>
      <c r="M180" s="766"/>
      <c r="N180" s="767"/>
      <c r="O180" s="768"/>
      <c r="P180" s="769"/>
      <c r="Q180" s="770"/>
      <c r="R180" s="768"/>
      <c r="S180" s="768"/>
      <c r="T180" s="774"/>
      <c r="U180" s="774"/>
      <c r="V180" s="774"/>
      <c r="W180" s="775"/>
      <c r="X180" s="771"/>
      <c r="Y180" s="773"/>
    </row>
    <row r="181" spans="1:25">
      <c r="A181" s="762"/>
      <c r="B181" s="762"/>
      <c r="C181" s="763"/>
      <c r="D181" s="764"/>
      <c r="E181" s="765"/>
      <c r="F181" s="778"/>
      <c r="G181" s="763"/>
      <c r="H181" s="763"/>
      <c r="I181" s="763"/>
      <c r="J181" s="779"/>
      <c r="K181" s="779"/>
      <c r="L181" s="766"/>
      <c r="M181" s="766"/>
      <c r="N181" s="767"/>
      <c r="O181" s="768"/>
      <c r="P181" s="769"/>
      <c r="Q181" s="770"/>
      <c r="R181" s="768"/>
      <c r="S181" s="768"/>
      <c r="T181" s="774"/>
      <c r="U181" s="774"/>
      <c r="V181" s="774"/>
      <c r="W181" s="775"/>
      <c r="X181" s="771"/>
      <c r="Y181" s="772"/>
    </row>
    <row r="182" spans="1:25">
      <c r="A182" s="762"/>
      <c r="B182" s="762"/>
      <c r="C182" s="763"/>
      <c r="D182" s="764"/>
      <c r="E182" s="765"/>
      <c r="F182" s="778"/>
      <c r="G182" s="763"/>
      <c r="H182" s="763"/>
      <c r="I182" s="763"/>
      <c r="J182" s="779"/>
      <c r="K182" s="779"/>
      <c r="L182" s="766"/>
      <c r="M182" s="766"/>
      <c r="N182" s="767"/>
      <c r="O182" s="768"/>
      <c r="P182" s="769"/>
      <c r="Q182" s="770"/>
      <c r="R182" s="768"/>
      <c r="S182" s="768"/>
      <c r="T182" s="774"/>
      <c r="U182" s="774"/>
      <c r="V182" s="774"/>
      <c r="W182" s="775"/>
      <c r="X182" s="771"/>
      <c r="Y182" s="772"/>
    </row>
    <row r="183" spans="1:25">
      <c r="A183" s="762"/>
      <c r="B183" s="762"/>
      <c r="C183" s="763"/>
      <c r="D183" s="764"/>
      <c r="E183" s="765"/>
      <c r="F183" s="778"/>
      <c r="G183" s="763"/>
      <c r="H183" s="763"/>
      <c r="I183" s="763"/>
      <c r="J183" s="779"/>
      <c r="K183" s="779"/>
      <c r="L183" s="766"/>
      <c r="M183" s="766"/>
      <c r="N183" s="767"/>
      <c r="O183" s="768"/>
      <c r="P183" s="769"/>
      <c r="Q183" s="770"/>
      <c r="R183" s="768"/>
      <c r="S183" s="768"/>
      <c r="T183" s="774"/>
      <c r="U183" s="774"/>
      <c r="V183" s="774"/>
      <c r="W183" s="775"/>
      <c r="X183" s="771"/>
      <c r="Y183" s="772"/>
    </row>
    <row r="184" spans="1:25">
      <c r="A184" s="762"/>
      <c r="B184" s="762"/>
      <c r="C184" s="763"/>
      <c r="D184" s="764"/>
      <c r="E184" s="765"/>
      <c r="F184" s="778"/>
      <c r="G184" s="763"/>
      <c r="H184" s="763"/>
      <c r="I184" s="763"/>
      <c r="J184" s="779"/>
      <c r="K184" s="779"/>
      <c r="L184" s="766"/>
      <c r="M184" s="766"/>
      <c r="N184" s="767"/>
      <c r="O184" s="768"/>
      <c r="P184" s="769"/>
      <c r="Q184" s="770"/>
      <c r="R184" s="768"/>
      <c r="S184" s="768"/>
      <c r="T184" s="774"/>
      <c r="U184" s="774"/>
      <c r="V184" s="774"/>
      <c r="W184" s="775"/>
      <c r="X184" s="771"/>
      <c r="Y184" s="773"/>
    </row>
    <row r="185" spans="1:25">
      <c r="A185" s="762"/>
      <c r="B185" s="762"/>
      <c r="C185" s="763"/>
      <c r="D185" s="764"/>
      <c r="E185" s="765"/>
      <c r="F185" s="778"/>
      <c r="G185" s="763"/>
      <c r="H185" s="763"/>
      <c r="I185" s="763"/>
      <c r="J185" s="779"/>
      <c r="K185" s="779"/>
      <c r="L185" s="766"/>
      <c r="M185" s="766"/>
      <c r="N185" s="767"/>
      <c r="O185" s="768"/>
      <c r="P185" s="769"/>
      <c r="Q185" s="770"/>
      <c r="R185" s="768"/>
      <c r="S185" s="768"/>
      <c r="T185" s="774"/>
      <c r="U185" s="774"/>
      <c r="V185" s="774"/>
      <c r="W185" s="775"/>
      <c r="X185" s="771"/>
      <c r="Y185" s="772"/>
    </row>
    <row r="186" spans="1:25">
      <c r="A186" s="762"/>
      <c r="B186" s="762"/>
      <c r="C186" s="763"/>
      <c r="D186" s="764"/>
      <c r="E186" s="765"/>
      <c r="F186" s="778"/>
      <c r="G186" s="763"/>
      <c r="H186" s="763"/>
      <c r="I186" s="763"/>
      <c r="J186" s="779"/>
      <c r="K186" s="779"/>
      <c r="L186" s="766"/>
      <c r="M186" s="766"/>
      <c r="N186" s="767"/>
      <c r="O186" s="768"/>
      <c r="P186" s="769"/>
      <c r="Q186" s="770"/>
      <c r="R186" s="768"/>
      <c r="S186" s="768"/>
      <c r="T186" s="774"/>
      <c r="U186" s="774"/>
      <c r="V186" s="774"/>
      <c r="W186" s="775"/>
      <c r="X186" s="771"/>
      <c r="Y186" s="772"/>
    </row>
    <row r="187" spans="1:25">
      <c r="A187" s="762"/>
      <c r="B187" s="762"/>
      <c r="C187" s="763"/>
      <c r="D187" s="764"/>
      <c r="E187" s="765"/>
      <c r="F187" s="778"/>
      <c r="G187" s="763"/>
      <c r="H187" s="763"/>
      <c r="I187" s="763"/>
      <c r="J187" s="779"/>
      <c r="K187" s="779"/>
      <c r="L187" s="766"/>
      <c r="M187" s="766"/>
      <c r="N187" s="767"/>
      <c r="O187" s="768"/>
      <c r="P187" s="769"/>
      <c r="Q187" s="770"/>
      <c r="R187" s="768"/>
      <c r="S187" s="768"/>
      <c r="T187" s="774"/>
      <c r="U187" s="774"/>
      <c r="V187" s="774"/>
      <c r="W187" s="775"/>
      <c r="X187" s="771"/>
      <c r="Y187" s="773"/>
    </row>
    <row r="188" spans="1:25">
      <c r="A188" s="762"/>
      <c r="B188" s="762"/>
      <c r="C188" s="763"/>
      <c r="D188" s="764"/>
      <c r="E188" s="765"/>
      <c r="F188" s="778"/>
      <c r="G188" s="763"/>
      <c r="H188" s="763"/>
      <c r="I188" s="763"/>
      <c r="J188" s="779"/>
      <c r="K188" s="779"/>
      <c r="L188" s="766"/>
      <c r="M188" s="766"/>
      <c r="N188" s="767"/>
      <c r="O188" s="768"/>
      <c r="P188" s="769"/>
      <c r="Q188" s="770"/>
      <c r="R188" s="768"/>
      <c r="S188" s="768"/>
      <c r="T188" s="774"/>
      <c r="U188" s="774"/>
      <c r="V188" s="774"/>
      <c r="W188" s="775"/>
      <c r="X188" s="771"/>
      <c r="Y188" s="772"/>
    </row>
    <row r="189" spans="1:25">
      <c r="A189" s="762"/>
      <c r="B189" s="762"/>
      <c r="C189" s="763"/>
      <c r="D189" s="764"/>
      <c r="E189" s="765"/>
      <c r="F189" s="778"/>
      <c r="G189" s="763"/>
      <c r="H189" s="763"/>
      <c r="I189" s="763"/>
      <c r="J189" s="779"/>
      <c r="K189" s="779"/>
      <c r="L189" s="766"/>
      <c r="M189" s="766"/>
      <c r="N189" s="767"/>
      <c r="O189" s="768"/>
      <c r="P189" s="769"/>
      <c r="Q189" s="770"/>
      <c r="R189" s="768"/>
      <c r="S189" s="768"/>
      <c r="T189" s="774"/>
      <c r="U189" s="774"/>
      <c r="V189" s="774"/>
      <c r="W189" s="775"/>
      <c r="X189" s="771"/>
      <c r="Y189" s="772"/>
    </row>
    <row r="190" spans="1:25">
      <c r="A190" s="762"/>
      <c r="B190" s="762"/>
      <c r="C190" s="763"/>
      <c r="D190" s="764"/>
      <c r="E190" s="765"/>
      <c r="F190" s="778"/>
      <c r="G190" s="763"/>
      <c r="H190" s="763"/>
      <c r="I190" s="763"/>
      <c r="J190" s="779"/>
      <c r="K190" s="779"/>
      <c r="L190" s="766"/>
      <c r="M190" s="766"/>
      <c r="N190" s="767"/>
      <c r="O190" s="768"/>
      <c r="P190" s="769"/>
      <c r="Q190" s="770"/>
      <c r="R190" s="768"/>
      <c r="S190" s="768"/>
      <c r="T190" s="774"/>
      <c r="U190" s="774"/>
      <c r="V190" s="774"/>
      <c r="W190" s="775"/>
      <c r="X190" s="771"/>
      <c r="Y190" s="773"/>
    </row>
    <row r="191" spans="1:25">
      <c r="A191" s="762"/>
      <c r="B191" s="762"/>
      <c r="C191" s="763"/>
      <c r="D191" s="764"/>
      <c r="E191" s="765"/>
      <c r="F191" s="778"/>
      <c r="G191" s="763"/>
      <c r="H191" s="763"/>
      <c r="I191" s="763"/>
      <c r="J191" s="779"/>
      <c r="K191" s="779"/>
      <c r="L191" s="766"/>
      <c r="M191" s="766"/>
      <c r="N191" s="767"/>
      <c r="O191" s="768"/>
      <c r="P191" s="769"/>
      <c r="Q191" s="770"/>
      <c r="R191" s="768"/>
      <c r="S191" s="768"/>
      <c r="T191" s="774"/>
      <c r="U191" s="774"/>
      <c r="V191" s="774"/>
      <c r="W191" s="775"/>
      <c r="X191" s="771"/>
      <c r="Y191" s="772"/>
    </row>
    <row r="192" spans="1:25">
      <c r="A192" s="762"/>
      <c r="B192" s="762"/>
      <c r="C192" s="763"/>
      <c r="D192" s="764"/>
      <c r="E192" s="765"/>
      <c r="F192" s="778"/>
      <c r="G192" s="763"/>
      <c r="H192" s="763"/>
      <c r="I192" s="763"/>
      <c r="J192" s="779"/>
      <c r="K192" s="779"/>
      <c r="L192" s="766"/>
      <c r="M192" s="766"/>
      <c r="N192" s="767"/>
      <c r="O192" s="768"/>
      <c r="P192" s="769"/>
      <c r="Q192" s="770"/>
      <c r="R192" s="768"/>
      <c r="S192" s="768"/>
      <c r="T192" s="774"/>
      <c r="U192" s="774"/>
      <c r="V192" s="774"/>
      <c r="W192" s="775"/>
      <c r="X192" s="771"/>
      <c r="Y192" s="772"/>
    </row>
    <row r="193" spans="1:25">
      <c r="A193" s="762"/>
      <c r="B193" s="762"/>
      <c r="C193" s="763"/>
      <c r="D193" s="764"/>
      <c r="E193" s="765"/>
      <c r="F193" s="778"/>
      <c r="G193" s="763"/>
      <c r="H193" s="763"/>
      <c r="I193" s="763"/>
      <c r="J193" s="779"/>
      <c r="K193" s="779"/>
      <c r="L193" s="766"/>
      <c r="M193" s="766"/>
      <c r="N193" s="767"/>
      <c r="O193" s="768"/>
      <c r="P193" s="769"/>
      <c r="Q193" s="770"/>
      <c r="R193" s="768"/>
      <c r="S193" s="768"/>
      <c r="T193" s="774"/>
      <c r="U193" s="774"/>
      <c r="V193" s="774"/>
      <c r="W193" s="775"/>
      <c r="X193" s="771"/>
      <c r="Y193" s="772"/>
    </row>
    <row r="194" spans="1:25">
      <c r="A194" s="762"/>
      <c r="B194" s="762"/>
      <c r="C194" s="763"/>
      <c r="D194" s="764"/>
      <c r="E194" s="765"/>
      <c r="F194" s="778"/>
      <c r="G194" s="763"/>
      <c r="H194" s="763"/>
      <c r="I194" s="763"/>
      <c r="J194" s="779"/>
      <c r="K194" s="779"/>
      <c r="L194" s="766"/>
      <c r="M194" s="766"/>
      <c r="N194" s="767"/>
      <c r="O194" s="768"/>
      <c r="P194" s="769"/>
      <c r="Q194" s="770"/>
      <c r="R194" s="768"/>
      <c r="S194" s="768"/>
      <c r="T194" s="774"/>
      <c r="U194" s="774"/>
      <c r="V194" s="774"/>
      <c r="W194" s="775"/>
      <c r="X194" s="771"/>
      <c r="Y194" s="773"/>
    </row>
    <row r="195" spans="1:25">
      <c r="A195" s="762"/>
      <c r="B195" s="762"/>
      <c r="C195" s="763"/>
      <c r="D195" s="764"/>
      <c r="E195" s="765"/>
      <c r="F195" s="778"/>
      <c r="G195" s="763"/>
      <c r="H195" s="763"/>
      <c r="I195" s="763"/>
      <c r="J195" s="779"/>
      <c r="K195" s="779"/>
      <c r="L195" s="766"/>
      <c r="M195" s="766"/>
      <c r="N195" s="767"/>
      <c r="O195" s="768"/>
      <c r="P195" s="769"/>
      <c r="Q195" s="770"/>
      <c r="R195" s="768"/>
      <c r="S195" s="768"/>
      <c r="T195" s="774"/>
      <c r="U195" s="774"/>
      <c r="V195" s="774"/>
      <c r="W195" s="775"/>
      <c r="X195" s="771"/>
      <c r="Y195" s="772"/>
    </row>
    <row r="196" spans="1:25">
      <c r="A196" s="762"/>
      <c r="B196" s="762"/>
      <c r="C196" s="763"/>
      <c r="D196" s="764"/>
      <c r="E196" s="765"/>
      <c r="F196" s="778"/>
      <c r="G196" s="763"/>
      <c r="H196" s="763"/>
      <c r="I196" s="763"/>
      <c r="J196" s="779"/>
      <c r="K196" s="779"/>
      <c r="L196" s="766"/>
      <c r="M196" s="766"/>
      <c r="N196" s="767"/>
      <c r="O196" s="768"/>
      <c r="P196" s="769"/>
      <c r="Q196" s="770"/>
      <c r="R196" s="768"/>
      <c r="S196" s="768"/>
      <c r="T196" s="774"/>
      <c r="U196" s="774"/>
      <c r="V196" s="774"/>
      <c r="W196" s="775"/>
      <c r="X196" s="771"/>
      <c r="Y196" s="772"/>
    </row>
    <row r="197" spans="1:25">
      <c r="A197" s="762"/>
      <c r="B197" s="762"/>
      <c r="C197" s="763"/>
      <c r="D197" s="764"/>
      <c r="E197" s="765"/>
      <c r="F197" s="778"/>
      <c r="G197" s="763"/>
      <c r="H197" s="763"/>
      <c r="I197" s="763"/>
      <c r="J197" s="779"/>
      <c r="K197" s="779"/>
      <c r="L197" s="766"/>
      <c r="M197" s="766"/>
      <c r="N197" s="767"/>
      <c r="O197" s="768"/>
      <c r="P197" s="769"/>
      <c r="Q197" s="770"/>
      <c r="R197" s="768"/>
      <c r="S197" s="768"/>
      <c r="T197" s="774"/>
      <c r="U197" s="774"/>
      <c r="V197" s="774"/>
      <c r="W197" s="775"/>
      <c r="X197" s="771"/>
      <c r="Y197" s="773"/>
    </row>
    <row r="198" spans="1:25">
      <c r="A198" s="762"/>
      <c r="B198" s="762"/>
      <c r="C198" s="763"/>
      <c r="D198" s="764"/>
      <c r="E198" s="765"/>
      <c r="F198" s="778"/>
      <c r="G198" s="763"/>
      <c r="H198" s="763"/>
      <c r="I198" s="763"/>
      <c r="J198" s="779"/>
      <c r="K198" s="779"/>
      <c r="L198" s="766"/>
      <c r="M198" s="766"/>
      <c r="N198" s="767"/>
      <c r="O198" s="768"/>
      <c r="P198" s="769"/>
      <c r="Q198" s="770"/>
      <c r="R198" s="768"/>
      <c r="S198" s="768"/>
      <c r="T198" s="774"/>
      <c r="U198" s="774"/>
      <c r="V198" s="774"/>
      <c r="W198" s="775"/>
      <c r="X198" s="771"/>
      <c r="Y198" s="772"/>
    </row>
    <row r="199" spans="1:25">
      <c r="A199" s="762"/>
      <c r="B199" s="762"/>
      <c r="C199" s="763"/>
      <c r="D199" s="764"/>
      <c r="E199" s="765"/>
      <c r="F199" s="778"/>
      <c r="G199" s="763"/>
      <c r="H199" s="763"/>
      <c r="I199" s="763"/>
      <c r="J199" s="779"/>
      <c r="K199" s="779"/>
      <c r="L199" s="766"/>
      <c r="M199" s="766"/>
      <c r="N199" s="767"/>
      <c r="O199" s="768"/>
      <c r="P199" s="769"/>
      <c r="Q199" s="770"/>
      <c r="R199" s="768"/>
      <c r="S199" s="768"/>
      <c r="T199" s="774"/>
      <c r="U199" s="774"/>
      <c r="V199" s="774"/>
      <c r="W199" s="775"/>
      <c r="X199" s="771"/>
      <c r="Y199" s="772"/>
    </row>
    <row r="200" spans="1:25">
      <c r="A200" s="762"/>
      <c r="B200" s="762"/>
      <c r="C200" s="763"/>
      <c r="D200" s="764"/>
      <c r="E200" s="765"/>
      <c r="F200" s="778"/>
      <c r="G200" s="763"/>
      <c r="H200" s="763"/>
      <c r="I200" s="763"/>
      <c r="J200" s="779"/>
      <c r="K200" s="779"/>
      <c r="L200" s="766"/>
      <c r="M200" s="766"/>
      <c r="N200" s="767"/>
      <c r="O200" s="768"/>
      <c r="P200" s="769"/>
      <c r="Q200" s="770"/>
      <c r="R200" s="768"/>
      <c r="S200" s="768"/>
      <c r="T200" s="774"/>
      <c r="U200" s="774"/>
      <c r="V200" s="774"/>
      <c r="W200" s="775"/>
      <c r="X200" s="771"/>
      <c r="Y200" s="772"/>
    </row>
    <row r="201" spans="1:25">
      <c r="A201" s="762"/>
      <c r="B201" s="762"/>
      <c r="C201" s="763"/>
      <c r="D201" s="764"/>
      <c r="E201" s="765"/>
      <c r="F201" s="778"/>
      <c r="G201" s="763"/>
      <c r="H201" s="763"/>
      <c r="I201" s="763"/>
      <c r="J201" s="779"/>
      <c r="K201" s="779"/>
      <c r="L201" s="766"/>
      <c r="M201" s="766"/>
      <c r="N201" s="767"/>
      <c r="O201" s="768"/>
      <c r="P201" s="769"/>
      <c r="Q201" s="770"/>
      <c r="R201" s="768"/>
      <c r="S201" s="768"/>
      <c r="T201" s="774"/>
      <c r="U201" s="774"/>
      <c r="V201" s="774"/>
      <c r="W201" s="775"/>
      <c r="X201" s="771"/>
      <c r="Y201" s="772"/>
    </row>
    <row r="202" spans="1:25">
      <c r="A202" s="762"/>
      <c r="B202" s="762"/>
      <c r="C202" s="763"/>
      <c r="D202" s="764"/>
      <c r="E202" s="765"/>
      <c r="F202" s="778"/>
      <c r="G202" s="763"/>
      <c r="H202" s="763"/>
      <c r="I202" s="763"/>
      <c r="J202" s="779"/>
      <c r="K202" s="779"/>
      <c r="L202" s="766"/>
      <c r="M202" s="766"/>
      <c r="N202" s="767"/>
      <c r="O202" s="768"/>
      <c r="P202" s="769"/>
      <c r="Q202" s="770"/>
      <c r="R202" s="768"/>
      <c r="S202" s="768"/>
      <c r="T202" s="774"/>
      <c r="U202" s="774"/>
      <c r="V202" s="774"/>
      <c r="W202" s="775"/>
      <c r="X202" s="771"/>
      <c r="Y202" s="772"/>
    </row>
    <row r="203" spans="1:25">
      <c r="A203" s="762"/>
      <c r="B203" s="762"/>
      <c r="C203" s="763"/>
      <c r="D203" s="764"/>
      <c r="E203" s="765"/>
      <c r="F203" s="778"/>
      <c r="G203" s="763"/>
      <c r="H203" s="763"/>
      <c r="I203" s="763"/>
      <c r="J203" s="779"/>
      <c r="K203" s="779"/>
      <c r="L203" s="766"/>
      <c r="M203" s="766"/>
      <c r="N203" s="767"/>
      <c r="O203" s="768"/>
      <c r="P203" s="769"/>
      <c r="Q203" s="770"/>
      <c r="R203" s="768"/>
      <c r="S203" s="768"/>
      <c r="T203" s="774"/>
      <c r="U203" s="774"/>
      <c r="V203" s="774"/>
      <c r="W203" s="775"/>
      <c r="X203" s="771"/>
      <c r="Y203" s="772"/>
    </row>
    <row r="204" spans="1:25">
      <c r="A204" s="762"/>
      <c r="B204" s="762"/>
      <c r="C204" s="763"/>
      <c r="D204" s="764"/>
      <c r="E204" s="765"/>
      <c r="F204" s="778"/>
      <c r="G204" s="763"/>
      <c r="H204" s="763"/>
      <c r="I204" s="763"/>
      <c r="J204" s="779"/>
      <c r="K204" s="779"/>
      <c r="L204" s="766"/>
      <c r="M204" s="766"/>
      <c r="N204" s="767"/>
      <c r="O204" s="768"/>
      <c r="P204" s="769"/>
      <c r="Q204" s="770"/>
      <c r="R204" s="768"/>
      <c r="S204" s="768"/>
      <c r="T204" s="774"/>
      <c r="U204" s="774"/>
      <c r="V204" s="774"/>
      <c r="W204" s="775"/>
      <c r="X204" s="771"/>
      <c r="Y204" s="772"/>
    </row>
    <row r="205" spans="1:25">
      <c r="A205" s="762"/>
      <c r="B205" s="762"/>
      <c r="C205" s="763"/>
      <c r="D205" s="764"/>
      <c r="E205" s="765"/>
      <c r="F205" s="778"/>
      <c r="G205" s="763"/>
      <c r="H205" s="763"/>
      <c r="I205" s="763"/>
      <c r="J205" s="779"/>
      <c r="K205" s="779"/>
      <c r="L205" s="766"/>
      <c r="M205" s="766"/>
      <c r="N205" s="767"/>
      <c r="O205" s="768"/>
      <c r="P205" s="769"/>
      <c r="Q205" s="770"/>
      <c r="R205" s="768"/>
      <c r="S205" s="768"/>
      <c r="T205" s="774"/>
      <c r="U205" s="774"/>
      <c r="V205" s="774"/>
      <c r="W205" s="775"/>
      <c r="X205" s="771"/>
      <c r="Y205" s="772"/>
    </row>
    <row r="206" spans="1:25">
      <c r="A206" s="762"/>
      <c r="B206" s="762"/>
      <c r="C206" s="763"/>
      <c r="D206" s="764"/>
      <c r="E206" s="765"/>
      <c r="F206" s="778"/>
      <c r="G206" s="763"/>
      <c r="H206" s="763"/>
      <c r="I206" s="763"/>
      <c r="J206" s="779"/>
      <c r="K206" s="779"/>
      <c r="L206" s="766"/>
      <c r="M206" s="766"/>
      <c r="N206" s="767"/>
      <c r="O206" s="768"/>
      <c r="P206" s="769"/>
      <c r="Q206" s="770"/>
      <c r="R206" s="768"/>
      <c r="S206" s="768"/>
      <c r="T206" s="774"/>
      <c r="U206" s="774"/>
      <c r="V206" s="774"/>
      <c r="W206" s="775"/>
      <c r="X206" s="771"/>
      <c r="Y206" s="772"/>
    </row>
    <row r="207" spans="1:25">
      <c r="A207" s="762"/>
      <c r="B207" s="762"/>
      <c r="C207" s="763"/>
      <c r="D207" s="764"/>
      <c r="E207" s="765"/>
      <c r="F207" s="778"/>
      <c r="G207" s="763"/>
      <c r="H207" s="763"/>
      <c r="I207" s="763"/>
      <c r="J207" s="779"/>
      <c r="K207" s="779"/>
      <c r="L207" s="766"/>
      <c r="M207" s="766"/>
      <c r="N207" s="767"/>
      <c r="O207" s="768"/>
      <c r="P207" s="769"/>
      <c r="Q207" s="770"/>
      <c r="R207" s="768"/>
      <c r="S207" s="768"/>
      <c r="T207" s="774"/>
      <c r="U207" s="774"/>
      <c r="V207" s="774"/>
      <c r="W207" s="775"/>
      <c r="X207" s="771"/>
      <c r="Y207" s="772"/>
    </row>
    <row r="208" spans="1:25">
      <c r="A208" s="762"/>
      <c r="B208" s="762"/>
      <c r="C208" s="763"/>
      <c r="D208" s="764"/>
      <c r="E208" s="765"/>
      <c r="F208" s="778"/>
      <c r="G208" s="763"/>
      <c r="H208" s="763"/>
      <c r="I208" s="763"/>
      <c r="J208" s="779"/>
      <c r="K208" s="779"/>
      <c r="L208" s="766"/>
      <c r="M208" s="766"/>
      <c r="N208" s="767"/>
      <c r="O208" s="768"/>
      <c r="P208" s="769"/>
      <c r="Q208" s="770"/>
      <c r="R208" s="768"/>
      <c r="S208" s="768"/>
      <c r="T208" s="774"/>
      <c r="U208" s="774"/>
      <c r="V208" s="774"/>
      <c r="W208" s="775"/>
      <c r="X208" s="771"/>
      <c r="Y208" s="772"/>
    </row>
    <row r="209" spans="1:25">
      <c r="A209" s="762"/>
      <c r="B209" s="762"/>
      <c r="C209" s="763"/>
      <c r="D209" s="764"/>
      <c r="E209" s="765"/>
      <c r="F209" s="778"/>
      <c r="G209" s="763"/>
      <c r="H209" s="763"/>
      <c r="I209" s="763"/>
      <c r="J209" s="779"/>
      <c r="K209" s="779"/>
      <c r="L209" s="766"/>
      <c r="M209" s="766"/>
      <c r="N209" s="767"/>
      <c r="O209" s="768"/>
      <c r="P209" s="769"/>
      <c r="Q209" s="770"/>
      <c r="R209" s="768"/>
      <c r="S209" s="768"/>
      <c r="T209" s="774"/>
      <c r="U209" s="774"/>
      <c r="V209" s="774"/>
      <c r="W209" s="775"/>
      <c r="X209" s="771"/>
      <c r="Y209" s="772"/>
    </row>
    <row r="210" spans="1:25">
      <c r="A210" s="762"/>
      <c r="B210" s="762"/>
      <c r="C210" s="763"/>
      <c r="D210" s="764"/>
      <c r="E210" s="765"/>
      <c r="F210" s="778"/>
      <c r="G210" s="763"/>
      <c r="H210" s="763"/>
      <c r="I210" s="763"/>
      <c r="J210" s="779"/>
      <c r="K210" s="779"/>
      <c r="L210" s="766"/>
      <c r="M210" s="766"/>
      <c r="N210" s="767"/>
      <c r="O210" s="768"/>
      <c r="P210" s="769"/>
      <c r="Q210" s="770"/>
      <c r="R210" s="768"/>
      <c r="S210" s="768"/>
      <c r="T210" s="774"/>
      <c r="U210" s="774"/>
      <c r="V210" s="774"/>
      <c r="W210" s="775"/>
      <c r="X210" s="771"/>
      <c r="Y210" s="772"/>
    </row>
    <row r="211" spans="1:25">
      <c r="A211" s="762"/>
      <c r="B211" s="762"/>
      <c r="C211" s="763"/>
      <c r="D211" s="764"/>
      <c r="E211" s="765"/>
      <c r="F211" s="778"/>
      <c r="G211" s="763"/>
      <c r="H211" s="763"/>
      <c r="I211" s="763"/>
      <c r="J211" s="779"/>
      <c r="K211" s="779"/>
      <c r="L211" s="766"/>
      <c r="M211" s="766"/>
      <c r="N211" s="767"/>
      <c r="O211" s="768"/>
      <c r="P211" s="769"/>
      <c r="Q211" s="770"/>
      <c r="R211" s="768"/>
      <c r="S211" s="768"/>
      <c r="T211" s="774"/>
      <c r="U211" s="774"/>
      <c r="V211" s="774"/>
      <c r="W211" s="775"/>
      <c r="X211" s="771"/>
      <c r="Y211" s="772"/>
    </row>
    <row r="212" spans="1:25">
      <c r="A212" s="762"/>
      <c r="B212" s="762"/>
      <c r="C212" s="763"/>
      <c r="D212" s="764"/>
      <c r="E212" s="765"/>
      <c r="F212" s="778"/>
      <c r="G212" s="763"/>
      <c r="H212" s="763"/>
      <c r="I212" s="763"/>
      <c r="J212" s="779"/>
      <c r="K212" s="779"/>
      <c r="L212" s="766"/>
      <c r="M212" s="766"/>
      <c r="N212" s="767"/>
      <c r="O212" s="768"/>
      <c r="P212" s="769"/>
      <c r="Q212" s="770"/>
      <c r="R212" s="768"/>
      <c r="S212" s="768"/>
      <c r="T212" s="774"/>
      <c r="U212" s="774"/>
      <c r="V212" s="774"/>
      <c r="W212" s="775"/>
      <c r="X212" s="771"/>
      <c r="Y212" s="772"/>
    </row>
    <row r="213" spans="1:25">
      <c r="A213" s="762"/>
      <c r="B213" s="762"/>
      <c r="C213" s="763"/>
      <c r="D213" s="764"/>
      <c r="E213" s="765"/>
      <c r="F213" s="778"/>
      <c r="G213" s="763"/>
      <c r="H213" s="763"/>
      <c r="I213" s="763"/>
      <c r="J213" s="779"/>
      <c r="K213" s="779"/>
      <c r="L213" s="766"/>
      <c r="M213" s="766"/>
      <c r="N213" s="767"/>
      <c r="O213" s="768"/>
      <c r="P213" s="769"/>
      <c r="Q213" s="770"/>
      <c r="R213" s="768"/>
      <c r="S213" s="768"/>
      <c r="T213" s="774"/>
      <c r="U213" s="774"/>
      <c r="V213" s="774"/>
      <c r="W213" s="775"/>
      <c r="X213" s="771"/>
      <c r="Y213" s="772"/>
    </row>
    <row r="214" spans="1:25">
      <c r="A214" s="762"/>
      <c r="B214" s="762"/>
      <c r="C214" s="763"/>
      <c r="D214" s="764"/>
      <c r="E214" s="765"/>
      <c r="F214" s="778"/>
      <c r="G214" s="763"/>
      <c r="H214" s="763"/>
      <c r="I214" s="763"/>
      <c r="J214" s="779"/>
      <c r="K214" s="779"/>
      <c r="L214" s="766"/>
      <c r="M214" s="766"/>
      <c r="N214" s="767"/>
      <c r="O214" s="768"/>
      <c r="P214" s="769"/>
      <c r="Q214" s="770"/>
      <c r="R214" s="768"/>
      <c r="S214" s="768"/>
      <c r="T214" s="774"/>
      <c r="U214" s="774"/>
      <c r="V214" s="774"/>
      <c r="W214" s="775"/>
      <c r="X214" s="771"/>
      <c r="Y214" s="772"/>
    </row>
    <row r="215" spans="1:25">
      <c r="A215" s="762"/>
      <c r="B215" s="762"/>
      <c r="C215" s="763"/>
      <c r="D215" s="764"/>
      <c r="E215" s="765"/>
      <c r="F215" s="778"/>
      <c r="G215" s="763"/>
      <c r="H215" s="763"/>
      <c r="I215" s="763"/>
      <c r="J215" s="779"/>
      <c r="K215" s="779"/>
      <c r="L215" s="766"/>
      <c r="M215" s="766"/>
      <c r="N215" s="767"/>
      <c r="O215" s="768"/>
      <c r="P215" s="769"/>
      <c r="Q215" s="770"/>
      <c r="R215" s="768"/>
      <c r="S215" s="768"/>
      <c r="T215" s="774"/>
      <c r="U215" s="774"/>
      <c r="V215" s="774"/>
      <c r="W215" s="775"/>
      <c r="X215" s="771"/>
      <c r="Y215" s="772"/>
    </row>
    <row r="216" spans="1:25">
      <c r="A216" s="762"/>
      <c r="B216" s="762"/>
      <c r="C216" s="763"/>
      <c r="D216" s="764"/>
      <c r="E216" s="765"/>
      <c r="F216" s="778"/>
      <c r="G216" s="763"/>
      <c r="H216" s="763"/>
      <c r="I216" s="763"/>
      <c r="J216" s="779"/>
      <c r="K216" s="779"/>
      <c r="L216" s="766"/>
      <c r="M216" s="766"/>
      <c r="N216" s="767"/>
      <c r="O216" s="768"/>
      <c r="P216" s="769"/>
      <c r="Q216" s="770"/>
      <c r="R216" s="768"/>
      <c r="S216" s="768"/>
      <c r="T216" s="774"/>
      <c r="U216" s="774"/>
      <c r="V216" s="774"/>
      <c r="W216" s="775"/>
      <c r="X216" s="771"/>
      <c r="Y216" s="772"/>
    </row>
    <row r="217" spans="1:25">
      <c r="A217" s="762"/>
      <c r="B217" s="762"/>
      <c r="C217" s="763"/>
      <c r="D217" s="764"/>
      <c r="E217" s="765"/>
      <c r="F217" s="778"/>
      <c r="G217" s="763"/>
      <c r="H217" s="763"/>
      <c r="I217" s="763"/>
      <c r="J217" s="779"/>
      <c r="K217" s="779"/>
      <c r="L217" s="766"/>
      <c r="M217" s="766"/>
      <c r="N217" s="767"/>
      <c r="O217" s="768"/>
      <c r="P217" s="769"/>
      <c r="Q217" s="770"/>
      <c r="R217" s="768"/>
      <c r="S217" s="768"/>
      <c r="T217" s="774"/>
      <c r="U217" s="774"/>
      <c r="V217" s="774"/>
      <c r="W217" s="775"/>
      <c r="X217" s="771"/>
      <c r="Y217" s="772"/>
    </row>
    <row r="218" spans="1:25">
      <c r="A218" s="762"/>
      <c r="B218" s="762"/>
      <c r="C218" s="763"/>
      <c r="D218" s="764"/>
      <c r="E218" s="765"/>
      <c r="F218" s="778"/>
      <c r="G218" s="763"/>
      <c r="H218" s="763"/>
      <c r="I218" s="763"/>
      <c r="J218" s="779"/>
      <c r="K218" s="779"/>
      <c r="L218" s="766"/>
      <c r="M218" s="766"/>
      <c r="N218" s="767"/>
      <c r="O218" s="768"/>
      <c r="P218" s="769"/>
      <c r="Q218" s="770"/>
      <c r="R218" s="768"/>
      <c r="S218" s="768"/>
      <c r="T218" s="774"/>
      <c r="U218" s="774"/>
      <c r="V218" s="774"/>
      <c r="W218" s="775"/>
      <c r="X218" s="771"/>
      <c r="Y218" s="772"/>
    </row>
    <row r="219" spans="1:25">
      <c r="A219" s="762"/>
      <c r="B219" s="762"/>
      <c r="C219" s="763"/>
      <c r="D219" s="764"/>
      <c r="E219" s="765"/>
      <c r="F219" s="778"/>
      <c r="G219" s="763"/>
      <c r="H219" s="763"/>
      <c r="I219" s="763"/>
      <c r="J219" s="779"/>
      <c r="K219" s="779"/>
      <c r="L219" s="766"/>
      <c r="M219" s="766"/>
      <c r="N219" s="767"/>
      <c r="O219" s="768"/>
      <c r="P219" s="769"/>
      <c r="Q219" s="770"/>
      <c r="R219" s="768"/>
      <c r="S219" s="768"/>
      <c r="T219" s="774"/>
      <c r="U219" s="774"/>
      <c r="V219" s="774"/>
      <c r="W219" s="775"/>
      <c r="X219" s="771"/>
      <c r="Y219" s="772"/>
    </row>
    <row r="220" spans="1:25">
      <c r="A220" s="762"/>
      <c r="B220" s="762"/>
      <c r="C220" s="763"/>
      <c r="D220" s="764"/>
      <c r="E220" s="765"/>
      <c r="F220" s="778"/>
      <c r="G220" s="763"/>
      <c r="H220" s="763"/>
      <c r="I220" s="763"/>
      <c r="J220" s="779"/>
      <c r="K220" s="779"/>
      <c r="L220" s="766"/>
      <c r="M220" s="766"/>
      <c r="N220" s="767"/>
      <c r="O220" s="768"/>
      <c r="P220" s="769"/>
      <c r="Q220" s="770"/>
      <c r="R220" s="768"/>
      <c r="S220" s="768"/>
      <c r="T220" s="774"/>
      <c r="U220" s="774"/>
      <c r="V220" s="774"/>
      <c r="W220" s="775"/>
      <c r="X220" s="771"/>
      <c r="Y220" s="772"/>
    </row>
    <row r="221" spans="1:25">
      <c r="A221" s="762"/>
      <c r="B221" s="762"/>
      <c r="C221" s="763"/>
      <c r="D221" s="764"/>
      <c r="E221" s="765"/>
      <c r="F221" s="778"/>
      <c r="G221" s="763"/>
      <c r="H221" s="763"/>
      <c r="I221" s="763"/>
      <c r="J221" s="779"/>
      <c r="K221" s="779"/>
      <c r="L221" s="766"/>
      <c r="M221" s="766"/>
      <c r="N221" s="767"/>
      <c r="O221" s="768"/>
      <c r="P221" s="769"/>
      <c r="Q221" s="770"/>
      <c r="R221" s="768"/>
      <c r="S221" s="768"/>
      <c r="T221" s="774"/>
      <c r="U221" s="774"/>
      <c r="V221" s="774"/>
      <c r="W221" s="775"/>
      <c r="X221" s="771"/>
      <c r="Y221" s="772"/>
    </row>
    <row r="222" spans="1:25">
      <c r="A222" s="762"/>
      <c r="B222" s="762"/>
      <c r="C222" s="763"/>
      <c r="D222" s="764"/>
      <c r="E222" s="765"/>
      <c r="F222" s="778"/>
      <c r="G222" s="763"/>
      <c r="H222" s="763"/>
      <c r="I222" s="763"/>
      <c r="J222" s="779"/>
      <c r="K222" s="779"/>
      <c r="L222" s="766"/>
      <c r="M222" s="766"/>
      <c r="N222" s="767"/>
      <c r="O222" s="768"/>
      <c r="P222" s="769"/>
      <c r="Q222" s="770"/>
      <c r="R222" s="768"/>
      <c r="S222" s="768"/>
      <c r="T222" s="774"/>
      <c r="U222" s="774"/>
      <c r="V222" s="774"/>
      <c r="W222" s="775"/>
      <c r="X222" s="771"/>
      <c r="Y222" s="772"/>
    </row>
    <row r="223" spans="1:25">
      <c r="A223" s="762"/>
      <c r="B223" s="762"/>
      <c r="C223" s="763"/>
      <c r="D223" s="764"/>
      <c r="E223" s="765"/>
      <c r="F223" s="778"/>
      <c r="G223" s="763"/>
      <c r="H223" s="763"/>
      <c r="I223" s="763"/>
      <c r="J223" s="779"/>
      <c r="K223" s="779"/>
      <c r="L223" s="766"/>
      <c r="M223" s="766"/>
      <c r="N223" s="767"/>
      <c r="O223" s="768"/>
      <c r="P223" s="769"/>
      <c r="Q223" s="770"/>
      <c r="R223" s="768"/>
      <c r="S223" s="768"/>
      <c r="T223" s="774"/>
      <c r="U223" s="774"/>
      <c r="V223" s="774"/>
      <c r="W223" s="775"/>
      <c r="X223" s="771"/>
      <c r="Y223" s="772"/>
    </row>
    <row r="224" spans="1:25">
      <c r="A224" s="762"/>
      <c r="B224" s="762"/>
      <c r="C224" s="763"/>
      <c r="D224" s="764"/>
      <c r="E224" s="765"/>
      <c r="F224" s="778"/>
      <c r="G224" s="763"/>
      <c r="H224" s="763"/>
      <c r="I224" s="763"/>
      <c r="J224" s="779"/>
      <c r="K224" s="779"/>
      <c r="L224" s="766"/>
      <c r="M224" s="766"/>
      <c r="N224" s="767"/>
      <c r="O224" s="768"/>
      <c r="P224" s="769"/>
      <c r="Q224" s="770"/>
      <c r="R224" s="768"/>
      <c r="S224" s="768"/>
      <c r="T224" s="774"/>
      <c r="U224" s="774"/>
      <c r="V224" s="774"/>
      <c r="W224" s="775"/>
      <c r="X224" s="771"/>
      <c r="Y224" s="772"/>
    </row>
    <row r="225" spans="1:25">
      <c r="A225" s="762"/>
      <c r="B225" s="762"/>
      <c r="C225" s="763"/>
      <c r="D225" s="764"/>
      <c r="E225" s="765"/>
      <c r="F225" s="778"/>
      <c r="G225" s="763"/>
      <c r="H225" s="763"/>
      <c r="I225" s="763"/>
      <c r="J225" s="779"/>
      <c r="K225" s="779"/>
      <c r="L225" s="766"/>
      <c r="M225" s="766"/>
      <c r="N225" s="767"/>
      <c r="O225" s="768"/>
      <c r="P225" s="769"/>
      <c r="Q225" s="770"/>
      <c r="R225" s="768"/>
      <c r="S225" s="768"/>
      <c r="T225" s="774"/>
      <c r="U225" s="774"/>
      <c r="V225" s="774"/>
      <c r="W225" s="775"/>
      <c r="X225" s="771"/>
      <c r="Y225" s="772"/>
    </row>
    <row r="226" spans="1:25">
      <c r="A226" s="762"/>
      <c r="B226" s="762"/>
      <c r="C226" s="763"/>
      <c r="D226" s="764"/>
      <c r="E226" s="765"/>
      <c r="F226" s="778"/>
      <c r="G226" s="763"/>
      <c r="H226" s="763"/>
      <c r="I226" s="763"/>
      <c r="J226" s="779"/>
      <c r="K226" s="779"/>
      <c r="L226" s="766"/>
      <c r="M226" s="766"/>
      <c r="N226" s="767"/>
      <c r="O226" s="768"/>
      <c r="P226" s="769"/>
      <c r="Q226" s="770"/>
      <c r="R226" s="768"/>
      <c r="S226" s="768"/>
      <c r="T226" s="774"/>
      <c r="U226" s="774"/>
      <c r="V226" s="774"/>
      <c r="W226" s="775"/>
      <c r="X226" s="771"/>
      <c r="Y226" s="772"/>
    </row>
    <row r="227" spans="1:25">
      <c r="A227" s="762"/>
      <c r="B227" s="762"/>
      <c r="C227" s="763"/>
      <c r="D227" s="764"/>
      <c r="E227" s="765"/>
      <c r="F227" s="778"/>
      <c r="G227" s="763"/>
      <c r="H227" s="763"/>
      <c r="I227" s="763"/>
      <c r="J227" s="779"/>
      <c r="K227" s="779"/>
      <c r="L227" s="766"/>
      <c r="M227" s="766"/>
      <c r="N227" s="767"/>
      <c r="O227" s="768"/>
      <c r="P227" s="769"/>
      <c r="Q227" s="770"/>
      <c r="R227" s="768"/>
      <c r="S227" s="768"/>
      <c r="T227" s="774"/>
      <c r="U227" s="774"/>
      <c r="V227" s="774"/>
      <c r="W227" s="775"/>
      <c r="X227" s="771"/>
      <c r="Y227" s="772"/>
    </row>
    <row r="228" spans="1:25">
      <c r="A228" s="762"/>
      <c r="B228" s="762"/>
      <c r="C228" s="763"/>
      <c r="D228" s="764"/>
      <c r="E228" s="765"/>
      <c r="F228" s="778"/>
      <c r="G228" s="763"/>
      <c r="H228" s="763"/>
      <c r="I228" s="763"/>
      <c r="J228" s="779"/>
      <c r="K228" s="779"/>
      <c r="L228" s="766"/>
      <c r="M228" s="766"/>
      <c r="N228" s="767"/>
      <c r="O228" s="768"/>
      <c r="P228" s="769"/>
      <c r="Q228" s="770"/>
      <c r="R228" s="768"/>
      <c r="S228" s="768"/>
      <c r="T228" s="774"/>
      <c r="U228" s="774"/>
      <c r="V228" s="774"/>
      <c r="W228" s="775"/>
      <c r="X228" s="771"/>
      <c r="Y228" s="772"/>
    </row>
    <row r="229" spans="1:25">
      <c r="A229" s="762"/>
      <c r="B229" s="762"/>
      <c r="C229" s="763"/>
      <c r="D229" s="764"/>
      <c r="E229" s="765"/>
      <c r="F229" s="778"/>
      <c r="G229" s="763"/>
      <c r="H229" s="763"/>
      <c r="I229" s="763"/>
      <c r="J229" s="779"/>
      <c r="K229" s="779"/>
      <c r="L229" s="766"/>
      <c r="M229" s="766"/>
      <c r="N229" s="767"/>
      <c r="O229" s="768"/>
      <c r="P229" s="769"/>
      <c r="Q229" s="770"/>
      <c r="R229" s="768"/>
      <c r="S229" s="768"/>
      <c r="T229" s="774"/>
      <c r="U229" s="774"/>
      <c r="V229" s="774"/>
      <c r="W229" s="775"/>
      <c r="X229" s="771"/>
      <c r="Y229" s="772"/>
    </row>
    <row r="230" spans="1:25">
      <c r="A230" s="762"/>
      <c r="B230" s="762"/>
      <c r="C230" s="763"/>
      <c r="D230" s="764"/>
      <c r="E230" s="765"/>
      <c r="F230" s="778"/>
      <c r="G230" s="763"/>
      <c r="H230" s="763"/>
      <c r="I230" s="763"/>
      <c r="J230" s="779"/>
      <c r="K230" s="779"/>
      <c r="L230" s="766"/>
      <c r="M230" s="766"/>
      <c r="N230" s="767"/>
      <c r="O230" s="768"/>
      <c r="P230" s="769"/>
      <c r="Q230" s="770"/>
      <c r="R230" s="768"/>
      <c r="S230" s="768"/>
      <c r="T230" s="774"/>
      <c r="U230" s="774"/>
      <c r="V230" s="774"/>
      <c r="W230" s="775"/>
      <c r="X230" s="771"/>
      <c r="Y230" s="772"/>
    </row>
    <row r="231" spans="1:25">
      <c r="A231" s="762"/>
      <c r="B231" s="762"/>
      <c r="C231" s="763"/>
      <c r="D231" s="764"/>
      <c r="E231" s="765"/>
      <c r="F231" s="778"/>
      <c r="G231" s="763"/>
      <c r="H231" s="763"/>
      <c r="I231" s="763"/>
      <c r="J231" s="779"/>
      <c r="K231" s="779"/>
      <c r="L231" s="766"/>
      <c r="M231" s="766"/>
      <c r="N231" s="767"/>
      <c r="O231" s="768"/>
      <c r="P231" s="769"/>
      <c r="Q231" s="770"/>
      <c r="R231" s="768"/>
      <c r="S231" s="768"/>
      <c r="T231" s="774"/>
      <c r="U231" s="774"/>
      <c r="V231" s="774"/>
      <c r="W231" s="775"/>
      <c r="X231" s="771"/>
      <c r="Y231" s="772"/>
    </row>
    <row r="232" spans="1:25">
      <c r="A232" s="762"/>
      <c r="B232" s="762"/>
      <c r="C232" s="763"/>
      <c r="D232" s="764"/>
      <c r="E232" s="765"/>
      <c r="F232" s="778"/>
      <c r="G232" s="763"/>
      <c r="H232" s="763"/>
      <c r="I232" s="763"/>
      <c r="J232" s="779"/>
      <c r="K232" s="779"/>
      <c r="L232" s="766"/>
      <c r="M232" s="766"/>
      <c r="N232" s="767"/>
      <c r="O232" s="768"/>
      <c r="P232" s="769"/>
      <c r="Q232" s="770"/>
      <c r="R232" s="768"/>
      <c r="S232" s="768"/>
      <c r="T232" s="774"/>
      <c r="U232" s="774"/>
      <c r="V232" s="774"/>
      <c r="W232" s="775"/>
      <c r="X232" s="771"/>
      <c r="Y232" s="772"/>
    </row>
    <row r="233" spans="1:25">
      <c r="A233" s="762"/>
      <c r="B233" s="762"/>
      <c r="C233" s="763"/>
      <c r="D233" s="764"/>
      <c r="E233" s="765"/>
      <c r="F233" s="778"/>
      <c r="G233" s="763"/>
      <c r="H233" s="763"/>
      <c r="I233" s="763"/>
      <c r="J233" s="779"/>
      <c r="K233" s="779"/>
      <c r="L233" s="766"/>
      <c r="M233" s="766"/>
      <c r="N233" s="767"/>
      <c r="O233" s="768"/>
      <c r="P233" s="769"/>
      <c r="Q233" s="770"/>
      <c r="R233" s="768"/>
      <c r="S233" s="768"/>
      <c r="T233" s="774"/>
      <c r="U233" s="774"/>
      <c r="V233" s="774"/>
      <c r="W233" s="775"/>
      <c r="X233" s="771"/>
      <c r="Y233" s="772"/>
    </row>
    <row r="234" spans="1:25">
      <c r="A234" s="762"/>
      <c r="B234" s="762"/>
      <c r="C234" s="763"/>
      <c r="D234" s="764"/>
      <c r="E234" s="765"/>
      <c r="F234" s="778"/>
      <c r="G234" s="763"/>
      <c r="H234" s="763"/>
      <c r="I234" s="763"/>
      <c r="J234" s="779"/>
      <c r="K234" s="779"/>
      <c r="L234" s="766"/>
      <c r="M234" s="766"/>
      <c r="N234" s="767"/>
      <c r="O234" s="768"/>
      <c r="P234" s="769"/>
      <c r="Q234" s="770"/>
      <c r="R234" s="768"/>
      <c r="S234" s="768"/>
      <c r="T234" s="774"/>
      <c r="U234" s="774"/>
      <c r="V234" s="774"/>
      <c r="W234" s="775"/>
      <c r="X234" s="771"/>
      <c r="Y234" s="772"/>
    </row>
    <row r="235" spans="1:25">
      <c r="A235" s="762"/>
      <c r="B235" s="762"/>
      <c r="C235" s="763"/>
      <c r="D235" s="764"/>
      <c r="E235" s="765"/>
      <c r="F235" s="778"/>
      <c r="G235" s="763"/>
      <c r="H235" s="763"/>
      <c r="I235" s="763"/>
      <c r="J235" s="779"/>
      <c r="K235" s="779"/>
      <c r="L235" s="766"/>
      <c r="M235" s="766"/>
      <c r="N235" s="767"/>
      <c r="O235" s="768"/>
      <c r="P235" s="769"/>
      <c r="Q235" s="770"/>
      <c r="R235" s="768"/>
      <c r="S235" s="768"/>
      <c r="T235" s="774"/>
      <c r="U235" s="774"/>
      <c r="V235" s="774"/>
      <c r="W235" s="775"/>
      <c r="X235" s="771"/>
      <c r="Y235" s="772"/>
    </row>
    <row r="236" spans="1:25">
      <c r="A236" s="762"/>
      <c r="B236" s="762"/>
      <c r="C236" s="763"/>
      <c r="D236" s="764"/>
      <c r="E236" s="765"/>
      <c r="F236" s="778"/>
      <c r="G236" s="763"/>
      <c r="H236" s="763"/>
      <c r="I236" s="763"/>
      <c r="J236" s="779"/>
      <c r="K236" s="779"/>
      <c r="L236" s="766"/>
      <c r="M236" s="766"/>
      <c r="N236" s="767"/>
      <c r="O236" s="768"/>
      <c r="P236" s="769"/>
      <c r="Q236" s="770"/>
      <c r="R236" s="768"/>
      <c r="S236" s="768"/>
      <c r="T236" s="774"/>
      <c r="U236" s="774"/>
      <c r="V236" s="774"/>
      <c r="W236" s="775"/>
      <c r="X236" s="771"/>
      <c r="Y236" s="772"/>
    </row>
    <row r="237" spans="1:25">
      <c r="A237" s="762"/>
      <c r="B237" s="762"/>
      <c r="C237" s="763"/>
      <c r="D237" s="764"/>
      <c r="E237" s="765"/>
      <c r="F237" s="778"/>
      <c r="G237" s="763"/>
      <c r="H237" s="763"/>
      <c r="I237" s="763"/>
      <c r="J237" s="779"/>
      <c r="K237" s="779"/>
      <c r="L237" s="766"/>
      <c r="M237" s="766"/>
      <c r="N237" s="767"/>
      <c r="O237" s="768"/>
      <c r="P237" s="769"/>
      <c r="Q237" s="770"/>
      <c r="R237" s="768"/>
      <c r="S237" s="768"/>
      <c r="T237" s="774"/>
      <c r="U237" s="774"/>
      <c r="V237" s="774"/>
      <c r="W237" s="775"/>
      <c r="X237" s="771"/>
      <c r="Y237" s="772"/>
    </row>
    <row r="238" spans="1:25">
      <c r="A238" s="762"/>
      <c r="B238" s="762"/>
      <c r="C238" s="763"/>
      <c r="D238" s="764"/>
      <c r="E238" s="765"/>
      <c r="F238" s="778"/>
      <c r="G238" s="763"/>
      <c r="H238" s="763"/>
      <c r="I238" s="763"/>
      <c r="J238" s="779"/>
      <c r="K238" s="779"/>
      <c r="L238" s="766"/>
      <c r="M238" s="766"/>
      <c r="N238" s="767"/>
      <c r="O238" s="768"/>
      <c r="P238" s="769"/>
      <c r="Q238" s="770"/>
      <c r="R238" s="768"/>
      <c r="S238" s="768"/>
      <c r="T238" s="774"/>
      <c r="U238" s="774"/>
      <c r="V238" s="774"/>
      <c r="W238" s="775"/>
      <c r="X238" s="771"/>
      <c r="Y238" s="772"/>
    </row>
    <row r="239" spans="1:25">
      <c r="A239" s="762"/>
      <c r="B239" s="762"/>
      <c r="C239" s="763"/>
      <c r="D239" s="764"/>
      <c r="E239" s="765"/>
      <c r="F239" s="778"/>
      <c r="G239" s="763"/>
      <c r="H239" s="763"/>
      <c r="I239" s="763"/>
      <c r="J239" s="779"/>
      <c r="K239" s="779"/>
      <c r="L239" s="766"/>
      <c r="M239" s="766"/>
      <c r="N239" s="767"/>
      <c r="O239" s="768"/>
      <c r="P239" s="769"/>
      <c r="Q239" s="770"/>
      <c r="R239" s="768"/>
      <c r="S239" s="768"/>
      <c r="T239" s="774"/>
      <c r="U239" s="774"/>
      <c r="V239" s="774"/>
      <c r="W239" s="775"/>
      <c r="X239" s="771"/>
      <c r="Y239" s="772"/>
    </row>
    <row r="240" spans="1:25">
      <c r="A240" s="762"/>
      <c r="B240" s="762"/>
      <c r="C240" s="763"/>
      <c r="D240" s="764"/>
      <c r="E240" s="765"/>
      <c r="F240" s="778"/>
      <c r="G240" s="763"/>
      <c r="H240" s="763"/>
      <c r="I240" s="763"/>
      <c r="J240" s="779"/>
      <c r="K240" s="779"/>
      <c r="L240" s="766"/>
      <c r="M240" s="766"/>
      <c r="N240" s="767"/>
      <c r="O240" s="768"/>
      <c r="P240" s="769"/>
      <c r="Q240" s="770"/>
      <c r="R240" s="768"/>
      <c r="S240" s="768"/>
      <c r="T240" s="774"/>
      <c r="U240" s="774"/>
      <c r="V240" s="774"/>
      <c r="W240" s="775"/>
      <c r="X240" s="771"/>
      <c r="Y240" s="772"/>
    </row>
    <row r="241" spans="1:25">
      <c r="A241" s="762"/>
      <c r="B241" s="762"/>
      <c r="C241" s="763"/>
      <c r="D241" s="764"/>
      <c r="E241" s="765"/>
      <c r="F241" s="778"/>
      <c r="G241" s="763"/>
      <c r="H241" s="763"/>
      <c r="I241" s="763"/>
      <c r="J241" s="779"/>
      <c r="K241" s="779"/>
      <c r="L241" s="766"/>
      <c r="M241" s="766"/>
      <c r="N241" s="767"/>
      <c r="O241" s="768"/>
      <c r="P241" s="769"/>
      <c r="Q241" s="770"/>
      <c r="R241" s="768"/>
      <c r="S241" s="768"/>
      <c r="T241" s="774"/>
      <c r="U241" s="774"/>
      <c r="V241" s="774"/>
      <c r="W241" s="775"/>
      <c r="X241" s="771"/>
      <c r="Y241" s="772"/>
    </row>
    <row r="242" spans="1:25">
      <c r="A242" s="762"/>
      <c r="B242" s="762"/>
      <c r="C242" s="763"/>
      <c r="D242" s="764"/>
      <c r="E242" s="765"/>
      <c r="F242" s="778"/>
      <c r="G242" s="763"/>
      <c r="H242" s="763"/>
      <c r="I242" s="763"/>
      <c r="J242" s="779"/>
      <c r="K242" s="779"/>
      <c r="L242" s="766"/>
      <c r="M242" s="766"/>
      <c r="N242" s="767"/>
      <c r="O242" s="768"/>
      <c r="P242" s="769"/>
      <c r="Q242" s="770"/>
      <c r="R242" s="768"/>
      <c r="S242" s="768"/>
      <c r="T242" s="774"/>
      <c r="U242" s="774"/>
      <c r="V242" s="774"/>
      <c r="W242" s="775"/>
      <c r="X242" s="771"/>
      <c r="Y242" s="772"/>
    </row>
    <row r="243" spans="1:25">
      <c r="A243" s="762"/>
      <c r="B243" s="762"/>
      <c r="C243" s="763"/>
      <c r="D243" s="764"/>
      <c r="E243" s="765"/>
      <c r="F243" s="778"/>
      <c r="G243" s="763"/>
      <c r="H243" s="763"/>
      <c r="I243" s="763"/>
      <c r="J243" s="779"/>
      <c r="K243" s="779"/>
      <c r="L243" s="766"/>
      <c r="M243" s="766"/>
      <c r="N243" s="767"/>
      <c r="O243" s="768"/>
      <c r="P243" s="769"/>
      <c r="Q243" s="770"/>
      <c r="R243" s="768"/>
      <c r="S243" s="768"/>
      <c r="T243" s="774"/>
      <c r="U243" s="774"/>
      <c r="V243" s="774"/>
      <c r="W243" s="775"/>
      <c r="X243" s="771"/>
      <c r="Y243" s="772"/>
    </row>
    <row r="244" spans="1:25">
      <c r="A244" s="762"/>
      <c r="B244" s="762"/>
      <c r="C244" s="763"/>
      <c r="D244" s="764"/>
      <c r="E244" s="765"/>
      <c r="F244" s="778"/>
      <c r="G244" s="763"/>
      <c r="H244" s="763"/>
      <c r="I244" s="763"/>
      <c r="J244" s="779"/>
      <c r="K244" s="779"/>
      <c r="L244" s="766"/>
      <c r="M244" s="766"/>
      <c r="N244" s="767"/>
      <c r="O244" s="768"/>
      <c r="P244" s="769"/>
      <c r="Q244" s="770"/>
      <c r="R244" s="768"/>
      <c r="S244" s="768"/>
      <c r="T244" s="774"/>
      <c r="U244" s="774"/>
      <c r="V244" s="774"/>
      <c r="W244" s="775"/>
      <c r="X244" s="771"/>
      <c r="Y244" s="772"/>
    </row>
    <row r="245" spans="1:25">
      <c r="A245" s="762"/>
      <c r="B245" s="762"/>
      <c r="C245" s="763"/>
      <c r="D245" s="764"/>
      <c r="E245" s="765"/>
      <c r="F245" s="778"/>
      <c r="G245" s="763"/>
      <c r="H245" s="763"/>
      <c r="I245" s="763"/>
      <c r="J245" s="779"/>
      <c r="K245" s="779"/>
      <c r="L245" s="766"/>
      <c r="M245" s="766"/>
      <c r="N245" s="767"/>
      <c r="O245" s="768"/>
      <c r="P245" s="769"/>
      <c r="Q245" s="770"/>
      <c r="R245" s="768"/>
      <c r="S245" s="768"/>
      <c r="T245" s="774"/>
      <c r="U245" s="774"/>
      <c r="V245" s="774"/>
      <c r="W245" s="775"/>
      <c r="X245" s="771"/>
      <c r="Y245" s="772"/>
    </row>
    <row r="246" spans="1:25">
      <c r="A246" s="762"/>
      <c r="B246" s="762"/>
      <c r="C246" s="763"/>
      <c r="D246" s="764"/>
      <c r="E246" s="765"/>
      <c r="F246" s="778"/>
      <c r="G246" s="763"/>
      <c r="H246" s="763"/>
      <c r="I246" s="763"/>
      <c r="J246" s="779"/>
      <c r="K246" s="779"/>
      <c r="L246" s="766"/>
      <c r="M246" s="766"/>
      <c r="N246" s="767"/>
      <c r="O246" s="768"/>
      <c r="P246" s="769"/>
      <c r="Q246" s="770"/>
      <c r="R246" s="768"/>
      <c r="S246" s="768"/>
      <c r="T246" s="774"/>
      <c r="U246" s="774"/>
      <c r="V246" s="774"/>
      <c r="W246" s="775"/>
      <c r="X246" s="771"/>
      <c r="Y246" s="772"/>
    </row>
    <row r="247" spans="1:25">
      <c r="A247" s="762"/>
      <c r="B247" s="762"/>
      <c r="C247" s="763"/>
      <c r="D247" s="764"/>
      <c r="E247" s="765"/>
      <c r="F247" s="778"/>
      <c r="G247" s="763"/>
      <c r="H247" s="763"/>
      <c r="I247" s="763"/>
      <c r="J247" s="779"/>
      <c r="K247" s="779"/>
      <c r="L247" s="766"/>
      <c r="M247" s="766"/>
      <c r="N247" s="767"/>
      <c r="O247" s="768"/>
      <c r="P247" s="769"/>
      <c r="Q247" s="770"/>
      <c r="R247" s="768"/>
      <c r="S247" s="768"/>
      <c r="T247" s="774"/>
      <c r="U247" s="774"/>
      <c r="V247" s="774"/>
      <c r="W247" s="775"/>
      <c r="X247" s="771"/>
      <c r="Y247" s="772"/>
    </row>
    <row r="248" spans="1:25">
      <c r="A248" s="762"/>
      <c r="B248" s="762"/>
      <c r="C248" s="763"/>
      <c r="D248" s="764"/>
      <c r="E248" s="765"/>
      <c r="F248" s="778"/>
      <c r="G248" s="763"/>
      <c r="H248" s="763"/>
      <c r="I248" s="763"/>
      <c r="J248" s="779"/>
      <c r="K248" s="779"/>
      <c r="L248" s="766"/>
      <c r="M248" s="766"/>
      <c r="N248" s="767"/>
      <c r="O248" s="768"/>
      <c r="P248" s="769"/>
      <c r="Q248" s="770"/>
      <c r="R248" s="768"/>
      <c r="S248" s="768"/>
      <c r="T248" s="774"/>
      <c r="U248" s="774"/>
      <c r="V248" s="774"/>
      <c r="W248" s="775"/>
      <c r="X248" s="771"/>
      <c r="Y248" s="772"/>
    </row>
    <row r="249" spans="1:25">
      <c r="A249" s="762"/>
      <c r="B249" s="762"/>
      <c r="C249" s="763"/>
      <c r="D249" s="764"/>
      <c r="E249" s="765"/>
      <c r="F249" s="778"/>
      <c r="G249" s="763"/>
      <c r="H249" s="763"/>
      <c r="I249" s="763"/>
      <c r="J249" s="779"/>
      <c r="K249" s="779"/>
      <c r="L249" s="766"/>
      <c r="M249" s="766"/>
      <c r="N249" s="767"/>
      <c r="O249" s="768"/>
      <c r="P249" s="769"/>
      <c r="Q249" s="770"/>
      <c r="R249" s="768"/>
      <c r="S249" s="768"/>
      <c r="T249" s="774"/>
      <c r="U249" s="774"/>
      <c r="V249" s="774"/>
      <c r="W249" s="775"/>
      <c r="X249" s="771"/>
      <c r="Y249" s="772"/>
    </row>
    <row r="250" spans="1:25">
      <c r="A250" s="762"/>
      <c r="B250" s="762"/>
      <c r="C250" s="763"/>
      <c r="D250" s="764"/>
      <c r="E250" s="765"/>
      <c r="F250" s="778"/>
      <c r="G250" s="763"/>
      <c r="H250" s="763"/>
      <c r="I250" s="763"/>
      <c r="J250" s="779"/>
      <c r="K250" s="779"/>
      <c r="L250" s="766"/>
      <c r="M250" s="766"/>
      <c r="N250" s="767"/>
      <c r="O250" s="768"/>
      <c r="P250" s="769"/>
      <c r="Q250" s="770"/>
      <c r="R250" s="768"/>
      <c r="S250" s="768"/>
      <c r="T250" s="774"/>
      <c r="U250" s="774"/>
      <c r="V250" s="774"/>
      <c r="W250" s="775"/>
      <c r="X250" s="771"/>
      <c r="Y250" s="772"/>
    </row>
    <row r="251" spans="1:25">
      <c r="A251" s="762"/>
      <c r="B251" s="762"/>
      <c r="C251" s="763"/>
      <c r="D251" s="764"/>
      <c r="E251" s="765"/>
      <c r="F251" s="778"/>
      <c r="G251" s="763"/>
      <c r="H251" s="763"/>
      <c r="I251" s="763"/>
      <c r="J251" s="779"/>
      <c r="K251" s="779"/>
      <c r="L251" s="766"/>
      <c r="M251" s="766"/>
      <c r="N251" s="767"/>
      <c r="O251" s="768"/>
      <c r="P251" s="769"/>
      <c r="Q251" s="770"/>
      <c r="R251" s="768"/>
      <c r="S251" s="768"/>
      <c r="T251" s="774"/>
      <c r="U251" s="774"/>
      <c r="V251" s="774"/>
      <c r="W251" s="775"/>
      <c r="X251" s="771"/>
      <c r="Y251" s="772"/>
    </row>
    <row r="252" spans="1:25">
      <c r="A252" s="762"/>
      <c r="B252" s="762"/>
      <c r="C252" s="763"/>
      <c r="D252" s="764"/>
      <c r="E252" s="765"/>
      <c r="F252" s="778"/>
      <c r="G252" s="763"/>
      <c r="H252" s="763"/>
      <c r="I252" s="763"/>
      <c r="J252" s="779"/>
      <c r="K252" s="779"/>
      <c r="L252" s="766"/>
      <c r="M252" s="766"/>
      <c r="N252" s="767"/>
      <c r="O252" s="768"/>
      <c r="P252" s="769"/>
      <c r="Q252" s="770"/>
      <c r="R252" s="768"/>
      <c r="S252" s="768"/>
      <c r="T252" s="774"/>
      <c r="U252" s="774"/>
      <c r="V252" s="774"/>
      <c r="W252" s="775"/>
      <c r="X252" s="771"/>
      <c r="Y252" s="772"/>
    </row>
    <row r="253" spans="1:25">
      <c r="A253" s="762"/>
      <c r="B253" s="762"/>
      <c r="C253" s="763"/>
      <c r="D253" s="764"/>
      <c r="E253" s="765"/>
      <c r="F253" s="778"/>
      <c r="G253" s="763"/>
      <c r="H253" s="763"/>
      <c r="I253" s="763"/>
      <c r="J253" s="779"/>
      <c r="K253" s="779"/>
      <c r="L253" s="766"/>
      <c r="M253" s="766"/>
      <c r="N253" s="767"/>
      <c r="O253" s="768"/>
      <c r="P253" s="769"/>
      <c r="Q253" s="770"/>
      <c r="R253" s="768"/>
      <c r="S253" s="768"/>
      <c r="T253" s="774"/>
      <c r="U253" s="774"/>
      <c r="V253" s="774"/>
      <c r="W253" s="775"/>
      <c r="X253" s="771"/>
      <c r="Y253" s="772"/>
    </row>
    <row r="254" spans="1:25">
      <c r="A254" s="762"/>
      <c r="B254" s="762"/>
      <c r="C254" s="763"/>
      <c r="D254" s="764"/>
      <c r="E254" s="765"/>
      <c r="F254" s="778"/>
      <c r="G254" s="763"/>
      <c r="H254" s="763"/>
      <c r="I254" s="763"/>
      <c r="J254" s="779"/>
      <c r="K254" s="779"/>
      <c r="L254" s="766"/>
      <c r="M254" s="766"/>
      <c r="N254" s="767"/>
      <c r="O254" s="768"/>
      <c r="P254" s="769"/>
      <c r="Q254" s="770"/>
      <c r="R254" s="768"/>
      <c r="S254" s="768"/>
      <c r="T254" s="774"/>
      <c r="U254" s="774"/>
      <c r="V254" s="774"/>
      <c r="W254" s="775"/>
      <c r="X254" s="771"/>
      <c r="Y254" s="772"/>
    </row>
    <row r="255" spans="1:25">
      <c r="A255" s="762"/>
      <c r="B255" s="762"/>
      <c r="C255" s="763"/>
      <c r="D255" s="764"/>
      <c r="E255" s="765"/>
      <c r="F255" s="778"/>
      <c r="G255" s="763"/>
      <c r="H255" s="763"/>
      <c r="I255" s="763"/>
      <c r="J255" s="779"/>
      <c r="K255" s="779"/>
      <c r="L255" s="766"/>
      <c r="M255" s="766"/>
      <c r="N255" s="767"/>
      <c r="O255" s="768"/>
      <c r="P255" s="769"/>
      <c r="Q255" s="770"/>
      <c r="R255" s="768"/>
      <c r="S255" s="768"/>
      <c r="T255" s="774"/>
      <c r="U255" s="774"/>
      <c r="V255" s="774"/>
      <c r="W255" s="775"/>
      <c r="X255" s="771"/>
      <c r="Y255" s="772"/>
    </row>
    <row r="256" spans="1:25">
      <c r="A256" s="762"/>
      <c r="B256" s="762"/>
      <c r="C256" s="763"/>
      <c r="D256" s="764"/>
      <c r="E256" s="765"/>
      <c r="F256" s="778"/>
      <c r="G256" s="763"/>
      <c r="H256" s="763"/>
      <c r="I256" s="763"/>
      <c r="J256" s="779"/>
      <c r="K256" s="779"/>
      <c r="L256" s="766"/>
      <c r="M256" s="766"/>
      <c r="N256" s="767"/>
      <c r="O256" s="768"/>
      <c r="P256" s="769"/>
      <c r="Q256" s="770"/>
      <c r="R256" s="768"/>
      <c r="S256" s="768"/>
      <c r="T256" s="774"/>
      <c r="U256" s="774"/>
      <c r="V256" s="774"/>
      <c r="W256" s="775"/>
      <c r="X256" s="771"/>
      <c r="Y256" s="772"/>
    </row>
    <row r="257" spans="1:25">
      <c r="A257" s="762"/>
      <c r="B257" s="762"/>
      <c r="C257" s="763"/>
      <c r="D257" s="764"/>
      <c r="E257" s="765"/>
      <c r="F257" s="778"/>
      <c r="G257" s="763"/>
      <c r="H257" s="763"/>
      <c r="I257" s="763"/>
      <c r="J257" s="779"/>
      <c r="K257" s="779"/>
      <c r="L257" s="766"/>
      <c r="M257" s="766"/>
      <c r="N257" s="767"/>
      <c r="O257" s="768"/>
      <c r="P257" s="769"/>
      <c r="Q257" s="770"/>
      <c r="R257" s="768"/>
      <c r="S257" s="768"/>
      <c r="T257" s="774"/>
      <c r="U257" s="774"/>
      <c r="V257" s="774"/>
      <c r="W257" s="775"/>
      <c r="X257" s="771"/>
      <c r="Y257" s="772"/>
    </row>
    <row r="258" spans="1:25">
      <c r="A258" s="762"/>
      <c r="B258" s="762"/>
      <c r="C258" s="763"/>
      <c r="D258" s="764"/>
      <c r="E258" s="765"/>
      <c r="F258" s="778"/>
      <c r="G258" s="763"/>
      <c r="H258" s="763"/>
      <c r="I258" s="763"/>
      <c r="J258" s="779"/>
      <c r="K258" s="779"/>
      <c r="L258" s="766"/>
      <c r="M258" s="766"/>
      <c r="N258" s="767"/>
      <c r="O258" s="768"/>
      <c r="P258" s="769"/>
      <c r="Q258" s="770"/>
      <c r="R258" s="768"/>
      <c r="S258" s="768"/>
      <c r="T258" s="774"/>
      <c r="U258" s="774"/>
      <c r="V258" s="774"/>
      <c r="W258" s="775"/>
      <c r="X258" s="771"/>
      <c r="Y258" s="772"/>
    </row>
    <row r="259" spans="1:25">
      <c r="A259" s="762"/>
      <c r="B259" s="762"/>
      <c r="C259" s="763"/>
      <c r="D259" s="764"/>
      <c r="E259" s="765"/>
      <c r="F259" s="778"/>
      <c r="G259" s="763"/>
      <c r="H259" s="763"/>
      <c r="I259" s="763"/>
      <c r="J259" s="779"/>
      <c r="K259" s="779"/>
      <c r="L259" s="766"/>
      <c r="M259" s="766"/>
      <c r="N259" s="767"/>
      <c r="O259" s="768"/>
      <c r="P259" s="769"/>
      <c r="Q259" s="770"/>
      <c r="R259" s="768"/>
      <c r="S259" s="768"/>
      <c r="T259" s="774"/>
      <c r="U259" s="774"/>
      <c r="V259" s="774"/>
      <c r="W259" s="775"/>
      <c r="X259" s="771"/>
      <c r="Y259" s="772"/>
    </row>
    <row r="260" spans="1:25">
      <c r="A260" s="762"/>
      <c r="B260" s="762"/>
      <c r="C260" s="763"/>
      <c r="D260" s="764"/>
      <c r="E260" s="765"/>
      <c r="F260" s="778"/>
      <c r="G260" s="763"/>
      <c r="H260" s="763"/>
      <c r="I260" s="763"/>
      <c r="J260" s="779"/>
      <c r="K260" s="779"/>
      <c r="L260" s="766"/>
      <c r="M260" s="766"/>
      <c r="N260" s="767"/>
      <c r="O260" s="768"/>
      <c r="P260" s="769"/>
      <c r="Q260" s="770"/>
      <c r="R260" s="768"/>
      <c r="S260" s="768"/>
      <c r="T260" s="774"/>
      <c r="U260" s="774"/>
      <c r="V260" s="774"/>
      <c r="W260" s="775"/>
      <c r="X260" s="771"/>
      <c r="Y260" s="772"/>
    </row>
    <row r="261" spans="1:25">
      <c r="A261" s="762"/>
      <c r="B261" s="762"/>
      <c r="C261" s="763"/>
      <c r="D261" s="764"/>
      <c r="E261" s="765"/>
      <c r="F261" s="778"/>
      <c r="G261" s="763"/>
      <c r="H261" s="763"/>
      <c r="I261" s="763"/>
      <c r="J261" s="779"/>
      <c r="K261" s="779"/>
      <c r="L261" s="766"/>
      <c r="M261" s="766"/>
      <c r="N261" s="767"/>
      <c r="O261" s="768"/>
      <c r="P261" s="769"/>
      <c r="Q261" s="770"/>
      <c r="R261" s="768"/>
      <c r="S261" s="768"/>
      <c r="T261" s="774"/>
      <c r="U261" s="774"/>
      <c r="V261" s="774"/>
      <c r="W261" s="775"/>
      <c r="X261" s="771"/>
      <c r="Y261" s="772"/>
    </row>
    <row r="262" spans="1:25">
      <c r="A262" s="762"/>
      <c r="B262" s="762"/>
      <c r="C262" s="763"/>
      <c r="D262" s="764"/>
      <c r="E262" s="765"/>
      <c r="F262" s="778"/>
      <c r="G262" s="763"/>
      <c r="H262" s="763"/>
      <c r="I262" s="763"/>
      <c r="J262" s="779"/>
      <c r="K262" s="779"/>
      <c r="L262" s="766"/>
      <c r="M262" s="766"/>
      <c r="N262" s="767"/>
      <c r="O262" s="768"/>
      <c r="P262" s="769"/>
      <c r="Q262" s="770"/>
      <c r="R262" s="768"/>
      <c r="S262" s="768"/>
      <c r="T262" s="774"/>
      <c r="U262" s="774"/>
      <c r="V262" s="774"/>
      <c r="W262" s="775"/>
      <c r="X262" s="771"/>
      <c r="Y262" s="772"/>
    </row>
    <row r="263" spans="1:25">
      <c r="A263" s="762"/>
      <c r="B263" s="762"/>
      <c r="C263" s="763"/>
      <c r="D263" s="764"/>
      <c r="E263" s="765"/>
      <c r="F263" s="778"/>
      <c r="G263" s="763"/>
      <c r="H263" s="763"/>
      <c r="I263" s="763"/>
      <c r="J263" s="779"/>
      <c r="K263" s="779"/>
      <c r="L263" s="766"/>
      <c r="M263" s="766"/>
      <c r="N263" s="767"/>
      <c r="O263" s="768"/>
      <c r="P263" s="769"/>
      <c r="Q263" s="770"/>
      <c r="R263" s="768"/>
      <c r="S263" s="768"/>
      <c r="T263" s="774"/>
      <c r="U263" s="774"/>
      <c r="V263" s="774"/>
      <c r="W263" s="775"/>
      <c r="X263" s="771"/>
      <c r="Y263" s="772"/>
    </row>
    <row r="264" spans="1:25">
      <c r="A264" s="762"/>
      <c r="B264" s="762"/>
      <c r="C264" s="763"/>
      <c r="D264" s="764"/>
      <c r="E264" s="765"/>
      <c r="F264" s="778"/>
      <c r="G264" s="763"/>
      <c r="H264" s="763"/>
      <c r="I264" s="763"/>
      <c r="J264" s="779"/>
      <c r="K264" s="779"/>
      <c r="L264" s="766"/>
      <c r="M264" s="766"/>
      <c r="N264" s="767"/>
      <c r="O264" s="768"/>
      <c r="P264" s="769"/>
      <c r="Q264" s="770"/>
      <c r="R264" s="768"/>
      <c r="S264" s="768"/>
      <c r="T264" s="774"/>
      <c r="U264" s="774"/>
      <c r="V264" s="774"/>
      <c r="W264" s="775"/>
      <c r="X264" s="771"/>
      <c r="Y264" s="772"/>
    </row>
    <row r="265" spans="1:25">
      <c r="A265" s="762"/>
      <c r="B265" s="762"/>
      <c r="C265" s="763"/>
      <c r="D265" s="764"/>
      <c r="E265" s="765"/>
      <c r="F265" s="778"/>
      <c r="G265" s="763"/>
      <c r="H265" s="763"/>
      <c r="I265" s="763"/>
      <c r="J265" s="779"/>
      <c r="K265" s="779"/>
      <c r="L265" s="766"/>
      <c r="M265" s="766"/>
      <c r="N265" s="767"/>
      <c r="O265" s="768"/>
      <c r="P265" s="769"/>
      <c r="Q265" s="770"/>
      <c r="R265" s="768"/>
      <c r="S265" s="768"/>
      <c r="T265" s="774"/>
      <c r="U265" s="774"/>
      <c r="V265" s="774"/>
      <c r="W265" s="775"/>
      <c r="X265" s="771"/>
      <c r="Y265" s="772"/>
    </row>
    <row r="266" spans="1:25">
      <c r="A266" s="762"/>
      <c r="B266" s="762"/>
      <c r="C266" s="763"/>
      <c r="D266" s="764"/>
      <c r="E266" s="765"/>
      <c r="F266" s="778"/>
      <c r="G266" s="763"/>
      <c r="H266" s="763"/>
      <c r="I266" s="763"/>
      <c r="J266" s="779"/>
      <c r="K266" s="779"/>
      <c r="L266" s="766"/>
      <c r="M266" s="766"/>
      <c r="N266" s="767"/>
      <c r="O266" s="768"/>
      <c r="P266" s="769"/>
      <c r="Q266" s="770"/>
      <c r="R266" s="768"/>
      <c r="S266" s="768"/>
      <c r="T266" s="774"/>
      <c r="U266" s="774"/>
      <c r="V266" s="774"/>
      <c r="W266" s="775"/>
      <c r="X266" s="771"/>
      <c r="Y266" s="772"/>
    </row>
    <row r="267" spans="1:25">
      <c r="A267" s="762"/>
      <c r="B267" s="762"/>
      <c r="C267" s="763"/>
      <c r="D267" s="764"/>
      <c r="E267" s="765"/>
      <c r="F267" s="778"/>
      <c r="G267" s="763"/>
      <c r="H267" s="763"/>
      <c r="I267" s="763"/>
      <c r="J267" s="779"/>
      <c r="K267" s="779"/>
      <c r="L267" s="766"/>
      <c r="M267" s="766"/>
      <c r="N267" s="767"/>
      <c r="O267" s="768"/>
      <c r="P267" s="769"/>
      <c r="Q267" s="770"/>
      <c r="R267" s="768"/>
      <c r="S267" s="768"/>
      <c r="T267" s="774"/>
      <c r="U267" s="774"/>
      <c r="V267" s="774"/>
      <c r="W267" s="775"/>
      <c r="X267" s="771"/>
      <c r="Y267" s="772"/>
    </row>
    <row r="268" spans="1:25">
      <c r="A268" s="762"/>
      <c r="B268" s="762"/>
      <c r="C268" s="763"/>
      <c r="D268" s="764"/>
      <c r="E268" s="765"/>
      <c r="F268" s="778"/>
      <c r="G268" s="763"/>
      <c r="H268" s="763"/>
      <c r="I268" s="763"/>
      <c r="J268" s="779"/>
      <c r="K268" s="779"/>
      <c r="L268" s="766"/>
      <c r="M268" s="766"/>
      <c r="N268" s="767"/>
      <c r="O268" s="768"/>
      <c r="P268" s="769"/>
      <c r="Q268" s="770"/>
      <c r="R268" s="768"/>
      <c r="S268" s="768"/>
      <c r="T268" s="774"/>
      <c r="U268" s="774"/>
      <c r="V268" s="774"/>
      <c r="W268" s="775"/>
      <c r="X268" s="771"/>
      <c r="Y268" s="772"/>
    </row>
    <row r="269" spans="1:25">
      <c r="A269" s="762"/>
      <c r="B269" s="762"/>
      <c r="C269" s="763"/>
      <c r="D269" s="764"/>
      <c r="E269" s="765"/>
      <c r="F269" s="778"/>
      <c r="G269" s="763"/>
      <c r="H269" s="763"/>
      <c r="I269" s="763"/>
      <c r="J269" s="779"/>
      <c r="K269" s="779"/>
      <c r="L269" s="766"/>
      <c r="M269" s="766"/>
      <c r="N269" s="767"/>
      <c r="O269" s="768"/>
      <c r="P269" s="769"/>
      <c r="Q269" s="770"/>
      <c r="R269" s="768"/>
      <c r="S269" s="768"/>
      <c r="T269" s="774"/>
      <c r="U269" s="774"/>
      <c r="V269" s="774"/>
      <c r="W269" s="775"/>
      <c r="X269" s="771"/>
      <c r="Y269" s="772"/>
    </row>
    <row r="270" spans="1:25">
      <c r="A270" s="762"/>
      <c r="B270" s="762"/>
      <c r="C270" s="763"/>
      <c r="D270" s="764"/>
      <c r="E270" s="765"/>
      <c r="F270" s="778"/>
      <c r="G270" s="763"/>
      <c r="H270" s="763"/>
      <c r="I270" s="763"/>
      <c r="J270" s="779"/>
      <c r="K270" s="779"/>
      <c r="L270" s="766"/>
      <c r="M270" s="766"/>
      <c r="N270" s="767"/>
      <c r="O270" s="768"/>
      <c r="P270" s="769"/>
      <c r="Q270" s="770"/>
      <c r="R270" s="768"/>
      <c r="S270" s="768"/>
      <c r="T270" s="774"/>
      <c r="U270" s="774"/>
      <c r="V270" s="774"/>
      <c r="W270" s="775"/>
      <c r="X270" s="771"/>
      <c r="Y270" s="772"/>
    </row>
    <row r="271" spans="1:25">
      <c r="A271" s="762"/>
      <c r="B271" s="762"/>
      <c r="C271" s="763"/>
      <c r="D271" s="764"/>
      <c r="E271" s="765"/>
      <c r="F271" s="778"/>
      <c r="G271" s="763"/>
      <c r="H271" s="763"/>
      <c r="I271" s="763"/>
      <c r="J271" s="779"/>
      <c r="K271" s="779"/>
      <c r="L271" s="766"/>
      <c r="M271" s="766"/>
      <c r="N271" s="767"/>
      <c r="O271" s="768"/>
      <c r="P271" s="769"/>
      <c r="Q271" s="770"/>
      <c r="R271" s="768"/>
      <c r="S271" s="768"/>
      <c r="T271" s="774"/>
      <c r="U271" s="774"/>
      <c r="V271" s="774"/>
      <c r="W271" s="775"/>
      <c r="X271" s="771"/>
      <c r="Y271" s="772"/>
    </row>
    <row r="272" spans="1:25">
      <c r="A272" s="762"/>
      <c r="B272" s="762"/>
      <c r="C272" s="763"/>
      <c r="D272" s="764"/>
      <c r="E272" s="765"/>
      <c r="F272" s="778"/>
      <c r="G272" s="763"/>
      <c r="H272" s="763"/>
      <c r="I272" s="763"/>
      <c r="J272" s="779"/>
      <c r="K272" s="779"/>
      <c r="L272" s="766"/>
      <c r="M272" s="766"/>
      <c r="N272" s="767"/>
      <c r="O272" s="768"/>
      <c r="P272" s="769"/>
      <c r="Q272" s="770"/>
      <c r="R272" s="768"/>
      <c r="S272" s="768"/>
      <c r="T272" s="774"/>
      <c r="U272" s="774"/>
      <c r="V272" s="774"/>
      <c r="W272" s="775"/>
      <c r="X272" s="771"/>
      <c r="Y272" s="772"/>
    </row>
    <row r="273" spans="1:25">
      <c r="A273" s="762"/>
      <c r="B273" s="762"/>
      <c r="C273" s="763"/>
      <c r="D273" s="764"/>
      <c r="E273" s="765"/>
      <c r="F273" s="778"/>
      <c r="G273" s="763"/>
      <c r="H273" s="763"/>
      <c r="I273" s="763"/>
      <c r="J273" s="779"/>
      <c r="K273" s="779"/>
      <c r="L273" s="766"/>
      <c r="M273" s="766"/>
      <c r="N273" s="767"/>
      <c r="O273" s="768"/>
      <c r="P273" s="769"/>
      <c r="Q273" s="770"/>
      <c r="R273" s="768"/>
      <c r="S273" s="768"/>
      <c r="T273" s="774"/>
      <c r="U273" s="774"/>
      <c r="V273" s="774"/>
      <c r="W273" s="775"/>
      <c r="X273" s="771"/>
      <c r="Y273" s="772"/>
    </row>
  </sheetData>
  <mergeCells count="22">
    <mergeCell ref="W3:W5"/>
    <mergeCell ref="R3:R5"/>
    <mergeCell ref="S3:S5"/>
    <mergeCell ref="T3:T5"/>
    <mergeCell ref="U3:U5"/>
    <mergeCell ref="V3:V5"/>
    <mergeCell ref="A2:B5"/>
    <mergeCell ref="C2:E2"/>
    <mergeCell ref="F2:X2"/>
    <mergeCell ref="Y2:Y6"/>
    <mergeCell ref="C3:C5"/>
    <mergeCell ref="D3:D5"/>
    <mergeCell ref="E3:E5"/>
    <mergeCell ref="F3:F5"/>
    <mergeCell ref="G3:G5"/>
    <mergeCell ref="H3:I4"/>
    <mergeCell ref="X3:X5"/>
    <mergeCell ref="J3:K4"/>
    <mergeCell ref="L3:M4"/>
    <mergeCell ref="N3:O4"/>
    <mergeCell ref="P3:P5"/>
    <mergeCell ref="Q3:Q5"/>
  </mergeCells>
  <phoneticPr fontId="13" type="noConversion"/>
  <conditionalFormatting sqref="W27:W267">
    <cfRule type="cellIs" dxfId="13" priority="12" stopIfTrue="1" operator="lessThan">
      <formula>0.3</formula>
    </cfRule>
  </conditionalFormatting>
  <conditionalFormatting sqref="W22">
    <cfRule type="cellIs" dxfId="12" priority="11" stopIfTrue="1" operator="lessThan">
      <formula>0.3</formula>
    </cfRule>
  </conditionalFormatting>
  <conditionalFormatting sqref="W23:W25">
    <cfRule type="cellIs" dxfId="11" priority="10" stopIfTrue="1" operator="lessThan">
      <formula>0.3</formula>
    </cfRule>
  </conditionalFormatting>
  <conditionalFormatting sqref="W26">
    <cfRule type="cellIs" dxfId="10" priority="9" stopIfTrue="1" operator="lessThan">
      <formula>0.3</formula>
    </cfRule>
  </conditionalFormatting>
  <conditionalFormatting sqref="W9">
    <cfRule type="cellIs" dxfId="9" priority="5" stopIfTrue="1" operator="lessThan">
      <formula>0.3</formula>
    </cfRule>
  </conditionalFormatting>
  <conditionalFormatting sqref="W16">
    <cfRule type="cellIs" dxfId="8" priority="3" stopIfTrue="1" operator="lessThan">
      <formula>0.3</formula>
    </cfRule>
  </conditionalFormatting>
  <conditionalFormatting sqref="W17">
    <cfRule type="cellIs" dxfId="7" priority="8" stopIfTrue="1" operator="lessThan">
      <formula>0.3</formula>
    </cfRule>
  </conditionalFormatting>
  <conditionalFormatting sqref="W18:W20">
    <cfRule type="cellIs" dxfId="6" priority="7" stopIfTrue="1" operator="lessThan">
      <formula>0.3</formula>
    </cfRule>
  </conditionalFormatting>
  <conditionalFormatting sqref="W21">
    <cfRule type="cellIs" dxfId="5" priority="6" stopIfTrue="1" operator="lessThan">
      <formula>0.3</formula>
    </cfRule>
  </conditionalFormatting>
  <conditionalFormatting sqref="W10:W15">
    <cfRule type="cellIs" dxfId="4" priority="4" stopIfTrue="1" operator="lessThan">
      <formula>0.3</formula>
    </cfRule>
  </conditionalFormatting>
  <conditionalFormatting sqref="W7:W8">
    <cfRule type="cellIs" dxfId="3" priority="14" stopIfTrue="1" operator="lessThan">
      <formula>0.3</formula>
    </cfRule>
  </conditionalFormatting>
  <conditionalFormatting sqref="L7:M267">
    <cfRule type="cellIs" dxfId="2" priority="13" stopIfTrue="1" operator="lessThan">
      <formula>1</formula>
    </cfRule>
  </conditionalFormatting>
  <conditionalFormatting sqref="W268:W273">
    <cfRule type="cellIs" dxfId="1" priority="2" stopIfTrue="1" operator="lessThan">
      <formula>0.3</formula>
    </cfRule>
  </conditionalFormatting>
  <conditionalFormatting sqref="L268:M273">
    <cfRule type="cellIs" dxfId="0" priority="1" stopIfTrue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0"/>
  <dimension ref="A1:R241"/>
  <sheetViews>
    <sheetView topLeftCell="A66" workbookViewId="0">
      <selection activeCell="L74" sqref="L74"/>
    </sheetView>
  </sheetViews>
  <sheetFormatPr defaultRowHeight="13.5"/>
  <sheetData>
    <row r="1" spans="1:18" ht="16.5">
      <c r="A1" s="2094" t="s">
        <v>495</v>
      </c>
      <c r="B1" s="2094" t="s">
        <v>798</v>
      </c>
      <c r="C1" s="2094"/>
      <c r="D1" s="2094" t="s">
        <v>1490</v>
      </c>
      <c r="E1" s="2094"/>
      <c r="F1" s="2094"/>
      <c r="G1" s="2093"/>
      <c r="H1" s="2093"/>
      <c r="I1" s="2093"/>
      <c r="J1" s="2093"/>
      <c r="K1" s="2093"/>
      <c r="L1" s="2093"/>
      <c r="M1" s="2093"/>
      <c r="N1" s="2093"/>
      <c r="O1" s="2093"/>
      <c r="P1" s="2093"/>
      <c r="Q1" s="2093"/>
      <c r="R1" s="2093"/>
    </row>
    <row r="2" spans="1:18" ht="16.5">
      <c r="A2" s="2094"/>
      <c r="B2" s="1265" t="s">
        <v>661</v>
      </c>
      <c r="C2" s="1265" t="s">
        <v>662</v>
      </c>
      <c r="D2" s="1265" t="s">
        <v>797</v>
      </c>
      <c r="E2" s="1265" t="s">
        <v>663</v>
      </c>
      <c r="F2" s="1265" t="s">
        <v>664</v>
      </c>
      <c r="G2" s="1246"/>
      <c r="H2" s="1246"/>
      <c r="I2" s="1246"/>
      <c r="J2" s="1246"/>
      <c r="K2" s="1246"/>
      <c r="L2" s="1246"/>
      <c r="M2" s="1246"/>
      <c r="N2" s="1246"/>
      <c r="O2" s="1246"/>
      <c r="P2" s="1246"/>
      <c r="Q2" s="1246"/>
      <c r="R2" s="1246"/>
    </row>
    <row r="3" spans="1:18" ht="16.5">
      <c r="A3" s="1264" t="s">
        <v>1231</v>
      </c>
      <c r="B3" s="1264">
        <v>1</v>
      </c>
      <c r="C3" s="1264"/>
      <c r="D3" s="1264"/>
      <c r="E3" s="1264">
        <v>1</v>
      </c>
      <c r="F3" s="1264"/>
      <c r="G3" s="1245"/>
      <c r="H3" s="1245"/>
      <c r="I3" s="1245"/>
      <c r="J3" s="1245"/>
      <c r="K3" s="1245"/>
      <c r="L3" s="1245"/>
      <c r="M3" s="1245"/>
      <c r="N3" s="1245"/>
      <c r="O3" s="1245"/>
      <c r="P3" s="1245"/>
      <c r="Q3" s="1245"/>
      <c r="R3" s="1245"/>
    </row>
    <row r="4" spans="1:18" ht="16.5">
      <c r="A4" s="1264" t="s">
        <v>1232</v>
      </c>
      <c r="B4" s="1264">
        <v>2</v>
      </c>
      <c r="C4" s="1264"/>
      <c r="D4" s="1264"/>
      <c r="E4" s="1264">
        <v>2</v>
      </c>
      <c r="F4" s="1264"/>
      <c r="G4" s="1245"/>
      <c r="H4" s="1245"/>
      <c r="I4" s="1245"/>
      <c r="J4" s="1245"/>
      <c r="K4" s="1245"/>
      <c r="L4" s="1245"/>
      <c r="M4" s="1245"/>
      <c r="N4" s="1245"/>
      <c r="O4" s="1245"/>
      <c r="P4" s="1245"/>
      <c r="Q4" s="1245"/>
      <c r="R4" s="1245"/>
    </row>
    <row r="5" spans="1:18" ht="16.5">
      <c r="A5" s="1264" t="s">
        <v>1400</v>
      </c>
      <c r="B5" s="1264"/>
      <c r="C5" s="1264">
        <v>2</v>
      </c>
      <c r="D5" s="1264"/>
      <c r="E5" s="1264">
        <v>2</v>
      </c>
      <c r="F5" s="1264"/>
      <c r="G5" s="1245"/>
      <c r="H5" s="1245"/>
      <c r="I5" s="1245"/>
      <c r="J5" s="1245"/>
      <c r="K5" s="1245"/>
      <c r="L5" s="1245"/>
      <c r="M5" s="1245"/>
      <c r="N5" s="1245"/>
      <c r="O5" s="1245"/>
      <c r="P5" s="1245"/>
      <c r="Q5" s="1245"/>
      <c r="R5" s="1245"/>
    </row>
    <row r="6" spans="1:18" ht="16.5">
      <c r="A6" s="1264" t="s">
        <v>1331</v>
      </c>
      <c r="B6" s="1264"/>
      <c r="C6" s="1264">
        <v>2</v>
      </c>
      <c r="D6" s="1264"/>
      <c r="E6" s="1264">
        <v>2</v>
      </c>
      <c r="F6" s="1264"/>
      <c r="G6" s="1245"/>
      <c r="H6" s="1245"/>
      <c r="I6" s="1245"/>
      <c r="J6" s="1245"/>
      <c r="K6" s="1245"/>
      <c r="L6" s="1245"/>
      <c r="M6" s="1245"/>
      <c r="N6" s="1245"/>
      <c r="O6" s="1245"/>
      <c r="P6" s="1245"/>
      <c r="Q6" s="1245"/>
      <c r="R6" s="1245"/>
    </row>
    <row r="7" spans="1:18" ht="16.5">
      <c r="A7" s="1264" t="s">
        <v>1236</v>
      </c>
      <c r="B7" s="1264">
        <v>2</v>
      </c>
      <c r="C7" s="1264"/>
      <c r="D7" s="1264"/>
      <c r="E7" s="1264">
        <v>2</v>
      </c>
      <c r="F7" s="1264"/>
      <c r="G7" s="1245"/>
      <c r="H7" s="1245"/>
      <c r="I7" s="1245"/>
      <c r="J7" s="1245"/>
      <c r="K7" s="1245"/>
      <c r="L7" s="1245"/>
      <c r="M7" s="1245"/>
      <c r="N7" s="1245"/>
      <c r="O7" s="1245"/>
      <c r="P7" s="1245"/>
      <c r="Q7" s="1245"/>
      <c r="R7" s="1245"/>
    </row>
    <row r="8" spans="1:18" ht="16.5">
      <c r="A8" s="1264" t="s">
        <v>1237</v>
      </c>
      <c r="B8" s="1264">
        <v>2</v>
      </c>
      <c r="C8" s="1264"/>
      <c r="D8" s="1264"/>
      <c r="E8" s="1264">
        <v>2</v>
      </c>
      <c r="F8" s="1264"/>
      <c r="G8" s="1245"/>
      <c r="H8" s="1245"/>
      <c r="I8" s="1245"/>
      <c r="J8" s="1245"/>
      <c r="K8" s="1245"/>
      <c r="L8" s="1245"/>
      <c r="M8" s="1245"/>
      <c r="N8" s="1245"/>
      <c r="O8" s="1245"/>
      <c r="P8" s="1245"/>
      <c r="Q8" s="1245"/>
      <c r="R8" s="1245"/>
    </row>
    <row r="9" spans="1:18" ht="16.5">
      <c r="A9" s="1264" t="s">
        <v>1238</v>
      </c>
      <c r="B9" s="1264">
        <v>2</v>
      </c>
      <c r="C9" s="1264"/>
      <c r="D9" s="1264"/>
      <c r="E9" s="1264">
        <v>2</v>
      </c>
      <c r="F9" s="1264"/>
      <c r="G9" s="1245"/>
      <c r="H9" s="1245"/>
      <c r="I9" s="1245"/>
      <c r="J9" s="1245"/>
      <c r="K9" s="1245"/>
      <c r="L9" s="1245"/>
      <c r="M9" s="1245"/>
      <c r="N9" s="1245"/>
      <c r="O9" s="1245"/>
      <c r="P9" s="1245"/>
      <c r="Q9" s="1245"/>
      <c r="R9" s="1245"/>
    </row>
    <row r="10" spans="1:18" ht="16.5">
      <c r="A10" s="1264" t="s">
        <v>1239</v>
      </c>
      <c r="B10" s="1264">
        <v>2</v>
      </c>
      <c r="C10" s="1264"/>
      <c r="D10" s="1264"/>
      <c r="E10" s="1264">
        <v>2</v>
      </c>
      <c r="F10" s="1264"/>
      <c r="G10" s="1245"/>
      <c r="H10" s="1245"/>
      <c r="I10" s="1245"/>
      <c r="J10" s="1245"/>
      <c r="K10" s="1245"/>
      <c r="L10" s="1245"/>
      <c r="M10" s="1245"/>
      <c r="N10" s="1245"/>
      <c r="O10" s="1245"/>
      <c r="P10" s="1245"/>
      <c r="Q10" s="1245"/>
      <c r="R10" s="1245"/>
    </row>
    <row r="11" spans="1:18" ht="16.5">
      <c r="A11" s="1264" t="s">
        <v>1240</v>
      </c>
      <c r="B11" s="1264">
        <v>2</v>
      </c>
      <c r="C11" s="1264"/>
      <c r="D11" s="1264"/>
      <c r="E11" s="1264">
        <v>2</v>
      </c>
      <c r="F11" s="1264"/>
      <c r="G11" s="1245"/>
      <c r="H11" s="1245"/>
      <c r="I11" s="1245"/>
      <c r="J11" s="1245"/>
      <c r="K11" s="1245"/>
      <c r="L11" s="1245"/>
      <c r="M11" s="1245"/>
      <c r="N11" s="1245"/>
      <c r="O11" s="1245"/>
      <c r="P11" s="1245"/>
      <c r="Q11" s="1245"/>
      <c r="R11" s="1245"/>
    </row>
    <row r="12" spans="1:18" ht="16.5">
      <c r="A12" s="1264" t="s">
        <v>1242</v>
      </c>
      <c r="B12" s="1264">
        <v>2</v>
      </c>
      <c r="C12" s="1264"/>
      <c r="D12" s="1264"/>
      <c r="E12" s="1264">
        <v>2</v>
      </c>
      <c r="F12" s="1264"/>
      <c r="G12" s="1245"/>
      <c r="H12" s="1245"/>
      <c r="I12" s="1245"/>
      <c r="J12" s="1245"/>
      <c r="K12" s="1245"/>
      <c r="L12" s="1245"/>
      <c r="M12" s="1245"/>
      <c r="N12" s="1245"/>
      <c r="O12" s="1245"/>
      <c r="P12" s="1245"/>
      <c r="Q12" s="1245"/>
      <c r="R12" s="1245"/>
    </row>
    <row r="13" spans="1:18" ht="16.5">
      <c r="A13" s="1264" t="s">
        <v>1243</v>
      </c>
      <c r="B13" s="1264">
        <v>2</v>
      </c>
      <c r="C13" s="1264"/>
      <c r="D13" s="1264"/>
      <c r="E13" s="1264">
        <v>2</v>
      </c>
      <c r="F13" s="1264"/>
      <c r="G13" s="1245"/>
      <c r="H13" s="1245"/>
      <c r="I13" s="1245"/>
      <c r="J13" s="1245"/>
      <c r="K13" s="1245"/>
      <c r="L13" s="1245"/>
      <c r="M13" s="1245"/>
      <c r="N13" s="1245"/>
      <c r="O13" s="1245"/>
      <c r="P13" s="1245"/>
      <c r="Q13" s="1245"/>
      <c r="R13" s="1245"/>
    </row>
    <row r="14" spans="1:18" ht="16.5">
      <c r="A14" s="1264" t="s">
        <v>1244</v>
      </c>
      <c r="B14" s="1264">
        <v>2</v>
      </c>
      <c r="C14" s="1264"/>
      <c r="D14" s="1264"/>
      <c r="E14" s="1264">
        <v>2</v>
      </c>
      <c r="F14" s="1264"/>
      <c r="G14" s="1245"/>
      <c r="H14" s="1245"/>
      <c r="I14" s="1245"/>
      <c r="J14" s="1245"/>
      <c r="K14" s="1245"/>
      <c r="L14" s="1245"/>
      <c r="M14" s="1245"/>
      <c r="N14" s="1245"/>
      <c r="O14" s="1245"/>
      <c r="P14" s="1245"/>
      <c r="Q14" s="1245"/>
      <c r="R14" s="1245"/>
    </row>
    <row r="15" spans="1:18" ht="16.5">
      <c r="A15" s="1264" t="s">
        <v>1245</v>
      </c>
      <c r="B15" s="1264">
        <v>2</v>
      </c>
      <c r="C15" s="1264"/>
      <c r="D15" s="1264"/>
      <c r="E15" s="1264">
        <v>2</v>
      </c>
      <c r="F15" s="1264"/>
      <c r="G15" s="1245"/>
      <c r="H15" s="1245"/>
      <c r="I15" s="1245"/>
      <c r="J15" s="1245"/>
      <c r="K15" s="1245"/>
      <c r="L15" s="1245"/>
      <c r="M15" s="1245"/>
      <c r="N15" s="1245"/>
      <c r="O15" s="1245"/>
      <c r="P15" s="1245"/>
      <c r="Q15" s="1245"/>
      <c r="R15" s="1245"/>
    </row>
    <row r="16" spans="1:18" ht="16.5">
      <c r="A16" s="1264" t="s">
        <v>1246</v>
      </c>
      <c r="B16" s="1264">
        <v>2</v>
      </c>
      <c r="C16" s="1264"/>
      <c r="D16" s="1264"/>
      <c r="E16" s="1264">
        <v>2</v>
      </c>
      <c r="F16" s="1245"/>
      <c r="G16" s="1245"/>
      <c r="H16" s="1245"/>
    </row>
    <row r="17" spans="1:8" ht="16.5">
      <c r="A17" s="1264" t="s">
        <v>1247</v>
      </c>
      <c r="B17" s="1264">
        <v>2</v>
      </c>
      <c r="C17" s="1264"/>
      <c r="D17" s="1264"/>
      <c r="E17" s="1264">
        <v>2</v>
      </c>
      <c r="F17" s="1245"/>
      <c r="G17" s="1245"/>
      <c r="H17" s="1245"/>
    </row>
    <row r="18" spans="1:8" ht="16.5">
      <c r="A18" s="1264" t="s">
        <v>1226</v>
      </c>
      <c r="B18" s="1264"/>
      <c r="C18" s="1264">
        <v>2</v>
      </c>
      <c r="D18" s="1264"/>
      <c r="E18" s="1264">
        <v>2</v>
      </c>
      <c r="F18" s="1245"/>
      <c r="G18" s="1245"/>
      <c r="H18" s="1245"/>
    </row>
    <row r="19" spans="1:8" ht="16.5">
      <c r="A19" s="1264" t="s">
        <v>1248</v>
      </c>
      <c r="B19" s="1264">
        <v>2</v>
      </c>
      <c r="C19" s="1264"/>
      <c r="D19" s="1264"/>
      <c r="E19" s="1264">
        <v>2</v>
      </c>
      <c r="F19" s="1245"/>
      <c r="G19" s="1245"/>
      <c r="H19" s="1245"/>
    </row>
    <row r="20" spans="1:8" ht="16.5">
      <c r="A20" s="1264" t="s">
        <v>1249</v>
      </c>
      <c r="B20" s="1264">
        <v>2</v>
      </c>
      <c r="C20" s="1264"/>
      <c r="D20" s="1264"/>
      <c r="E20" s="1264">
        <v>2</v>
      </c>
      <c r="F20" s="1245"/>
      <c r="G20" s="1245"/>
      <c r="H20" s="1245"/>
    </row>
    <row r="21" spans="1:8" ht="16.5">
      <c r="A21" s="1264" t="s">
        <v>1250</v>
      </c>
      <c r="B21" s="1264">
        <v>2</v>
      </c>
      <c r="C21" s="1264"/>
      <c r="D21" s="1264"/>
      <c r="E21" s="1264">
        <v>2</v>
      </c>
      <c r="F21" s="1245"/>
      <c r="G21" s="1245"/>
      <c r="H21" s="1245"/>
    </row>
    <row r="22" spans="1:8" ht="16.5">
      <c r="A22" s="1281" t="s">
        <v>1531</v>
      </c>
      <c r="B22" s="1264">
        <v>3</v>
      </c>
      <c r="C22" s="1264"/>
      <c r="D22" s="1264"/>
      <c r="E22" s="1264">
        <v>3</v>
      </c>
      <c r="F22" s="1245"/>
      <c r="G22" s="1245"/>
      <c r="H22" s="1245"/>
    </row>
    <row r="23" spans="1:8" ht="16.5">
      <c r="A23" s="1264" t="s">
        <v>1251</v>
      </c>
      <c r="B23" s="1264">
        <v>2</v>
      </c>
      <c r="C23" s="1264"/>
      <c r="D23" s="1264"/>
      <c r="E23" s="1264">
        <v>2</v>
      </c>
      <c r="F23" s="1245"/>
      <c r="G23" s="1245"/>
      <c r="H23" s="1245"/>
    </row>
    <row r="24" spans="1:8" ht="16.5">
      <c r="A24" s="1264" t="s">
        <v>1252</v>
      </c>
      <c r="B24" s="1264">
        <v>2</v>
      </c>
      <c r="C24" s="1264"/>
      <c r="D24" s="1264"/>
      <c r="E24" s="1264">
        <v>2</v>
      </c>
      <c r="F24" s="1245"/>
      <c r="G24" s="1245"/>
      <c r="H24" s="1245"/>
    </row>
    <row r="25" spans="1:8" ht="16.5">
      <c r="A25" s="1281" t="s">
        <v>1530</v>
      </c>
      <c r="B25" s="1264">
        <v>3</v>
      </c>
      <c r="C25" s="1264"/>
      <c r="D25" s="1264"/>
      <c r="E25" s="1264">
        <v>3</v>
      </c>
      <c r="F25" s="1245"/>
      <c r="G25" s="1245"/>
      <c r="H25" s="1245"/>
    </row>
    <row r="26" spans="1:8" ht="16.5">
      <c r="A26" s="1264" t="s">
        <v>1253</v>
      </c>
      <c r="B26" s="1264">
        <v>2</v>
      </c>
      <c r="C26" s="1264"/>
      <c r="D26" s="1264"/>
      <c r="E26" s="1264">
        <v>2</v>
      </c>
      <c r="F26" s="1245"/>
      <c r="G26" s="1245"/>
      <c r="H26" s="1245"/>
    </row>
    <row r="27" spans="1:8" ht="16.5">
      <c r="A27" s="1264" t="s">
        <v>1254</v>
      </c>
      <c r="B27" s="1264">
        <v>2</v>
      </c>
      <c r="C27" s="1264"/>
      <c r="D27" s="1264"/>
      <c r="E27" s="1264">
        <v>2</v>
      </c>
      <c r="F27" s="1245"/>
      <c r="G27" s="1245"/>
      <c r="H27" s="1245"/>
    </row>
    <row r="28" spans="1:8" ht="16.5">
      <c r="A28" s="1264" t="s">
        <v>1255</v>
      </c>
      <c r="B28" s="1264">
        <v>2</v>
      </c>
      <c r="C28" s="1264"/>
      <c r="D28" s="1264"/>
      <c r="E28" s="1264">
        <v>2</v>
      </c>
      <c r="F28" s="1245"/>
      <c r="G28" s="1245"/>
      <c r="H28" s="1245"/>
    </row>
    <row r="29" spans="1:8" ht="16.5">
      <c r="A29" s="1281" t="s">
        <v>1529</v>
      </c>
      <c r="B29" s="1264">
        <v>3</v>
      </c>
      <c r="C29" s="1264"/>
      <c r="D29" s="1264"/>
      <c r="E29" s="1264">
        <v>3</v>
      </c>
      <c r="F29" s="1245"/>
      <c r="G29" s="1245"/>
      <c r="H29" s="1245"/>
    </row>
    <row r="30" spans="1:8" ht="16.5">
      <c r="A30" s="1264" t="s">
        <v>1256</v>
      </c>
      <c r="B30" s="1264">
        <v>1</v>
      </c>
      <c r="C30" s="1264"/>
      <c r="D30" s="1264"/>
      <c r="E30" s="1264">
        <v>1</v>
      </c>
      <c r="F30" s="1245"/>
      <c r="G30" s="1245"/>
      <c r="H30" s="1245"/>
    </row>
    <row r="31" spans="1:8" ht="16.5">
      <c r="A31" s="1281" t="s">
        <v>1534</v>
      </c>
      <c r="B31" s="1264">
        <v>3</v>
      </c>
      <c r="C31" s="1264"/>
      <c r="D31" s="1264">
        <v>1</v>
      </c>
      <c r="E31" s="1264">
        <v>2</v>
      </c>
      <c r="F31" s="1245"/>
      <c r="G31" s="1245"/>
      <c r="H31" s="1245"/>
    </row>
    <row r="32" spans="1:8" ht="16.5">
      <c r="A32" s="1281" t="s">
        <v>1532</v>
      </c>
      <c r="B32" s="1264">
        <v>3</v>
      </c>
      <c r="C32" s="1264"/>
      <c r="D32" s="1264"/>
      <c r="E32" s="1264">
        <v>3</v>
      </c>
      <c r="F32" s="1245"/>
      <c r="G32" s="1245"/>
      <c r="H32" s="1245"/>
    </row>
    <row r="33" spans="1:8" ht="16.5">
      <c r="A33" s="1281" t="s">
        <v>1533</v>
      </c>
      <c r="B33" s="1264">
        <v>3</v>
      </c>
      <c r="C33" s="1264"/>
      <c r="D33" s="1264"/>
      <c r="E33" s="1264">
        <v>3</v>
      </c>
      <c r="F33" s="1245"/>
      <c r="G33" s="1245"/>
      <c r="H33" s="1245"/>
    </row>
    <row r="34" spans="1:8" ht="16.5">
      <c r="A34" s="1264" t="s">
        <v>1495</v>
      </c>
      <c r="B34" s="1264">
        <v>4</v>
      </c>
      <c r="C34" s="1264"/>
      <c r="D34" s="1264"/>
      <c r="E34" s="1264">
        <v>4</v>
      </c>
      <c r="F34" s="1245"/>
      <c r="G34" s="1245"/>
      <c r="H34" s="1245"/>
    </row>
    <row r="35" spans="1:8" ht="16.5">
      <c r="A35" s="1264" t="s">
        <v>1384</v>
      </c>
      <c r="B35" s="1264"/>
      <c r="C35" s="1264">
        <v>1</v>
      </c>
      <c r="D35" s="1264"/>
      <c r="E35" s="1264">
        <v>1</v>
      </c>
      <c r="F35" s="1245"/>
      <c r="G35" s="1245"/>
      <c r="H35" s="1245"/>
    </row>
    <row r="36" spans="1:8" ht="16.5">
      <c r="A36" s="1264" t="s">
        <v>1235</v>
      </c>
      <c r="B36" s="1264">
        <v>2</v>
      </c>
      <c r="C36" s="1264"/>
      <c r="D36" s="1264"/>
      <c r="E36" s="1264">
        <v>2</v>
      </c>
      <c r="F36" s="1245"/>
      <c r="G36" s="1245"/>
      <c r="H36" s="1245"/>
    </row>
    <row r="37" spans="1:8" ht="16.5">
      <c r="A37" s="1264" t="s">
        <v>1241</v>
      </c>
      <c r="B37" s="1264">
        <v>2</v>
      </c>
      <c r="C37" s="1264"/>
      <c r="D37" s="1264"/>
      <c r="E37" s="1264">
        <v>2</v>
      </c>
      <c r="F37" s="1245"/>
      <c r="G37" s="1245"/>
      <c r="H37" s="1245"/>
    </row>
    <row r="38" spans="1:8" ht="16.5">
      <c r="A38" s="1264" t="s">
        <v>1492</v>
      </c>
      <c r="B38" s="1264">
        <v>1</v>
      </c>
      <c r="C38" s="1264"/>
      <c r="D38" s="1264">
        <v>1</v>
      </c>
      <c r="E38" s="1264"/>
      <c r="F38" s="1245"/>
      <c r="G38" s="1245"/>
      <c r="H38" s="1245"/>
    </row>
    <row r="39" spans="1:8" ht="16.5">
      <c r="A39" s="1281" t="s">
        <v>1500</v>
      </c>
      <c r="B39" s="1264">
        <v>2</v>
      </c>
      <c r="C39" s="1264"/>
      <c r="D39" s="1264">
        <v>2</v>
      </c>
      <c r="E39" s="1264"/>
      <c r="F39" s="1245"/>
      <c r="G39" s="1245"/>
      <c r="H39" s="1245"/>
    </row>
    <row r="40" spans="1:8" ht="16.5">
      <c r="A40" s="1264" t="s">
        <v>1440</v>
      </c>
      <c r="B40" s="1264"/>
      <c r="C40" s="1264">
        <v>1</v>
      </c>
      <c r="D40" s="1264">
        <v>1</v>
      </c>
      <c r="E40" s="1264"/>
      <c r="F40" s="1245"/>
      <c r="G40" s="1245"/>
      <c r="H40" s="1245"/>
    </row>
    <row r="41" spans="1:8" ht="16.5">
      <c r="A41" s="1281" t="s">
        <v>1504</v>
      </c>
      <c r="B41" s="1264"/>
      <c r="C41" s="1264">
        <v>2</v>
      </c>
      <c r="D41" s="1264">
        <v>2</v>
      </c>
      <c r="E41" s="1264"/>
      <c r="F41" s="1245"/>
      <c r="G41" s="1245"/>
      <c r="H41" s="1245"/>
    </row>
    <row r="42" spans="1:8" ht="16.5">
      <c r="A42" s="1264" t="s">
        <v>1386</v>
      </c>
      <c r="B42" s="1264"/>
      <c r="C42" s="1264">
        <v>3</v>
      </c>
      <c r="D42" s="1264">
        <v>2</v>
      </c>
      <c r="E42" s="1264">
        <v>1</v>
      </c>
      <c r="F42" s="1245"/>
      <c r="G42" s="1245"/>
      <c r="H42" s="1245"/>
    </row>
    <row r="43" spans="1:8" ht="16.5">
      <c r="A43" s="1264" t="s">
        <v>1442</v>
      </c>
      <c r="B43" s="1264"/>
      <c r="C43" s="1264">
        <v>3</v>
      </c>
      <c r="D43" s="1264">
        <v>3</v>
      </c>
      <c r="E43" s="1264"/>
      <c r="F43" s="1245"/>
      <c r="G43" s="1245"/>
      <c r="H43" s="1245"/>
    </row>
    <row r="44" spans="1:8" ht="16.5">
      <c r="A44" s="1264" t="s">
        <v>1445</v>
      </c>
      <c r="B44" s="1264"/>
      <c r="C44" s="1264">
        <v>2</v>
      </c>
      <c r="D44" s="1264">
        <v>2</v>
      </c>
      <c r="E44" s="1264"/>
      <c r="F44" s="1245"/>
      <c r="G44" s="1245"/>
      <c r="H44" s="1245"/>
    </row>
    <row r="45" spans="1:8" ht="16.5">
      <c r="A45" s="1264" t="s">
        <v>1446</v>
      </c>
      <c r="B45" s="1264"/>
      <c r="C45" s="1264">
        <v>2</v>
      </c>
      <c r="D45" s="1264">
        <v>2</v>
      </c>
      <c r="E45" s="1264"/>
      <c r="F45" s="1245"/>
      <c r="G45" s="1245"/>
      <c r="H45" s="1245"/>
    </row>
    <row r="46" spans="1:8" ht="16.5">
      <c r="A46" s="1264" t="s">
        <v>1449</v>
      </c>
      <c r="B46" s="1264"/>
      <c r="C46" s="1264">
        <v>3</v>
      </c>
      <c r="D46" s="1264">
        <v>3</v>
      </c>
      <c r="E46" s="1264"/>
      <c r="F46" s="1245"/>
      <c r="G46" s="1245"/>
      <c r="H46" s="1245"/>
    </row>
    <row r="47" spans="1:8" ht="16.5">
      <c r="A47" s="1264" t="s">
        <v>1406</v>
      </c>
      <c r="B47" s="1264"/>
      <c r="C47" s="1264">
        <v>3</v>
      </c>
      <c r="D47" s="1264">
        <v>3</v>
      </c>
      <c r="E47" s="1264"/>
      <c r="F47" s="1245"/>
      <c r="G47" s="1245"/>
      <c r="H47" s="1245"/>
    </row>
    <row r="48" spans="1:8" ht="16.5">
      <c r="A48" s="1264" t="s">
        <v>1443</v>
      </c>
      <c r="B48" s="1264"/>
      <c r="C48" s="1264">
        <v>2</v>
      </c>
      <c r="D48" s="1264">
        <v>2</v>
      </c>
      <c r="E48" s="1264"/>
      <c r="F48" s="1245"/>
      <c r="G48" s="1245"/>
      <c r="H48" s="1245"/>
    </row>
    <row r="49" spans="1:8" ht="16.5">
      <c r="A49" s="1264" t="s">
        <v>1444</v>
      </c>
      <c r="B49" s="1264"/>
      <c r="C49" s="1264">
        <v>2</v>
      </c>
      <c r="D49" s="1264">
        <v>2</v>
      </c>
      <c r="E49" s="1264"/>
      <c r="F49" s="1245"/>
      <c r="G49" s="1245"/>
      <c r="H49" s="1245"/>
    </row>
    <row r="50" spans="1:8" ht="16.5">
      <c r="A50" s="1264" t="s">
        <v>1402</v>
      </c>
      <c r="B50" s="1264"/>
      <c r="C50" s="1264">
        <v>2</v>
      </c>
      <c r="D50" s="1264">
        <v>1</v>
      </c>
      <c r="E50" s="1264">
        <v>1</v>
      </c>
      <c r="F50" s="1245"/>
      <c r="G50" s="1245"/>
      <c r="H50" s="1245"/>
    </row>
    <row r="51" spans="1:8" ht="16.5">
      <c r="A51" s="1264" t="s">
        <v>1403</v>
      </c>
      <c r="B51" s="1264"/>
      <c r="C51" s="1264">
        <v>2</v>
      </c>
      <c r="D51" s="1264"/>
      <c r="E51" s="1264">
        <v>2</v>
      </c>
      <c r="F51" s="1245"/>
      <c r="G51" s="1245"/>
      <c r="H51" s="1245"/>
    </row>
    <row r="52" spans="1:8" ht="16.5">
      <c r="A52" s="1264" t="s">
        <v>1399</v>
      </c>
      <c r="B52" s="1264"/>
      <c r="C52" s="1264">
        <v>2</v>
      </c>
      <c r="D52" s="1264"/>
      <c r="E52" s="1264">
        <v>2</v>
      </c>
      <c r="F52" s="1245"/>
      <c r="G52" s="1245"/>
      <c r="H52" s="1245"/>
    </row>
    <row r="53" spans="1:8" ht="16.5">
      <c r="A53" s="1264" t="s">
        <v>1404</v>
      </c>
      <c r="B53" s="1264"/>
      <c r="C53" s="1264">
        <v>2</v>
      </c>
      <c r="D53" s="1264"/>
      <c r="E53" s="1264">
        <v>2</v>
      </c>
      <c r="F53" s="1245"/>
      <c r="G53" s="1245"/>
      <c r="H53" s="1245"/>
    </row>
    <row r="54" spans="1:8" ht="16.5">
      <c r="A54" s="1264" t="s">
        <v>1413</v>
      </c>
      <c r="B54" s="1264">
        <v>1</v>
      </c>
      <c r="C54" s="1264"/>
      <c r="D54" s="1264">
        <v>1</v>
      </c>
      <c r="E54" s="1264"/>
      <c r="F54" s="1245"/>
      <c r="G54" s="1245"/>
      <c r="H54" s="1245"/>
    </row>
    <row r="55" spans="1:8" ht="16.5">
      <c r="A55" s="1264" t="s">
        <v>1414</v>
      </c>
      <c r="B55" s="1264">
        <v>2</v>
      </c>
      <c r="C55" s="1264"/>
      <c r="D55" s="1264">
        <v>2</v>
      </c>
      <c r="E55" s="1264"/>
      <c r="F55" s="1245"/>
      <c r="G55" s="1245"/>
      <c r="H55" s="1245"/>
    </row>
    <row r="56" spans="1:8" ht="16.5">
      <c r="A56" s="1264" t="s">
        <v>1491</v>
      </c>
      <c r="B56" s="1264"/>
      <c r="C56" s="1264">
        <v>1</v>
      </c>
      <c r="D56" s="1264">
        <v>1</v>
      </c>
      <c r="E56" s="1264"/>
      <c r="F56" s="1245"/>
      <c r="G56" s="1245"/>
      <c r="H56" s="1245"/>
    </row>
    <row r="57" spans="1:8" ht="16.5">
      <c r="A57" s="1264" t="s">
        <v>1447</v>
      </c>
      <c r="B57" s="1264"/>
      <c r="C57" s="1264">
        <v>2</v>
      </c>
      <c r="D57" s="1264">
        <v>2</v>
      </c>
      <c r="E57" s="1264"/>
      <c r="F57" s="1245"/>
      <c r="G57" s="1245"/>
      <c r="H57" s="1245"/>
    </row>
    <row r="58" spans="1:8" ht="16.5">
      <c r="A58" s="1264" t="s">
        <v>1448</v>
      </c>
      <c r="B58" s="1264"/>
      <c r="C58" s="1264">
        <v>2</v>
      </c>
      <c r="D58" s="1264">
        <v>2</v>
      </c>
      <c r="E58" s="1264"/>
      <c r="F58" s="1245"/>
      <c r="G58" s="1245"/>
      <c r="H58" s="1245"/>
    </row>
    <row r="59" spans="1:8" ht="16.5">
      <c r="A59" s="1264" t="s">
        <v>1309</v>
      </c>
      <c r="B59" s="1264">
        <v>1</v>
      </c>
      <c r="C59" s="1264"/>
      <c r="D59" s="1264">
        <v>1</v>
      </c>
      <c r="E59" s="1264"/>
      <c r="F59" s="1245"/>
      <c r="G59" s="1245"/>
      <c r="H59" s="1245"/>
    </row>
    <row r="60" spans="1:8" ht="16.5">
      <c r="A60" s="1264" t="s">
        <v>1387</v>
      </c>
      <c r="B60" s="1264"/>
      <c r="C60" s="1264">
        <v>1</v>
      </c>
      <c r="D60" s="1264">
        <v>1</v>
      </c>
      <c r="E60" s="1264"/>
      <c r="F60" s="1245"/>
      <c r="G60" s="1245"/>
      <c r="H60" s="1245"/>
    </row>
    <row r="61" spans="1:8" ht="16.5">
      <c r="A61" s="1264" t="s">
        <v>1451</v>
      </c>
      <c r="B61" s="1264"/>
      <c r="C61" s="1264">
        <v>2</v>
      </c>
      <c r="D61" s="1264">
        <v>2</v>
      </c>
      <c r="E61" s="1264"/>
      <c r="F61" s="1245"/>
      <c r="G61" s="1245"/>
      <c r="H61" s="1245"/>
    </row>
    <row r="62" spans="1:8" ht="16.5">
      <c r="A62" s="1264" t="s">
        <v>1452</v>
      </c>
      <c r="B62" s="1264"/>
      <c r="C62" s="1264">
        <v>2</v>
      </c>
      <c r="D62" s="1264">
        <v>2</v>
      </c>
      <c r="E62" s="1264"/>
      <c r="F62" s="1245"/>
      <c r="G62" s="1245"/>
      <c r="H62" s="1245"/>
    </row>
    <row r="63" spans="1:8" ht="16.5">
      <c r="A63" s="1264" t="s">
        <v>1269</v>
      </c>
      <c r="B63" s="1264">
        <v>1</v>
      </c>
      <c r="C63" s="1264"/>
      <c r="D63" s="1264">
        <v>1</v>
      </c>
      <c r="E63" s="1264"/>
      <c r="F63" s="1245"/>
      <c r="G63" s="1245"/>
      <c r="H63" s="1245"/>
    </row>
    <row r="64" spans="1:8" ht="16.5">
      <c r="A64" s="1264" t="s">
        <v>1457</v>
      </c>
      <c r="B64" s="1264"/>
      <c r="C64" s="1264">
        <v>2</v>
      </c>
      <c r="D64" s="1264">
        <v>2</v>
      </c>
      <c r="E64" s="1264"/>
      <c r="F64" s="1245"/>
      <c r="G64" s="1245"/>
      <c r="H64" s="1245"/>
    </row>
    <row r="65" spans="1:8" ht="16.5">
      <c r="A65" s="1264" t="s">
        <v>1453</v>
      </c>
      <c r="B65" s="1264"/>
      <c r="C65" s="1264">
        <v>2</v>
      </c>
      <c r="D65" s="1264">
        <v>2</v>
      </c>
      <c r="E65" s="1264"/>
      <c r="F65" s="1245"/>
      <c r="G65" s="1245"/>
      <c r="H65" s="1245"/>
    </row>
    <row r="66" spans="1:8" ht="16.5">
      <c r="A66" s="1264" t="s">
        <v>1454</v>
      </c>
      <c r="B66" s="1264"/>
      <c r="C66" s="1264">
        <v>2</v>
      </c>
      <c r="D66" s="1264">
        <v>2</v>
      </c>
      <c r="E66" s="1264"/>
      <c r="F66" s="1245"/>
      <c r="G66" s="1245"/>
    </row>
    <row r="67" spans="1:8" ht="16.5">
      <c r="A67" s="1264" t="s">
        <v>1455</v>
      </c>
      <c r="B67" s="1264"/>
      <c r="C67" s="1264">
        <v>2</v>
      </c>
      <c r="D67" s="1264">
        <v>2</v>
      </c>
      <c r="E67" s="1264"/>
      <c r="F67" s="1245"/>
      <c r="G67" s="1245"/>
    </row>
    <row r="68" spans="1:8" ht="16.5">
      <c r="A68" s="1264" t="s">
        <v>1271</v>
      </c>
      <c r="B68" s="1264">
        <v>2</v>
      </c>
      <c r="C68" s="1264"/>
      <c r="D68" s="1264">
        <v>2</v>
      </c>
      <c r="E68" s="1264"/>
      <c r="F68" s="1245"/>
      <c r="G68" s="1245"/>
    </row>
    <row r="69" spans="1:8" ht="16.5">
      <c r="A69" s="1264" t="s">
        <v>1456</v>
      </c>
      <c r="B69" s="1264"/>
      <c r="C69" s="1264">
        <v>3</v>
      </c>
      <c r="D69" s="1264">
        <v>3</v>
      </c>
      <c r="E69" s="1264"/>
      <c r="F69" s="1245"/>
      <c r="G69" s="1245"/>
    </row>
    <row r="70" spans="1:8" ht="16.5">
      <c r="A70" s="1264" t="s">
        <v>1418</v>
      </c>
      <c r="B70" s="1264">
        <v>2</v>
      </c>
      <c r="C70" s="1264"/>
      <c r="D70" s="1264">
        <v>1</v>
      </c>
      <c r="E70" s="1264">
        <v>1</v>
      </c>
      <c r="F70" s="1245"/>
      <c r="G70" s="1245"/>
    </row>
    <row r="71" spans="1:8" ht="16.5">
      <c r="A71" s="1264" t="s">
        <v>1422</v>
      </c>
      <c r="B71" s="1264">
        <v>2</v>
      </c>
      <c r="C71" s="1264"/>
      <c r="D71" s="1264"/>
      <c r="E71" s="1264">
        <v>2</v>
      </c>
      <c r="F71" s="1245"/>
      <c r="G71" s="1245"/>
    </row>
    <row r="72" spans="1:8" ht="16.5">
      <c r="A72" s="1264" t="s">
        <v>1415</v>
      </c>
      <c r="B72" s="1264">
        <v>2</v>
      </c>
      <c r="C72" s="1264"/>
      <c r="D72" s="1264">
        <v>2</v>
      </c>
      <c r="E72" s="1264"/>
      <c r="F72" s="1245"/>
      <c r="G72" s="1245"/>
    </row>
    <row r="73" spans="1:8" ht="16.5">
      <c r="A73" s="1264" t="s">
        <v>1416</v>
      </c>
      <c r="B73" s="1264">
        <v>2</v>
      </c>
      <c r="C73" s="1264"/>
      <c r="D73" s="1264">
        <v>2</v>
      </c>
      <c r="E73" s="1264"/>
      <c r="F73" s="1245"/>
      <c r="G73" s="1245"/>
    </row>
    <row r="74" spans="1:8" ht="16.5">
      <c r="A74" s="1264" t="s">
        <v>1417</v>
      </c>
      <c r="B74" s="1264">
        <v>2</v>
      </c>
      <c r="C74" s="1264"/>
      <c r="D74" s="1264">
        <v>2</v>
      </c>
      <c r="E74" s="1264"/>
      <c r="F74" s="1245"/>
      <c r="G74" s="1245"/>
    </row>
    <row r="75" spans="1:8" ht="16.5">
      <c r="A75" s="1264" t="s">
        <v>1419</v>
      </c>
      <c r="B75" s="1264">
        <v>2</v>
      </c>
      <c r="C75" s="1264"/>
      <c r="D75" s="1264"/>
      <c r="E75" s="1264">
        <v>2</v>
      </c>
      <c r="F75" s="1245"/>
      <c r="G75" s="1245"/>
    </row>
    <row r="76" spans="1:8" ht="16.5">
      <c r="A76" s="1264" t="s">
        <v>1420</v>
      </c>
      <c r="B76" s="1264">
        <v>2</v>
      </c>
      <c r="C76" s="1264"/>
      <c r="D76" s="1264"/>
      <c r="E76" s="1264">
        <v>2</v>
      </c>
      <c r="F76" s="1245"/>
      <c r="G76" s="1245"/>
    </row>
    <row r="77" spans="1:8" ht="16.5">
      <c r="A77" s="1264" t="s">
        <v>1421</v>
      </c>
      <c r="B77" s="1264">
        <v>2</v>
      </c>
      <c r="C77" s="1264"/>
      <c r="D77" s="1264"/>
      <c r="E77" s="1264">
        <v>2</v>
      </c>
      <c r="F77" s="1245"/>
      <c r="G77" s="1245"/>
    </row>
    <row r="78" spans="1:8" ht="16.5">
      <c r="A78" s="1264" t="s">
        <v>1423</v>
      </c>
      <c r="B78" s="1264">
        <v>2</v>
      </c>
      <c r="C78" s="1264"/>
      <c r="D78" s="1264"/>
      <c r="E78" s="1264">
        <v>2</v>
      </c>
      <c r="F78" s="1245"/>
      <c r="G78" s="1245"/>
    </row>
    <row r="79" spans="1:8" ht="16.5">
      <c r="A79" s="1264" t="s">
        <v>1424</v>
      </c>
      <c r="B79" s="1264">
        <v>2</v>
      </c>
      <c r="C79" s="1264"/>
      <c r="D79" s="1264"/>
      <c r="E79" s="1264">
        <v>2</v>
      </c>
      <c r="F79" s="1245"/>
      <c r="G79" s="1245"/>
    </row>
    <row r="80" spans="1:8" ht="16.5">
      <c r="A80" s="1264" t="s">
        <v>1425</v>
      </c>
      <c r="B80" s="1264">
        <v>2</v>
      </c>
      <c r="C80" s="1264"/>
      <c r="D80" s="1264"/>
      <c r="E80" s="1264">
        <v>2</v>
      </c>
      <c r="F80" s="1245"/>
      <c r="G80" s="1245"/>
    </row>
    <row r="81" spans="1:8" ht="16.5">
      <c r="A81" s="1264" t="s">
        <v>1426</v>
      </c>
      <c r="B81" s="1264">
        <v>2</v>
      </c>
      <c r="C81" s="1264"/>
      <c r="D81" s="1264"/>
      <c r="E81" s="1264">
        <v>2</v>
      </c>
      <c r="F81" s="1245"/>
      <c r="G81" s="1245"/>
    </row>
    <row r="82" spans="1:8" ht="16.5">
      <c r="A82" s="1264" t="s">
        <v>1458</v>
      </c>
      <c r="B82" s="1264"/>
      <c r="C82" s="1264">
        <v>2</v>
      </c>
      <c r="D82" s="1264">
        <v>2</v>
      </c>
      <c r="E82" s="1264"/>
      <c r="F82" s="1245"/>
      <c r="G82" s="1245"/>
      <c r="H82" s="1245"/>
    </row>
    <row r="83" spans="1:8" ht="16.5">
      <c r="A83" s="1264" t="s">
        <v>1460</v>
      </c>
      <c r="B83" s="1264"/>
      <c r="C83" s="1264">
        <v>2</v>
      </c>
      <c r="D83" s="1264">
        <v>2</v>
      </c>
      <c r="E83" s="1264"/>
      <c r="F83" s="1245"/>
      <c r="G83" s="1245"/>
      <c r="H83" s="1245"/>
    </row>
    <row r="84" spans="1:8" ht="16.5">
      <c r="A84" s="1264" t="s">
        <v>1393</v>
      </c>
      <c r="B84" s="1264"/>
      <c r="C84" s="1264">
        <v>3</v>
      </c>
      <c r="D84" s="1264">
        <v>3</v>
      </c>
      <c r="E84" s="1264"/>
      <c r="F84" s="1245"/>
      <c r="G84" s="1245"/>
      <c r="H84" s="1245"/>
    </row>
    <row r="85" spans="1:8" ht="16.5">
      <c r="A85" s="1264" t="s">
        <v>1273</v>
      </c>
      <c r="B85" s="1264">
        <v>1</v>
      </c>
      <c r="C85" s="1264"/>
      <c r="D85" s="1264">
        <v>1</v>
      </c>
      <c r="E85" s="1264"/>
      <c r="F85" s="1245"/>
      <c r="G85" s="1245"/>
      <c r="H85" s="1245"/>
    </row>
    <row r="86" spans="1:8" ht="16.5">
      <c r="A86" s="1264" t="s">
        <v>1459</v>
      </c>
      <c r="B86" s="1264"/>
      <c r="C86" s="1264">
        <v>2</v>
      </c>
      <c r="D86" s="1264">
        <v>2</v>
      </c>
      <c r="E86" s="1264"/>
      <c r="F86" s="1245"/>
      <c r="G86" s="1245"/>
      <c r="H86" s="1245"/>
    </row>
    <row r="87" spans="1:8" ht="16.5">
      <c r="A87" s="1264" t="s">
        <v>1461</v>
      </c>
      <c r="B87" s="1264"/>
      <c r="C87" s="1264">
        <v>2</v>
      </c>
      <c r="D87" s="1264">
        <v>2</v>
      </c>
      <c r="E87" s="1264"/>
      <c r="F87" s="1245"/>
      <c r="G87" s="1245"/>
      <c r="H87" s="1245"/>
    </row>
    <row r="88" spans="1:8" ht="16.5">
      <c r="A88" s="1264" t="s">
        <v>1462</v>
      </c>
      <c r="B88" s="1264"/>
      <c r="C88" s="1264">
        <v>2</v>
      </c>
      <c r="D88" s="1264">
        <v>2</v>
      </c>
      <c r="E88" s="1264"/>
      <c r="F88" s="1245"/>
      <c r="G88" s="1245"/>
      <c r="H88" s="1245"/>
    </row>
    <row r="89" spans="1:8" ht="16.5">
      <c r="A89" s="1264" t="s">
        <v>1427</v>
      </c>
      <c r="B89" s="1264">
        <v>1</v>
      </c>
      <c r="C89" s="1264"/>
      <c r="D89" s="1264">
        <v>1</v>
      </c>
      <c r="E89" s="1264"/>
      <c r="F89" s="1245"/>
      <c r="G89" s="1245"/>
      <c r="H89" s="1245"/>
    </row>
    <row r="90" spans="1:8" ht="16.5">
      <c r="A90" s="1264" t="s">
        <v>1429</v>
      </c>
      <c r="B90" s="1264">
        <v>1</v>
      </c>
      <c r="C90" s="1264"/>
      <c r="D90" s="1264">
        <v>1</v>
      </c>
      <c r="E90" s="1264"/>
      <c r="F90" s="1245"/>
      <c r="G90" s="1245"/>
      <c r="H90" s="1245"/>
    </row>
    <row r="91" spans="1:8" ht="16.5">
      <c r="A91" s="1264" t="s">
        <v>1389</v>
      </c>
      <c r="B91" s="1264"/>
      <c r="C91" s="1264">
        <v>2</v>
      </c>
      <c r="D91" s="1264">
        <v>2</v>
      </c>
      <c r="E91" s="1264"/>
      <c r="F91" s="1245"/>
      <c r="G91" s="1245"/>
      <c r="H91" s="1245"/>
    </row>
    <row r="92" spans="1:8" ht="16.5">
      <c r="A92" s="1264" t="s">
        <v>1288</v>
      </c>
      <c r="B92" s="1264">
        <v>2</v>
      </c>
      <c r="C92" s="1264"/>
      <c r="D92" s="1264">
        <v>2</v>
      </c>
      <c r="E92" s="1264"/>
      <c r="F92" s="1245"/>
      <c r="G92" s="1245"/>
      <c r="H92" s="1245"/>
    </row>
    <row r="93" spans="1:8" ht="16.5">
      <c r="A93" s="1264" t="s">
        <v>1463</v>
      </c>
      <c r="B93" s="1264"/>
      <c r="C93" s="1264">
        <v>2</v>
      </c>
      <c r="D93" s="1264">
        <v>1</v>
      </c>
      <c r="E93" s="1264">
        <v>1</v>
      </c>
      <c r="F93" s="1245"/>
      <c r="G93" s="1245"/>
      <c r="H93" s="1245"/>
    </row>
    <row r="94" spans="1:8" ht="16.5">
      <c r="A94" s="1264" t="s">
        <v>1464</v>
      </c>
      <c r="B94" s="1264"/>
      <c r="C94" s="1264">
        <v>3</v>
      </c>
      <c r="D94" s="1264"/>
      <c r="E94" s="1264">
        <v>3</v>
      </c>
      <c r="F94" s="1245"/>
      <c r="G94" s="1245"/>
      <c r="H94" s="1245"/>
    </row>
    <row r="95" spans="1:8" ht="16.5">
      <c r="A95" s="1264" t="s">
        <v>1465</v>
      </c>
      <c r="B95" s="1264"/>
      <c r="C95" s="1264">
        <v>2</v>
      </c>
      <c r="D95" s="1264"/>
      <c r="E95" s="1264">
        <v>2</v>
      </c>
      <c r="F95" s="1245"/>
      <c r="G95" s="1245"/>
      <c r="H95" s="1245"/>
    </row>
    <row r="96" spans="1:8" ht="16.5">
      <c r="A96" s="1264" t="s">
        <v>1390</v>
      </c>
      <c r="B96" s="1264"/>
      <c r="C96" s="1264">
        <v>3</v>
      </c>
      <c r="D96" s="1264">
        <v>1</v>
      </c>
      <c r="E96" s="1264">
        <v>2</v>
      </c>
      <c r="F96" s="1245"/>
      <c r="G96" s="1245"/>
      <c r="H96" s="1245"/>
    </row>
    <row r="97" spans="1:8" ht="16.5">
      <c r="A97" s="1264" t="s">
        <v>1466</v>
      </c>
      <c r="B97" s="1264"/>
      <c r="C97" s="1264">
        <v>1</v>
      </c>
      <c r="D97" s="1264">
        <v>1</v>
      </c>
      <c r="E97" s="1264"/>
      <c r="F97" s="1245"/>
      <c r="G97" s="1245"/>
      <c r="H97" s="1245"/>
    </row>
    <row r="98" spans="1:8" ht="16.5">
      <c r="A98" s="1264" t="s">
        <v>1467</v>
      </c>
      <c r="B98" s="1264"/>
      <c r="C98" s="1264">
        <v>3</v>
      </c>
      <c r="D98" s="1264">
        <v>3</v>
      </c>
      <c r="E98" s="1264"/>
      <c r="F98" s="1245"/>
      <c r="G98" s="1245"/>
      <c r="H98" s="1245"/>
    </row>
    <row r="99" spans="1:8" ht="16.5">
      <c r="A99" s="1264" t="s">
        <v>1392</v>
      </c>
      <c r="B99" s="1264"/>
      <c r="C99" s="1264">
        <v>3</v>
      </c>
      <c r="D99" s="1264">
        <v>3</v>
      </c>
      <c r="E99" s="1264"/>
      <c r="F99" s="1245"/>
      <c r="G99" s="1245"/>
      <c r="H99" s="1245"/>
    </row>
    <row r="100" spans="1:8" ht="16.5">
      <c r="A100" s="1264" t="s">
        <v>1408</v>
      </c>
      <c r="B100" s="1264"/>
      <c r="C100" s="1264">
        <v>2</v>
      </c>
      <c r="D100" s="1264"/>
      <c r="E100" s="1264">
        <v>2</v>
      </c>
      <c r="F100" s="1245"/>
      <c r="G100" s="1245"/>
      <c r="H100" s="1245"/>
    </row>
    <row r="101" spans="1:8" ht="16.5">
      <c r="A101" s="1264" t="s">
        <v>1391</v>
      </c>
      <c r="B101" s="1264"/>
      <c r="C101" s="1264">
        <v>3</v>
      </c>
      <c r="D101" s="1264">
        <v>3</v>
      </c>
      <c r="E101" s="1264"/>
      <c r="F101" s="1245"/>
      <c r="G101" s="1245"/>
      <c r="H101" s="1245"/>
    </row>
    <row r="102" spans="1:8" ht="16.5">
      <c r="A102" s="1264" t="s">
        <v>423</v>
      </c>
      <c r="B102" s="1264">
        <v>1</v>
      </c>
      <c r="C102" s="1264"/>
      <c r="D102" s="1264">
        <v>1</v>
      </c>
      <c r="E102" s="1264"/>
      <c r="F102" s="1245"/>
      <c r="G102" s="1245"/>
      <c r="H102" s="1245"/>
    </row>
    <row r="103" spans="1:8" ht="16.5">
      <c r="A103" s="1264" t="s">
        <v>1430</v>
      </c>
      <c r="B103" s="1264">
        <v>1</v>
      </c>
      <c r="C103" s="1264"/>
      <c r="D103" s="1264">
        <v>1</v>
      </c>
      <c r="E103" s="1264"/>
      <c r="F103" s="1245"/>
      <c r="G103" s="1245"/>
      <c r="H103" s="1245"/>
    </row>
    <row r="104" spans="1:8" ht="16.5">
      <c r="A104" s="1264" t="s">
        <v>1431</v>
      </c>
      <c r="B104" s="1264">
        <v>1</v>
      </c>
      <c r="C104" s="1264"/>
      <c r="D104" s="1264">
        <v>1</v>
      </c>
      <c r="E104" s="1264"/>
      <c r="F104" s="1245"/>
      <c r="G104" s="1245"/>
      <c r="H104" s="1245"/>
    </row>
    <row r="105" spans="1:8" ht="16.5">
      <c r="A105" s="1264" t="s">
        <v>1394</v>
      </c>
      <c r="B105" s="1264"/>
      <c r="C105" s="1264">
        <v>1</v>
      </c>
      <c r="D105" s="1264"/>
      <c r="E105" s="1264">
        <v>1</v>
      </c>
      <c r="F105" s="1245"/>
      <c r="G105" s="1245"/>
      <c r="H105" s="1245"/>
    </row>
    <row r="106" spans="1:8" ht="16.5">
      <c r="A106" s="1281" t="s">
        <v>1535</v>
      </c>
      <c r="B106" s="1264">
        <v>2</v>
      </c>
      <c r="C106" s="1264"/>
      <c r="D106" s="1264"/>
      <c r="E106" s="1264">
        <v>2</v>
      </c>
      <c r="F106" s="1245"/>
      <c r="G106" s="1245"/>
      <c r="H106" s="1245"/>
    </row>
    <row r="107" spans="1:8" ht="16.5">
      <c r="A107" s="1264" t="s">
        <v>425</v>
      </c>
      <c r="B107" s="1264">
        <v>2</v>
      </c>
      <c r="C107" s="1264"/>
      <c r="D107" s="1264"/>
      <c r="E107" s="1264">
        <v>2</v>
      </c>
      <c r="F107" s="1245"/>
      <c r="G107" s="1245"/>
      <c r="H107" s="1245"/>
    </row>
    <row r="108" spans="1:8" ht="16.5">
      <c r="A108" s="1264" t="s">
        <v>943</v>
      </c>
      <c r="B108" s="1264">
        <v>2</v>
      </c>
      <c r="C108" s="1264"/>
      <c r="D108" s="1264"/>
      <c r="E108" s="1264">
        <v>2</v>
      </c>
      <c r="F108" s="1245"/>
      <c r="G108" s="1245"/>
      <c r="H108" s="1245"/>
    </row>
    <row r="109" spans="1:8" ht="16.5">
      <c r="A109" s="1264" t="s">
        <v>537</v>
      </c>
      <c r="B109" s="1264">
        <v>2</v>
      </c>
      <c r="C109" s="1264"/>
      <c r="D109" s="1264"/>
      <c r="E109" s="1264">
        <v>2</v>
      </c>
      <c r="F109" s="1245"/>
      <c r="G109" s="1245"/>
      <c r="H109" s="1245"/>
    </row>
    <row r="110" spans="1:8" ht="16.5">
      <c r="A110" s="1281" t="s">
        <v>1536</v>
      </c>
      <c r="B110" s="1264">
        <v>3</v>
      </c>
      <c r="C110" s="1264"/>
      <c r="D110" s="1264"/>
      <c r="E110" s="1264">
        <v>3</v>
      </c>
      <c r="F110" s="1245"/>
      <c r="G110" s="1245"/>
      <c r="H110" s="1245"/>
    </row>
    <row r="111" spans="1:8" ht="16.5">
      <c r="A111" s="1264" t="s">
        <v>944</v>
      </c>
      <c r="B111" s="1264">
        <v>1</v>
      </c>
      <c r="C111" s="1264"/>
      <c r="D111" s="1264"/>
      <c r="E111" s="1264">
        <v>1</v>
      </c>
      <c r="F111" s="1245"/>
      <c r="G111" s="1245"/>
      <c r="H111" s="1245"/>
    </row>
    <row r="112" spans="1:8" ht="16.5">
      <c r="A112" s="1264" t="s">
        <v>427</v>
      </c>
      <c r="B112" s="1264">
        <v>2</v>
      </c>
      <c r="C112" s="1264"/>
      <c r="D112" s="1264"/>
      <c r="E112" s="1264">
        <v>2</v>
      </c>
      <c r="F112" s="1245"/>
      <c r="G112" s="1245"/>
      <c r="H112" s="1245"/>
    </row>
    <row r="113" spans="1:8" ht="16.5">
      <c r="A113" s="1264" t="s">
        <v>428</v>
      </c>
      <c r="B113" s="1264">
        <v>2</v>
      </c>
      <c r="C113" s="1264"/>
      <c r="D113" s="1264"/>
      <c r="E113" s="1264">
        <v>2</v>
      </c>
      <c r="F113" s="1245"/>
      <c r="G113" s="1245"/>
      <c r="H113" s="1245"/>
    </row>
    <row r="114" spans="1:8" ht="16.5">
      <c r="A114" s="1264" t="s">
        <v>948</v>
      </c>
      <c r="B114" s="1264">
        <v>2</v>
      </c>
      <c r="C114" s="1264"/>
      <c r="D114" s="1264"/>
      <c r="E114" s="1264">
        <v>2</v>
      </c>
      <c r="F114" s="1245"/>
      <c r="G114" s="1245"/>
      <c r="H114" s="1245"/>
    </row>
    <row r="115" spans="1:8" ht="16.5">
      <c r="A115" s="1264" t="s">
        <v>424</v>
      </c>
      <c r="B115" s="1264">
        <v>1</v>
      </c>
      <c r="C115" s="1264"/>
      <c r="D115" s="1264"/>
      <c r="E115" s="1264">
        <v>1</v>
      </c>
      <c r="F115" s="1245"/>
      <c r="G115" s="1245"/>
      <c r="H115" s="1245"/>
    </row>
    <row r="116" spans="1:8" ht="16.5">
      <c r="A116" s="1264" t="s">
        <v>945</v>
      </c>
      <c r="B116" s="1264">
        <v>2</v>
      </c>
      <c r="C116" s="1264"/>
      <c r="D116" s="1264"/>
      <c r="E116" s="1264">
        <v>2</v>
      </c>
      <c r="F116" s="1245"/>
      <c r="G116" s="1245"/>
      <c r="H116" s="1245"/>
    </row>
    <row r="117" spans="1:8" ht="16.5">
      <c r="A117" s="1264" t="s">
        <v>1432</v>
      </c>
      <c r="B117" s="1264">
        <v>3</v>
      </c>
      <c r="C117" s="1264"/>
      <c r="D117" s="1264"/>
      <c r="E117" s="1264">
        <v>3</v>
      </c>
      <c r="F117" s="1245"/>
      <c r="G117" s="1245"/>
      <c r="H117" s="1245"/>
    </row>
    <row r="118" spans="1:8" ht="16.5">
      <c r="A118" s="1281" t="s">
        <v>1514</v>
      </c>
      <c r="B118" s="1264">
        <v>2</v>
      </c>
      <c r="C118" s="1264"/>
      <c r="D118" s="1264"/>
      <c r="E118" s="1264">
        <v>2</v>
      </c>
      <c r="F118" s="1245"/>
      <c r="G118" s="1245"/>
      <c r="H118" s="1245"/>
    </row>
    <row r="119" spans="1:8" ht="16.5">
      <c r="A119" s="1264" t="s">
        <v>432</v>
      </c>
      <c r="B119" s="1264">
        <v>2</v>
      </c>
      <c r="C119" s="1264"/>
      <c r="D119" s="1264"/>
      <c r="E119" s="1264">
        <v>2</v>
      </c>
      <c r="F119" s="1245"/>
      <c r="G119" s="1245"/>
      <c r="H119" s="1245"/>
    </row>
    <row r="120" spans="1:8" ht="16.5">
      <c r="A120" s="1281" t="s">
        <v>1516</v>
      </c>
      <c r="B120" s="1264">
        <v>2</v>
      </c>
      <c r="C120" s="1264"/>
      <c r="D120" s="1264"/>
      <c r="E120" s="1264">
        <v>2</v>
      </c>
      <c r="F120" s="1245"/>
      <c r="G120" s="1245"/>
      <c r="H120" s="1245"/>
    </row>
    <row r="121" spans="1:8" ht="16.5">
      <c r="A121" s="1264" t="s">
        <v>431</v>
      </c>
      <c r="B121" s="1264">
        <v>2</v>
      </c>
      <c r="C121" s="1264"/>
      <c r="D121" s="1264"/>
      <c r="E121" s="1264">
        <v>2</v>
      </c>
      <c r="F121" s="1245"/>
      <c r="G121" s="1245"/>
      <c r="H121" s="1245"/>
    </row>
    <row r="122" spans="1:8" ht="16.5">
      <c r="A122" s="1264" t="s">
        <v>1433</v>
      </c>
      <c r="B122" s="1264">
        <v>1</v>
      </c>
      <c r="C122" s="1264"/>
      <c r="D122" s="1264"/>
      <c r="E122" s="1264">
        <v>1</v>
      </c>
      <c r="F122" s="1245"/>
      <c r="G122" s="1245"/>
      <c r="H122" s="1245"/>
    </row>
    <row r="123" spans="1:8" ht="16.5">
      <c r="A123" s="1264" t="s">
        <v>1469</v>
      </c>
      <c r="B123" s="1264"/>
      <c r="C123" s="1264">
        <v>2</v>
      </c>
      <c r="D123" s="1264"/>
      <c r="E123" s="1264">
        <v>2</v>
      </c>
      <c r="F123" s="1245"/>
      <c r="G123" s="1245"/>
      <c r="H123" s="1245"/>
    </row>
    <row r="124" spans="1:8" ht="16.5">
      <c r="A124" s="1264" t="s">
        <v>1395</v>
      </c>
      <c r="B124" s="1264"/>
      <c r="C124" s="1264">
        <v>2</v>
      </c>
      <c r="D124" s="1264"/>
      <c r="E124" s="1264">
        <v>2</v>
      </c>
      <c r="F124" s="1245"/>
      <c r="G124" s="1245"/>
      <c r="H124" s="1245"/>
    </row>
    <row r="125" spans="1:8" ht="16.5">
      <c r="A125" s="1281" t="s">
        <v>1537</v>
      </c>
      <c r="B125" s="1264">
        <v>3</v>
      </c>
      <c r="C125" s="1264"/>
      <c r="D125" s="1264"/>
      <c r="E125" s="1264">
        <v>3</v>
      </c>
      <c r="F125" s="1245"/>
      <c r="G125" s="1245"/>
      <c r="H125" s="1245"/>
    </row>
    <row r="126" spans="1:8" ht="16.5">
      <c r="A126" s="1264" t="s">
        <v>429</v>
      </c>
      <c r="B126" s="1264">
        <v>2</v>
      </c>
      <c r="C126" s="1264"/>
      <c r="D126" s="1264"/>
      <c r="E126" s="1264">
        <v>2</v>
      </c>
      <c r="F126" s="1245"/>
      <c r="G126" s="1245"/>
      <c r="H126" s="1245"/>
    </row>
    <row r="127" spans="1:8" ht="16.5">
      <c r="A127" s="1264" t="s">
        <v>430</v>
      </c>
      <c r="B127" s="1264">
        <v>2</v>
      </c>
      <c r="C127" s="1264"/>
      <c r="D127" s="1264"/>
      <c r="E127" s="1264">
        <v>2</v>
      </c>
      <c r="F127" s="1245"/>
      <c r="G127" s="1245"/>
      <c r="H127" s="1245"/>
    </row>
    <row r="128" spans="1:8" ht="16.5">
      <c r="A128" s="1264" t="s">
        <v>946</v>
      </c>
      <c r="B128" s="1264">
        <v>2</v>
      </c>
      <c r="C128" s="1264"/>
      <c r="D128" s="1264"/>
      <c r="E128" s="1264">
        <v>2</v>
      </c>
      <c r="F128" s="1245"/>
      <c r="G128" s="1245"/>
      <c r="H128" s="1245"/>
    </row>
    <row r="129" spans="1:8" ht="16.5">
      <c r="A129" s="1281" t="s">
        <v>1515</v>
      </c>
      <c r="B129" s="1264">
        <v>3</v>
      </c>
      <c r="C129" s="1264"/>
      <c r="D129" s="1264"/>
      <c r="E129" s="1264">
        <v>3</v>
      </c>
      <c r="F129" s="1245"/>
      <c r="G129" s="1245"/>
      <c r="H129" s="1245"/>
    </row>
    <row r="130" spans="1:8" ht="16.5">
      <c r="A130" s="1264" t="s">
        <v>1319</v>
      </c>
      <c r="B130" s="1264">
        <v>1</v>
      </c>
      <c r="C130" s="1264"/>
      <c r="D130" s="1264"/>
      <c r="E130" s="1264">
        <v>1</v>
      </c>
      <c r="F130" s="1245"/>
      <c r="G130" s="1245"/>
      <c r="H130" s="1245"/>
    </row>
    <row r="131" spans="1:8" ht="16.5">
      <c r="A131" s="1264" t="s">
        <v>1320</v>
      </c>
      <c r="B131" s="1264">
        <v>2</v>
      </c>
      <c r="C131" s="1264"/>
      <c r="D131" s="1264"/>
      <c r="E131" s="1264">
        <v>2</v>
      </c>
      <c r="F131" s="1245"/>
      <c r="G131" s="1245"/>
      <c r="H131" s="1245"/>
    </row>
    <row r="132" spans="1:8" ht="16.5">
      <c r="A132" s="1264" t="s">
        <v>1434</v>
      </c>
      <c r="B132" s="1264">
        <v>2</v>
      </c>
      <c r="C132" s="1264"/>
      <c r="D132" s="1264"/>
      <c r="E132" s="1264">
        <v>2</v>
      </c>
      <c r="F132" s="1245"/>
      <c r="G132" s="1245"/>
      <c r="H132" s="1245"/>
    </row>
    <row r="133" spans="1:8" ht="16.5">
      <c r="A133" s="1264" t="s">
        <v>1435</v>
      </c>
      <c r="B133" s="1264">
        <v>2</v>
      </c>
      <c r="C133" s="1264"/>
      <c r="D133" s="1264"/>
      <c r="E133" s="1264">
        <v>2</v>
      </c>
      <c r="F133" s="1245"/>
      <c r="G133" s="1245"/>
      <c r="H133" s="1245"/>
    </row>
    <row r="134" spans="1:8" ht="16.5">
      <c r="A134" s="1264" t="s">
        <v>1436</v>
      </c>
      <c r="B134" s="1264">
        <v>2</v>
      </c>
      <c r="C134" s="1264"/>
      <c r="D134" s="1264"/>
      <c r="E134" s="1264">
        <v>2</v>
      </c>
      <c r="F134" s="1245"/>
      <c r="G134" s="1245"/>
      <c r="H134" s="1245"/>
    </row>
    <row r="135" spans="1:8" ht="16.5">
      <c r="A135" s="1264" t="s">
        <v>1437</v>
      </c>
      <c r="B135" s="1264">
        <v>2</v>
      </c>
      <c r="C135" s="1264"/>
      <c r="D135" s="1264"/>
      <c r="E135" s="1264">
        <v>2</v>
      </c>
      <c r="F135" s="1245"/>
      <c r="G135" s="1245"/>
      <c r="H135" s="1245"/>
    </row>
    <row r="136" spans="1:8" ht="16.5">
      <c r="A136" s="1264" t="s">
        <v>538</v>
      </c>
      <c r="B136" s="1264">
        <v>1</v>
      </c>
      <c r="C136" s="1264"/>
      <c r="D136" s="1264"/>
      <c r="E136" s="1264">
        <v>1</v>
      </c>
      <c r="F136" s="1245"/>
      <c r="G136" s="1245"/>
      <c r="H136" s="1245"/>
    </row>
    <row r="137" spans="1:8" ht="16.5">
      <c r="A137" s="1281" t="s">
        <v>1538</v>
      </c>
      <c r="B137" s="1264">
        <v>3</v>
      </c>
      <c r="C137" s="1264"/>
      <c r="D137" s="1264"/>
      <c r="E137" s="1264">
        <v>3</v>
      </c>
      <c r="F137" s="1245"/>
      <c r="G137" s="1245"/>
      <c r="H137" s="1245"/>
    </row>
    <row r="138" spans="1:8" ht="16.5">
      <c r="A138" s="1264" t="s">
        <v>1318</v>
      </c>
      <c r="B138" s="1264">
        <v>1</v>
      </c>
      <c r="C138" s="1264"/>
      <c r="D138" s="1264"/>
      <c r="E138" s="1264">
        <v>1</v>
      </c>
      <c r="F138" s="1245"/>
      <c r="G138" s="1245"/>
      <c r="H138" s="1245"/>
    </row>
    <row r="139" spans="1:8" ht="16.5">
      <c r="A139" s="1264" t="s">
        <v>539</v>
      </c>
      <c r="B139" s="1264">
        <v>2</v>
      </c>
      <c r="C139" s="1264"/>
      <c r="D139" s="1264"/>
      <c r="E139" s="1264">
        <v>2</v>
      </c>
      <c r="F139" s="1245"/>
      <c r="G139" s="1245"/>
      <c r="H139" s="1245"/>
    </row>
    <row r="140" spans="1:8" ht="16.5">
      <c r="A140" s="1264" t="s">
        <v>947</v>
      </c>
      <c r="B140" s="1264">
        <v>2</v>
      </c>
      <c r="C140" s="1264"/>
      <c r="D140" s="1264"/>
      <c r="E140" s="1264">
        <v>2</v>
      </c>
      <c r="F140" s="1245"/>
      <c r="G140" s="1245"/>
      <c r="H140" s="1245"/>
    </row>
    <row r="141" spans="1:8" ht="16.5">
      <c r="A141" s="1281" t="s">
        <v>1506</v>
      </c>
      <c r="B141" s="1264">
        <v>2</v>
      </c>
      <c r="C141" s="1264"/>
      <c r="D141" s="1264"/>
      <c r="E141" s="1264">
        <v>2</v>
      </c>
      <c r="F141" s="1245"/>
      <c r="G141" s="1245"/>
      <c r="H141" s="1245"/>
    </row>
    <row r="142" spans="1:8" ht="16.5">
      <c r="A142" s="1264" t="s">
        <v>1300</v>
      </c>
      <c r="B142" s="1264">
        <v>2</v>
      </c>
      <c r="C142" s="1264"/>
      <c r="D142" s="1264"/>
      <c r="E142" s="1264">
        <v>2</v>
      </c>
      <c r="F142" s="1245"/>
      <c r="G142" s="1245"/>
      <c r="H142" s="1245"/>
    </row>
    <row r="143" spans="1:8" ht="16.5">
      <c r="A143" s="1264" t="s">
        <v>1305</v>
      </c>
      <c r="B143" s="1264">
        <v>2</v>
      </c>
      <c r="C143" s="1264"/>
      <c r="D143" s="1264"/>
      <c r="E143" s="1264">
        <v>2</v>
      </c>
      <c r="F143" s="1245"/>
      <c r="G143" s="1245"/>
      <c r="H143" s="1245"/>
    </row>
    <row r="144" spans="1:8" ht="16.5">
      <c r="A144" s="1281" t="s">
        <v>1509</v>
      </c>
      <c r="B144" s="1264">
        <v>2</v>
      </c>
      <c r="C144" s="1264"/>
      <c r="D144" s="1264"/>
      <c r="E144" s="1264">
        <v>2</v>
      </c>
      <c r="F144" s="1245"/>
      <c r="G144" s="1245"/>
      <c r="H144" s="1245"/>
    </row>
    <row r="145" spans="1:8" ht="16.5">
      <c r="A145" s="1264" t="s">
        <v>540</v>
      </c>
      <c r="B145" s="1264">
        <v>2</v>
      </c>
      <c r="C145" s="1264"/>
      <c r="D145" s="1264"/>
      <c r="E145" s="1264">
        <v>2</v>
      </c>
      <c r="F145" s="1245"/>
      <c r="G145" s="1245"/>
      <c r="H145" s="1245"/>
    </row>
    <row r="146" spans="1:8" ht="16.5">
      <c r="A146" s="1281" t="s">
        <v>1513</v>
      </c>
      <c r="B146" s="1264">
        <v>2</v>
      </c>
      <c r="C146" s="1264"/>
      <c r="D146" s="1264"/>
      <c r="E146" s="1264">
        <v>2</v>
      </c>
      <c r="F146" s="1245"/>
      <c r="G146" s="1245"/>
      <c r="H146" s="1245"/>
    </row>
    <row r="147" spans="1:8" ht="16.5">
      <c r="A147" s="1264" t="s">
        <v>541</v>
      </c>
      <c r="B147" s="1264">
        <v>2</v>
      </c>
      <c r="C147" s="1264"/>
      <c r="D147" s="1264"/>
      <c r="E147" s="1264">
        <v>2</v>
      </c>
      <c r="F147" s="1245"/>
      <c r="G147" s="1245"/>
      <c r="H147" s="1245"/>
    </row>
    <row r="148" spans="1:8" ht="16.5">
      <c r="A148" s="1264" t="s">
        <v>1438</v>
      </c>
      <c r="B148" s="1264">
        <v>2</v>
      </c>
      <c r="C148" s="1264"/>
      <c r="D148" s="1264"/>
      <c r="E148" s="1264">
        <v>2</v>
      </c>
      <c r="F148" s="1245"/>
      <c r="G148" s="1245"/>
      <c r="H148" s="1245"/>
    </row>
    <row r="149" spans="1:8" ht="16.5">
      <c r="A149" s="1264" t="s">
        <v>1398</v>
      </c>
      <c r="B149" s="1264"/>
      <c r="C149" s="1264">
        <v>2</v>
      </c>
      <c r="D149" s="1264"/>
      <c r="E149" s="1264">
        <v>2</v>
      </c>
      <c r="F149" s="1245"/>
      <c r="G149" s="1245"/>
      <c r="H149" s="1245"/>
    </row>
    <row r="150" spans="1:8" ht="16.5">
      <c r="A150" s="1264" t="s">
        <v>1439</v>
      </c>
      <c r="B150" s="1264">
        <v>2</v>
      </c>
      <c r="C150" s="1264"/>
      <c r="D150" s="1264"/>
      <c r="E150" s="1264">
        <v>2</v>
      </c>
      <c r="F150" s="1245"/>
      <c r="G150" s="1245"/>
      <c r="H150" s="1245"/>
    </row>
    <row r="151" spans="1:8" ht="16.5">
      <c r="A151" s="1264" t="s">
        <v>1470</v>
      </c>
      <c r="B151" s="1264">
        <v>1</v>
      </c>
      <c r="C151" s="1264"/>
      <c r="D151" s="1264"/>
      <c r="E151" s="1264">
        <v>1</v>
      </c>
      <c r="F151" s="1245"/>
      <c r="G151" s="1245"/>
      <c r="H151" s="1245"/>
    </row>
    <row r="152" spans="1:8" ht="16.5">
      <c r="A152" s="1264" t="s">
        <v>1471</v>
      </c>
      <c r="B152" s="1264">
        <v>2</v>
      </c>
      <c r="C152" s="1264"/>
      <c r="D152" s="1264"/>
      <c r="E152" s="1264">
        <v>2</v>
      </c>
      <c r="F152" s="1245"/>
      <c r="G152" s="1245"/>
      <c r="H152" s="1245"/>
    </row>
    <row r="153" spans="1:8" ht="16.5">
      <c r="A153" s="1264" t="s">
        <v>1472</v>
      </c>
      <c r="B153" s="1264">
        <v>2</v>
      </c>
      <c r="C153" s="1264"/>
      <c r="D153" s="1264"/>
      <c r="E153" s="1264">
        <v>2</v>
      </c>
      <c r="F153" s="1245"/>
      <c r="G153" s="1245"/>
      <c r="H153" s="1245"/>
    </row>
    <row r="154" spans="1:8" ht="16.5">
      <c r="A154" s="1264" t="s">
        <v>1473</v>
      </c>
      <c r="B154" s="1264">
        <v>2</v>
      </c>
      <c r="C154" s="1264"/>
      <c r="D154" s="1264"/>
      <c r="E154" s="1264">
        <v>2</v>
      </c>
      <c r="F154" s="1245"/>
      <c r="G154" s="1245"/>
      <c r="H154" s="1245"/>
    </row>
    <row r="155" spans="1:8" ht="16.5">
      <c r="A155" s="1264" t="s">
        <v>1474</v>
      </c>
      <c r="B155" s="1264">
        <v>2</v>
      </c>
      <c r="C155" s="1264"/>
      <c r="D155" s="1264"/>
      <c r="E155" s="1264">
        <v>2</v>
      </c>
      <c r="F155" s="1245"/>
      <c r="G155" s="1245"/>
      <c r="H155" s="1245"/>
    </row>
    <row r="156" spans="1:8" ht="16.5">
      <c r="A156" s="1264" t="s">
        <v>1475</v>
      </c>
      <c r="B156" s="1264">
        <v>2</v>
      </c>
      <c r="C156" s="1264"/>
      <c r="D156" s="1264"/>
      <c r="E156" s="1264">
        <v>2</v>
      </c>
      <c r="F156" s="1245"/>
      <c r="G156" s="1245"/>
      <c r="H156" s="1245"/>
    </row>
    <row r="157" spans="1:8" ht="16.5">
      <c r="A157" s="1264" t="s">
        <v>1476</v>
      </c>
      <c r="B157" s="1264"/>
      <c r="C157" s="1264"/>
      <c r="D157" s="1264"/>
      <c r="E157" s="1264"/>
      <c r="F157" s="1245"/>
      <c r="G157" s="1245"/>
      <c r="H157" s="1245"/>
    </row>
    <row r="158" spans="1:8" ht="16.5">
      <c r="A158" s="1264" t="s">
        <v>1477</v>
      </c>
      <c r="B158" s="1264"/>
      <c r="C158" s="1264"/>
      <c r="D158" s="1264"/>
      <c r="E158" s="1264"/>
      <c r="F158" s="1245"/>
      <c r="G158" s="1245"/>
      <c r="H158" s="1245"/>
    </row>
    <row r="159" spans="1:8" ht="16.5">
      <c r="A159" s="1264" t="s">
        <v>1493</v>
      </c>
      <c r="B159" s="1264">
        <v>1</v>
      </c>
      <c r="C159" s="1264"/>
      <c r="D159" s="1264">
        <v>1</v>
      </c>
      <c r="E159" s="1264"/>
      <c r="F159" s="1245"/>
      <c r="G159" s="1245"/>
      <c r="H159" s="1245"/>
    </row>
    <row r="160" spans="1:8" ht="16.5">
      <c r="A160" s="1264" t="s">
        <v>1450</v>
      </c>
      <c r="B160" s="1264"/>
      <c r="C160" s="1264">
        <v>2</v>
      </c>
      <c r="D160" s="1264">
        <v>2</v>
      </c>
      <c r="E160" s="1264"/>
      <c r="F160" s="1245"/>
      <c r="G160" s="1245"/>
      <c r="H160" s="1245"/>
    </row>
    <row r="161" spans="1:8" ht="16.5">
      <c r="A161" s="1264" t="s">
        <v>1396</v>
      </c>
      <c r="B161" s="1264"/>
      <c r="C161" s="1264">
        <v>2</v>
      </c>
      <c r="D161" s="1264"/>
      <c r="E161" s="1264">
        <v>2</v>
      </c>
      <c r="F161" s="1264"/>
      <c r="G161" s="1245"/>
      <c r="H161" s="1245"/>
    </row>
    <row r="162" spans="1:8" ht="16.5">
      <c r="A162" s="1264" t="s">
        <v>1301</v>
      </c>
      <c r="B162" s="1264">
        <v>2</v>
      </c>
      <c r="C162" s="1264"/>
      <c r="D162" s="1264"/>
      <c r="E162" s="1264">
        <v>2</v>
      </c>
      <c r="F162" s="1264"/>
      <c r="G162" s="1245"/>
      <c r="H162" s="1245"/>
    </row>
    <row r="163" spans="1:8" ht="16.5">
      <c r="A163" s="1264" t="s">
        <v>1397</v>
      </c>
      <c r="B163" s="1264"/>
      <c r="C163" s="1264">
        <v>2</v>
      </c>
      <c r="D163" s="1264"/>
      <c r="E163" s="1264">
        <v>2</v>
      </c>
      <c r="F163" s="1264"/>
      <c r="G163" s="1245"/>
      <c r="H163" s="1245"/>
    </row>
    <row r="164" spans="1:8" ht="16.5">
      <c r="A164" s="1264" t="s">
        <v>1303</v>
      </c>
      <c r="B164" s="1264">
        <v>2</v>
      </c>
      <c r="C164" s="1264"/>
      <c r="D164" s="1264"/>
      <c r="E164" s="1264">
        <v>2</v>
      </c>
      <c r="F164" s="1264"/>
      <c r="G164" s="1245"/>
      <c r="H164" s="1245"/>
    </row>
    <row r="165" spans="1:8" ht="16.5">
      <c r="A165" s="1264" t="s">
        <v>1258</v>
      </c>
      <c r="B165" s="1264">
        <v>2</v>
      </c>
      <c r="C165" s="1264"/>
      <c r="D165" s="1264"/>
      <c r="E165" s="1264">
        <v>2</v>
      </c>
      <c r="F165" s="1264"/>
      <c r="G165" s="1245"/>
      <c r="H165" s="1245"/>
    </row>
    <row r="166" spans="1:8" ht="16.5">
      <c r="A166" s="1264" t="s">
        <v>1259</v>
      </c>
      <c r="B166" s="1264">
        <v>2</v>
      </c>
      <c r="C166" s="1264"/>
      <c r="D166" s="1264"/>
      <c r="E166" s="1264">
        <v>2</v>
      </c>
      <c r="F166" s="1264"/>
      <c r="G166" s="1245"/>
      <c r="H166" s="1245"/>
    </row>
    <row r="167" spans="1:8" ht="16.5">
      <c r="A167" s="1264" t="s">
        <v>1410</v>
      </c>
      <c r="B167" s="1264">
        <v>2</v>
      </c>
      <c r="C167" s="1264"/>
      <c r="D167" s="1264"/>
      <c r="E167" s="1264">
        <v>2</v>
      </c>
      <c r="F167" s="1264"/>
      <c r="G167" s="1245"/>
      <c r="H167" s="1245"/>
    </row>
    <row r="168" spans="1:8" ht="16.5">
      <c r="A168" s="1264" t="s">
        <v>1260</v>
      </c>
      <c r="B168" s="1264">
        <v>1</v>
      </c>
      <c r="C168" s="1264"/>
      <c r="D168" s="1264"/>
      <c r="E168" s="1264"/>
      <c r="F168" s="1264">
        <v>1</v>
      </c>
      <c r="G168" s="1245"/>
      <c r="H168" s="1245"/>
    </row>
    <row r="169" spans="1:8" ht="16.5">
      <c r="A169" s="1264" t="s">
        <v>1411</v>
      </c>
      <c r="B169" s="1264">
        <v>2</v>
      </c>
      <c r="C169" s="1264"/>
      <c r="D169" s="1264"/>
      <c r="E169" s="1264">
        <v>2</v>
      </c>
      <c r="F169" s="1264"/>
      <c r="G169" s="1245"/>
      <c r="H169" s="1245"/>
    </row>
    <row r="170" spans="1:8" ht="16.5">
      <c r="A170" s="1264" t="s">
        <v>1412</v>
      </c>
      <c r="B170" s="1264">
        <v>2</v>
      </c>
      <c r="C170" s="1264"/>
      <c r="D170" s="1264"/>
      <c r="E170" s="1264">
        <v>2</v>
      </c>
      <c r="F170" s="1264"/>
      <c r="G170" s="1245"/>
      <c r="H170" s="1245"/>
    </row>
    <row r="171" spans="1:8" ht="16.5">
      <c r="A171" s="1264" t="s">
        <v>1277</v>
      </c>
      <c r="B171" s="1264">
        <v>1</v>
      </c>
      <c r="C171" s="1264"/>
      <c r="D171" s="1264"/>
      <c r="E171" s="1264">
        <v>1</v>
      </c>
      <c r="F171" s="1264"/>
      <c r="G171" s="1245"/>
      <c r="H171" s="1245"/>
    </row>
    <row r="172" spans="1:8" ht="16.5">
      <c r="A172" s="1264" t="s">
        <v>1279</v>
      </c>
      <c r="B172" s="1264">
        <v>1</v>
      </c>
      <c r="C172" s="1264"/>
      <c r="D172" s="1264"/>
      <c r="E172" s="1264">
        <v>1</v>
      </c>
      <c r="F172" s="1264"/>
      <c r="G172" s="1245"/>
      <c r="H172" s="1245"/>
    </row>
    <row r="173" spans="1:8" ht="16.5">
      <c r="A173" s="1264" t="s">
        <v>1281</v>
      </c>
      <c r="B173" s="1264">
        <v>1</v>
      </c>
      <c r="C173" s="1264"/>
      <c r="D173" s="1264"/>
      <c r="E173" s="1264">
        <v>1</v>
      </c>
      <c r="F173" s="1264"/>
      <c r="G173" s="1245"/>
      <c r="H173" s="1245"/>
    </row>
    <row r="174" spans="1:8" ht="16.5">
      <c r="A174" s="1264" t="s">
        <v>1227</v>
      </c>
      <c r="B174" s="1264"/>
      <c r="C174" s="1264">
        <v>2</v>
      </c>
      <c r="D174" s="1264"/>
      <c r="E174" s="1264">
        <v>2</v>
      </c>
      <c r="F174" s="1264"/>
      <c r="G174" s="1245"/>
      <c r="H174" s="1245"/>
    </row>
    <row r="175" spans="1:8" ht="16.5">
      <c r="A175" s="1264" t="s">
        <v>1228</v>
      </c>
      <c r="B175" s="1264"/>
      <c r="C175" s="1264">
        <v>2</v>
      </c>
      <c r="D175" s="1264"/>
      <c r="E175" s="1264">
        <v>2</v>
      </c>
      <c r="F175" s="1264"/>
      <c r="G175" s="1245"/>
      <c r="H175" s="1245"/>
    </row>
    <row r="176" spans="1:8" ht="16.5">
      <c r="A176" s="1264" t="s">
        <v>1229</v>
      </c>
      <c r="B176" s="1264"/>
      <c r="C176" s="1264">
        <v>2</v>
      </c>
      <c r="D176" s="1264"/>
      <c r="E176" s="1264">
        <v>2</v>
      </c>
      <c r="F176" s="1264"/>
      <c r="G176" s="1245"/>
      <c r="H176" s="1245"/>
    </row>
    <row r="177" spans="1:9" ht="16.5">
      <c r="A177" s="1264" t="s">
        <v>1282</v>
      </c>
      <c r="B177" s="1264">
        <v>2</v>
      </c>
      <c r="C177" s="1264"/>
      <c r="D177" s="1264"/>
      <c r="E177" s="1264">
        <v>2</v>
      </c>
      <c r="F177" s="1264"/>
      <c r="G177" s="1245"/>
      <c r="H177" s="1245"/>
    </row>
    <row r="178" spans="1:9" ht="16.5">
      <c r="A178" s="1264" t="s">
        <v>1283</v>
      </c>
      <c r="B178" s="1264">
        <v>2</v>
      </c>
      <c r="C178" s="1264"/>
      <c r="D178" s="1264"/>
      <c r="E178" s="1264">
        <v>2</v>
      </c>
      <c r="F178" s="1264"/>
      <c r="G178" s="1245"/>
      <c r="H178" s="1245"/>
      <c r="I178" s="1245"/>
    </row>
    <row r="179" spans="1:9" ht="16.5">
      <c r="A179" s="1264" t="s">
        <v>1285</v>
      </c>
      <c r="B179" s="1264">
        <v>1</v>
      </c>
      <c r="C179" s="1264"/>
      <c r="D179" s="1264"/>
      <c r="E179" s="1264">
        <v>1</v>
      </c>
      <c r="F179" s="1264"/>
      <c r="G179" s="1245"/>
      <c r="H179" s="1245"/>
      <c r="I179" s="1245"/>
    </row>
    <row r="180" spans="1:9" ht="16.5">
      <c r="A180" s="1264" t="s">
        <v>535</v>
      </c>
      <c r="B180" s="1264">
        <v>2</v>
      </c>
      <c r="C180" s="1264"/>
      <c r="D180" s="1264"/>
      <c r="E180" s="1264">
        <v>2</v>
      </c>
      <c r="F180" s="1264"/>
      <c r="G180" s="1245"/>
      <c r="H180" s="1245"/>
      <c r="I180" s="1245"/>
    </row>
    <row r="181" spans="1:9" ht="16.5">
      <c r="A181" s="1264" t="s">
        <v>536</v>
      </c>
      <c r="B181" s="1264">
        <v>2</v>
      </c>
      <c r="C181" s="1264"/>
      <c r="D181" s="1264"/>
      <c r="E181" s="1264">
        <v>2</v>
      </c>
      <c r="F181" s="1264"/>
      <c r="G181" s="1245"/>
      <c r="H181" s="1245"/>
      <c r="I181" s="1245"/>
    </row>
    <row r="182" spans="1:9" ht="16.5">
      <c r="A182" s="1264" t="s">
        <v>426</v>
      </c>
      <c r="B182" s="1264">
        <v>2</v>
      </c>
      <c r="C182" s="1264"/>
      <c r="D182" s="1264"/>
      <c r="E182" s="1264">
        <v>2</v>
      </c>
      <c r="F182" s="1264"/>
      <c r="G182" s="1245"/>
      <c r="H182" s="1245"/>
      <c r="I182" s="1245"/>
    </row>
    <row r="183" spans="1:9" ht="16.5">
      <c r="A183" s="1264" t="s">
        <v>1385</v>
      </c>
      <c r="B183" s="1264"/>
      <c r="C183" s="1264">
        <v>3</v>
      </c>
      <c r="D183" s="1264"/>
      <c r="E183" s="1264">
        <v>2</v>
      </c>
      <c r="F183" s="1264">
        <v>1</v>
      </c>
      <c r="G183" s="1245"/>
      <c r="H183" s="1245"/>
      <c r="I183" s="1245"/>
    </row>
    <row r="184" spans="1:9" ht="16.5">
      <c r="A184" s="1264" t="s">
        <v>542</v>
      </c>
      <c r="B184" s="1264">
        <v>1</v>
      </c>
      <c r="C184" s="1264"/>
      <c r="D184" s="1264"/>
      <c r="E184" s="1264">
        <v>1</v>
      </c>
      <c r="F184" s="1264"/>
      <c r="G184" s="1245"/>
      <c r="H184" s="1245"/>
      <c r="I184" s="1245"/>
    </row>
    <row r="185" spans="1:9" ht="16.5">
      <c r="A185" s="1264" t="s">
        <v>1317</v>
      </c>
      <c r="B185" s="1264">
        <v>1</v>
      </c>
      <c r="C185" s="1264"/>
      <c r="D185" s="1264"/>
      <c r="E185" s="1264">
        <v>1</v>
      </c>
      <c r="F185" s="1264"/>
      <c r="G185" s="1245"/>
      <c r="H185" s="1245"/>
      <c r="I185" s="1245"/>
    </row>
    <row r="186" spans="1:9" ht="16.5">
      <c r="A186" s="1264" t="s">
        <v>1478</v>
      </c>
      <c r="B186" s="1264">
        <v>1</v>
      </c>
      <c r="C186" s="1264"/>
      <c r="D186" s="1264"/>
      <c r="E186" s="1264">
        <v>1</v>
      </c>
      <c r="F186" s="1264"/>
      <c r="G186" s="1245"/>
      <c r="H186" s="1245"/>
      <c r="I186" s="1245"/>
    </row>
    <row r="187" spans="1:9" ht="16.5">
      <c r="A187" s="1264" t="s">
        <v>1479</v>
      </c>
      <c r="B187" s="1264">
        <v>2</v>
      </c>
      <c r="C187" s="1264"/>
      <c r="D187" s="1264"/>
      <c r="E187" s="1264">
        <v>2</v>
      </c>
      <c r="F187" s="1264"/>
      <c r="G187" s="1245"/>
      <c r="H187" s="1245"/>
      <c r="I187" s="1245"/>
    </row>
    <row r="188" spans="1:9" ht="16.5">
      <c r="A188" s="1264" t="s">
        <v>1480</v>
      </c>
      <c r="B188" s="1264">
        <v>2</v>
      </c>
      <c r="C188" s="1264"/>
      <c r="D188" s="1264"/>
      <c r="E188" s="1264">
        <v>2</v>
      </c>
      <c r="F188" s="1264"/>
      <c r="G188" s="1245"/>
      <c r="H188" s="1245"/>
      <c r="I188" s="1245"/>
    </row>
    <row r="189" spans="1:9" ht="16.5">
      <c r="A189" s="1264" t="s">
        <v>1481</v>
      </c>
      <c r="B189" s="1264">
        <v>2</v>
      </c>
      <c r="C189" s="1264"/>
      <c r="D189" s="1264"/>
      <c r="E189" s="1264">
        <v>2</v>
      </c>
      <c r="F189" s="1264"/>
      <c r="G189" s="1245"/>
      <c r="H189" s="1245"/>
      <c r="I189" s="1245"/>
    </row>
    <row r="190" spans="1:9" ht="16.5">
      <c r="A190" s="1264" t="s">
        <v>1482</v>
      </c>
      <c r="B190" s="1264">
        <v>2</v>
      </c>
      <c r="C190" s="1264"/>
      <c r="D190" s="1264"/>
      <c r="E190" s="1264">
        <v>2</v>
      </c>
      <c r="F190" s="1264"/>
      <c r="G190" s="1245"/>
      <c r="H190" s="1245"/>
      <c r="I190" s="1245"/>
    </row>
    <row r="191" spans="1:9" ht="16.5">
      <c r="A191" s="1264" t="s">
        <v>1483</v>
      </c>
      <c r="B191" s="1264">
        <v>2</v>
      </c>
      <c r="C191" s="1264"/>
      <c r="D191" s="1264"/>
      <c r="E191" s="1264">
        <v>2</v>
      </c>
      <c r="F191" s="1264"/>
      <c r="G191" s="1245"/>
      <c r="H191" s="1245"/>
      <c r="I191" s="1245"/>
    </row>
    <row r="192" spans="1:9" ht="16.5">
      <c r="A192" s="1264" t="s">
        <v>1484</v>
      </c>
      <c r="B192" s="1264">
        <v>2</v>
      </c>
      <c r="C192" s="1264"/>
      <c r="D192" s="1264"/>
      <c r="E192" s="1264">
        <v>2</v>
      </c>
      <c r="F192" s="1264"/>
      <c r="G192" s="1245"/>
      <c r="H192" s="1245"/>
      <c r="I192" s="1245"/>
    </row>
    <row r="193" spans="1:9" ht="16.5">
      <c r="A193" s="1264" t="s">
        <v>1485</v>
      </c>
      <c r="B193" s="1264">
        <v>2</v>
      </c>
      <c r="C193" s="1264"/>
      <c r="D193" s="1264"/>
      <c r="E193" s="1264">
        <v>2</v>
      </c>
      <c r="F193" s="1245"/>
      <c r="G193" s="1245"/>
      <c r="H193" s="1245"/>
      <c r="I193" s="1245"/>
    </row>
    <row r="194" spans="1:9" ht="16.5">
      <c r="A194" s="1264" t="s">
        <v>1486</v>
      </c>
      <c r="B194" s="1264">
        <v>2</v>
      </c>
      <c r="C194" s="1264"/>
      <c r="D194" s="1264"/>
      <c r="E194" s="1264">
        <v>2</v>
      </c>
      <c r="F194" s="1245"/>
      <c r="G194" s="1245"/>
      <c r="H194" s="1245"/>
      <c r="I194" s="1245"/>
    </row>
    <row r="195" spans="1:9" ht="16.5">
      <c r="A195" s="1264" t="s">
        <v>1487</v>
      </c>
      <c r="B195" s="1264">
        <v>2</v>
      </c>
      <c r="C195" s="1264"/>
      <c r="D195" s="1264"/>
      <c r="E195" s="1264">
        <v>2</v>
      </c>
      <c r="F195" s="1245"/>
      <c r="G195" s="1245"/>
      <c r="H195" s="1245"/>
      <c r="I195" s="1245"/>
    </row>
    <row r="196" spans="1:9" ht="16.5">
      <c r="A196" s="1264" t="s">
        <v>1488</v>
      </c>
      <c r="B196" s="1264">
        <v>2</v>
      </c>
      <c r="C196" s="1264"/>
      <c r="D196" s="1264"/>
      <c r="E196" s="1264">
        <v>2</v>
      </c>
      <c r="F196" s="1245"/>
      <c r="G196" s="1245"/>
      <c r="H196" s="1245"/>
      <c r="I196" s="1245"/>
    </row>
    <row r="197" spans="1:9" ht="16.5">
      <c r="A197" s="1264" t="s">
        <v>1489</v>
      </c>
      <c r="B197" s="1264">
        <v>1</v>
      </c>
      <c r="C197" s="1264"/>
      <c r="D197" s="1264"/>
      <c r="E197" s="1264">
        <v>1</v>
      </c>
      <c r="F197" s="1245"/>
      <c r="G197" s="1245"/>
      <c r="H197" s="1245"/>
      <c r="I197" s="1245"/>
    </row>
    <row r="198" spans="1:9" ht="16.5">
      <c r="A198" s="1264" t="s">
        <v>1335</v>
      </c>
      <c r="B198" s="1264">
        <v>2</v>
      </c>
      <c r="C198" s="1264"/>
      <c r="D198" s="1264"/>
      <c r="E198" s="1264">
        <v>2</v>
      </c>
      <c r="F198" s="1245"/>
      <c r="G198" s="1245"/>
      <c r="H198" s="1245"/>
      <c r="I198" s="1245"/>
    </row>
    <row r="199" spans="1:9" ht="16.5">
      <c r="A199" s="1264" t="s">
        <v>1233</v>
      </c>
      <c r="B199" s="1264">
        <v>2</v>
      </c>
      <c r="C199" s="1264"/>
      <c r="D199" s="1264"/>
      <c r="E199" s="1264">
        <v>2</v>
      </c>
      <c r="F199" s="1245"/>
      <c r="G199" s="1245"/>
      <c r="H199" s="1245"/>
      <c r="I199" s="1245"/>
    </row>
    <row r="200" spans="1:9" ht="16.5">
      <c r="A200" s="1264" t="s">
        <v>1383</v>
      </c>
      <c r="B200" s="1264"/>
      <c r="C200" s="1264">
        <v>3</v>
      </c>
      <c r="D200" s="1264"/>
      <c r="E200" s="1264">
        <v>3</v>
      </c>
      <c r="F200" s="1245"/>
      <c r="G200" s="1245"/>
      <c r="H200" s="1245"/>
      <c r="I200" s="1245"/>
    </row>
    <row r="201" spans="1:9" ht="16.5">
      <c r="A201" s="1264" t="s">
        <v>1381</v>
      </c>
      <c r="B201" s="1264"/>
      <c r="C201" s="1264">
        <v>2</v>
      </c>
      <c r="D201" s="1264"/>
      <c r="E201" s="1264">
        <v>2</v>
      </c>
      <c r="F201" s="1245"/>
      <c r="G201" s="1245"/>
      <c r="H201" s="1245"/>
      <c r="I201" s="1245"/>
    </row>
    <row r="202" spans="1:9" ht="16.5">
      <c r="A202" s="1264" t="s">
        <v>1382</v>
      </c>
      <c r="B202" s="1264"/>
      <c r="C202" s="1264">
        <v>2</v>
      </c>
      <c r="D202" s="1264"/>
      <c r="E202" s="1264">
        <v>2</v>
      </c>
      <c r="F202" s="1245"/>
      <c r="G202" s="1245"/>
      <c r="H202" s="1245"/>
      <c r="I202" s="1245"/>
    </row>
    <row r="203" spans="1:9" ht="16.5">
      <c r="A203" s="1264" t="s">
        <v>1405</v>
      </c>
      <c r="B203" s="1264"/>
      <c r="C203" s="1264">
        <v>2</v>
      </c>
      <c r="D203" s="1264"/>
      <c r="E203" s="1264">
        <v>2</v>
      </c>
      <c r="F203" s="1245"/>
      <c r="G203" s="1245"/>
      <c r="H203" s="1245"/>
      <c r="I203" s="1245"/>
    </row>
    <row r="204" spans="1:9" ht="16.5">
      <c r="A204" s="1264" t="s">
        <v>1332</v>
      </c>
      <c r="B204" s="1264"/>
      <c r="C204" s="1264">
        <v>2</v>
      </c>
      <c r="D204" s="1264"/>
      <c r="E204" s="1264">
        <v>2</v>
      </c>
      <c r="F204" s="1245"/>
      <c r="G204" s="1245"/>
      <c r="H204" s="1245"/>
      <c r="I204" s="1245"/>
    </row>
    <row r="205" spans="1:9" ht="16.5">
      <c r="A205" s="1264" t="s">
        <v>1342</v>
      </c>
      <c r="B205" s="1264">
        <v>1</v>
      </c>
      <c r="C205" s="1264"/>
      <c r="D205" s="1264"/>
      <c r="E205" s="1264">
        <v>1</v>
      </c>
      <c r="F205" s="1245"/>
      <c r="G205" s="1245"/>
      <c r="H205" s="1245"/>
      <c r="I205" s="1245"/>
    </row>
    <row r="206" spans="1:9" ht="16.5">
      <c r="A206" s="1264" t="s">
        <v>1341</v>
      </c>
      <c r="B206" s="1264">
        <v>1</v>
      </c>
      <c r="C206" s="1264"/>
      <c r="D206" s="1264"/>
      <c r="E206" s="1264">
        <v>1</v>
      </c>
      <c r="F206" s="1245"/>
      <c r="G206" s="1245"/>
      <c r="H206" s="1245"/>
      <c r="I206" s="1245"/>
    </row>
    <row r="207" spans="1:9" ht="16.5">
      <c r="A207" s="1264" t="s">
        <v>1388</v>
      </c>
      <c r="B207" s="1264"/>
      <c r="C207" s="1264">
        <v>3</v>
      </c>
      <c r="D207" s="1264"/>
      <c r="E207" s="1264">
        <v>2</v>
      </c>
      <c r="F207" s="1245"/>
      <c r="G207" s="1245"/>
      <c r="H207" s="1245"/>
      <c r="I207" s="1245"/>
    </row>
    <row r="208" spans="1:9" ht="16.5">
      <c r="A208" s="1264" t="s">
        <v>1339</v>
      </c>
      <c r="B208" s="1264">
        <v>2</v>
      </c>
      <c r="C208" s="1264"/>
      <c r="D208" s="1264"/>
      <c r="E208" s="1264">
        <v>1</v>
      </c>
      <c r="F208" s="1245"/>
      <c r="G208" s="1245"/>
      <c r="H208" s="1245"/>
      <c r="I208" s="1245"/>
    </row>
    <row r="209" spans="1:9" ht="16.5">
      <c r="A209" s="1264" t="s">
        <v>1407</v>
      </c>
      <c r="B209" s="1264"/>
      <c r="C209" s="1264">
        <v>2</v>
      </c>
      <c r="D209" s="1264"/>
      <c r="E209" s="1264">
        <v>2</v>
      </c>
      <c r="F209" s="1264"/>
      <c r="G209" s="1245"/>
      <c r="H209" s="1245"/>
      <c r="I209" s="1245"/>
    </row>
    <row r="210" spans="1:9" ht="16.5">
      <c r="A210" s="1264" t="s">
        <v>1333</v>
      </c>
      <c r="B210" s="1264"/>
      <c r="C210" s="1264">
        <v>2</v>
      </c>
      <c r="D210" s="1264"/>
      <c r="E210" s="1264">
        <v>2</v>
      </c>
      <c r="F210" s="1264"/>
      <c r="G210" s="1245"/>
      <c r="H210" s="1245"/>
    </row>
    <row r="211" spans="1:9" ht="16.5">
      <c r="A211" s="1264" t="s">
        <v>1340</v>
      </c>
      <c r="B211" s="1264">
        <v>2</v>
      </c>
      <c r="C211" s="1264"/>
      <c r="D211" s="1264"/>
      <c r="E211" s="1264">
        <v>2</v>
      </c>
      <c r="F211" s="1264"/>
      <c r="G211" s="1245"/>
      <c r="H211" s="1245"/>
    </row>
    <row r="212" spans="1:9" ht="16.5">
      <c r="A212" s="1264" t="s">
        <v>1441</v>
      </c>
      <c r="B212" s="1264"/>
      <c r="C212" s="1264">
        <v>2</v>
      </c>
      <c r="D212" s="1264">
        <v>2</v>
      </c>
      <c r="E212" s="1264"/>
      <c r="F212" s="1264"/>
      <c r="G212" s="1245"/>
      <c r="H212" s="1245"/>
    </row>
    <row r="213" spans="1:9" ht="16.5">
      <c r="A213" s="1264" t="s">
        <v>1401</v>
      </c>
      <c r="B213" s="1264"/>
      <c r="C213" s="1264">
        <v>2</v>
      </c>
      <c r="D213" s="1264">
        <v>1</v>
      </c>
      <c r="E213" s="1264">
        <v>1</v>
      </c>
      <c r="F213" s="1264"/>
      <c r="G213" s="1245"/>
      <c r="H213" s="1245"/>
    </row>
    <row r="214" spans="1:9" ht="16.5">
      <c r="A214" s="1264" t="s">
        <v>1275</v>
      </c>
      <c r="B214" s="1264">
        <v>1</v>
      </c>
      <c r="C214" s="1264"/>
      <c r="D214" s="1264"/>
      <c r="E214" s="1264">
        <v>1</v>
      </c>
      <c r="F214" s="1264"/>
      <c r="G214" s="1245"/>
      <c r="H214" s="1245"/>
    </row>
    <row r="215" spans="1:9" ht="16.5">
      <c r="A215" s="1244"/>
      <c r="B215" s="1244"/>
      <c r="C215" s="1244"/>
      <c r="D215" s="1244"/>
      <c r="E215" s="1244"/>
      <c r="F215" s="1244"/>
      <c r="G215" s="1245"/>
      <c r="H215" s="1245"/>
    </row>
    <row r="216" spans="1:9" ht="16.5">
      <c r="A216" s="1244"/>
      <c r="B216" s="1244"/>
      <c r="C216" s="1244"/>
      <c r="D216" s="1244"/>
      <c r="E216" s="1244"/>
      <c r="F216" s="1244"/>
      <c r="G216" s="1245"/>
      <c r="H216" s="1245"/>
    </row>
    <row r="217" spans="1:9" ht="16.5">
      <c r="A217" s="1244"/>
      <c r="B217" s="1244"/>
      <c r="C217" s="1244"/>
      <c r="D217" s="1244"/>
      <c r="E217" s="1244"/>
      <c r="F217" s="1244"/>
      <c r="G217" s="1245"/>
      <c r="H217" s="1245"/>
    </row>
    <row r="218" spans="1:9" ht="16.5">
      <c r="A218" s="1244"/>
      <c r="B218" s="1244"/>
      <c r="C218" s="1244"/>
      <c r="D218" s="1244"/>
      <c r="E218" s="1244"/>
      <c r="F218" s="1244"/>
      <c r="G218" s="1245"/>
      <c r="H218" s="1245"/>
    </row>
    <row r="219" spans="1:9" ht="16.5">
      <c r="A219" s="1244"/>
      <c r="B219" s="1244"/>
      <c r="C219" s="1244"/>
      <c r="D219" s="1244"/>
      <c r="E219" s="1244"/>
      <c r="F219" s="1244"/>
      <c r="G219" s="1245"/>
      <c r="H219" s="1245"/>
    </row>
    <row r="220" spans="1:9" ht="16.5">
      <c r="A220" s="1244"/>
      <c r="B220" s="1244"/>
      <c r="C220" s="1244"/>
      <c r="D220" s="1244"/>
      <c r="E220" s="1244"/>
      <c r="F220" s="1244"/>
      <c r="G220" s="1245"/>
      <c r="H220" s="1245"/>
    </row>
    <row r="221" spans="1:9" ht="16.5">
      <c r="A221" s="1244"/>
      <c r="B221" s="1244"/>
      <c r="C221" s="1244"/>
      <c r="D221" s="1244"/>
      <c r="E221" s="1244"/>
      <c r="F221" s="1244"/>
      <c r="G221" s="1245"/>
      <c r="H221" s="1245"/>
    </row>
    <row r="222" spans="1:9" ht="16.5">
      <c r="A222" s="1244"/>
      <c r="B222" s="1244"/>
      <c r="C222" s="1244"/>
      <c r="D222" s="1244"/>
      <c r="E222" s="1244"/>
      <c r="F222" s="1244"/>
      <c r="G222" s="1245"/>
      <c r="H222" s="1245"/>
    </row>
    <row r="223" spans="1:9" ht="16.5">
      <c r="A223" s="1244"/>
      <c r="B223" s="1244"/>
      <c r="C223" s="1244"/>
      <c r="D223" s="1244"/>
      <c r="E223" s="1244"/>
      <c r="F223" s="1244"/>
      <c r="G223" s="1245"/>
      <c r="H223" s="1245"/>
    </row>
    <row r="224" spans="1:9" ht="16.5">
      <c r="A224" s="1244"/>
      <c r="B224" s="1244"/>
      <c r="C224" s="1244"/>
      <c r="D224" s="1244"/>
      <c r="E224" s="1244"/>
      <c r="F224" s="1244"/>
      <c r="G224" s="1245"/>
      <c r="H224" s="1245"/>
    </row>
    <row r="225" spans="1:8" ht="16.5">
      <c r="A225" s="1244"/>
      <c r="B225" s="1244"/>
      <c r="C225" s="1244"/>
      <c r="D225" s="1244"/>
      <c r="E225" s="1244"/>
      <c r="F225" s="1244"/>
      <c r="G225" s="1245"/>
      <c r="H225" s="1245"/>
    </row>
    <row r="226" spans="1:8" ht="16.5">
      <c r="A226" s="1244"/>
      <c r="B226" s="1244"/>
      <c r="C226" s="1244"/>
      <c r="D226" s="1244"/>
      <c r="E226" s="1244"/>
      <c r="F226" s="1244"/>
      <c r="G226" s="1245"/>
      <c r="H226" s="1245"/>
    </row>
    <row r="227" spans="1:8" ht="16.5">
      <c r="A227" s="1244"/>
      <c r="B227" s="1244"/>
      <c r="C227" s="1244"/>
      <c r="D227" s="1244"/>
      <c r="E227" s="1244"/>
      <c r="F227" s="1244"/>
      <c r="G227" s="1245"/>
      <c r="H227" s="1245"/>
    </row>
    <row r="228" spans="1:8" ht="16.5">
      <c r="A228" s="1244"/>
      <c r="B228" s="1244"/>
      <c r="C228" s="1244"/>
      <c r="D228" s="1244"/>
      <c r="E228" s="1244"/>
      <c r="F228" s="1244"/>
      <c r="G228" s="1245"/>
      <c r="H228" s="1245"/>
    </row>
    <row r="229" spans="1:8" ht="16.5">
      <c r="A229" s="1244"/>
      <c r="B229" s="1244"/>
      <c r="C229" s="1244"/>
      <c r="D229" s="1244"/>
      <c r="E229" s="1244"/>
      <c r="F229" s="1244"/>
      <c r="G229" s="1245"/>
      <c r="H229" s="1245"/>
    </row>
    <row r="230" spans="1:8" ht="16.5">
      <c r="A230" s="1244"/>
      <c r="B230" s="1244"/>
      <c r="C230" s="1244"/>
      <c r="D230" s="1244"/>
      <c r="E230" s="1244"/>
      <c r="F230" s="1244"/>
      <c r="G230" s="1245"/>
      <c r="H230" s="1245"/>
    </row>
    <row r="231" spans="1:8" ht="16.5">
      <c r="A231" s="1244"/>
      <c r="B231" s="1244"/>
      <c r="C231" s="1244"/>
      <c r="D231" s="1244"/>
      <c r="E231" s="1244"/>
      <c r="F231" s="1244"/>
      <c r="G231" s="1245"/>
      <c r="H231" s="1245"/>
    </row>
    <row r="232" spans="1:8" ht="16.5">
      <c r="A232" s="1244"/>
      <c r="B232" s="1244"/>
      <c r="C232" s="1244"/>
      <c r="D232" s="1244"/>
      <c r="E232" s="1244"/>
      <c r="F232" s="1244"/>
      <c r="G232" s="1245"/>
      <c r="H232" s="1245"/>
    </row>
    <row r="233" spans="1:8" ht="16.5">
      <c r="A233" s="1244"/>
      <c r="B233" s="1244"/>
      <c r="C233" s="1244"/>
      <c r="D233" s="1244"/>
      <c r="E233" s="1244"/>
      <c r="F233" s="1244"/>
      <c r="G233" s="1245"/>
      <c r="H233" s="1245"/>
    </row>
    <row r="234" spans="1:8" ht="16.5">
      <c r="A234" s="1244"/>
      <c r="B234" s="1244"/>
      <c r="C234" s="1244"/>
      <c r="D234" s="1244"/>
      <c r="E234" s="1244"/>
      <c r="F234" s="1244"/>
      <c r="G234" s="1245"/>
      <c r="H234" s="1245"/>
    </row>
    <row r="235" spans="1:8" ht="16.5">
      <c r="A235" s="1244"/>
      <c r="B235" s="1244"/>
      <c r="C235" s="1244"/>
      <c r="D235" s="1244"/>
      <c r="E235" s="1244"/>
      <c r="F235" s="1244"/>
      <c r="G235" s="1245"/>
      <c r="H235" s="1245"/>
    </row>
    <row r="236" spans="1:8" ht="16.5">
      <c r="A236" s="1244"/>
      <c r="B236" s="1244"/>
      <c r="C236" s="1244"/>
      <c r="D236" s="1244"/>
      <c r="E236" s="1244"/>
      <c r="F236" s="1244"/>
      <c r="G236" s="1245"/>
      <c r="H236" s="1245"/>
    </row>
    <row r="237" spans="1:8" ht="16.5">
      <c r="A237" s="1244"/>
      <c r="B237" s="1244"/>
      <c r="C237" s="1244"/>
      <c r="D237" s="1244"/>
      <c r="E237" s="1244"/>
      <c r="F237" s="1244"/>
      <c r="G237" s="1245"/>
      <c r="H237" s="1245"/>
    </row>
    <row r="238" spans="1:8" ht="16.5">
      <c r="A238" s="1244"/>
      <c r="B238" s="1244"/>
      <c r="C238" s="1244"/>
      <c r="D238" s="1244"/>
      <c r="E238" s="1244"/>
      <c r="F238" s="1244"/>
      <c r="G238" s="1245"/>
      <c r="H238" s="1245"/>
    </row>
    <row r="239" spans="1:8" ht="16.5">
      <c r="A239" s="1244"/>
      <c r="B239" s="1244"/>
      <c r="C239" s="1244"/>
      <c r="D239" s="1244"/>
      <c r="E239" s="1244"/>
      <c r="F239" s="1244"/>
      <c r="G239" s="1245"/>
      <c r="H239" s="1245"/>
    </row>
    <row r="240" spans="1:8" ht="16.5">
      <c r="A240" s="1244"/>
      <c r="B240" s="1244"/>
      <c r="C240" s="1244"/>
      <c r="D240" s="1244"/>
      <c r="E240" s="1244"/>
      <c r="F240" s="1244"/>
      <c r="G240" s="1245"/>
      <c r="H240" s="1245"/>
    </row>
    <row r="241" spans="1:8" ht="16.5">
      <c r="A241" s="1244"/>
      <c r="B241" s="1244"/>
      <c r="C241" s="1244"/>
      <c r="D241" s="1244"/>
      <c r="E241" s="1244"/>
      <c r="F241" s="1244"/>
      <c r="G241" s="1245"/>
      <c r="H241" s="1245"/>
    </row>
  </sheetData>
  <mergeCells count="4">
    <mergeCell ref="G1:R1"/>
    <mergeCell ref="D1:F1"/>
    <mergeCell ref="A1:A2"/>
    <mergeCell ref="B1:C1"/>
  </mergeCells>
  <phoneticPr fontId="13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7">
    <tabColor rgb="FFFF0000"/>
  </sheetPr>
  <dimension ref="A1:F23"/>
  <sheetViews>
    <sheetView workbookViewId="0">
      <selection sqref="A1:F1"/>
    </sheetView>
  </sheetViews>
  <sheetFormatPr defaultColWidth="9" defaultRowHeight="11.25"/>
  <cols>
    <col min="1" max="4" width="11.77734375" style="26" customWidth="1"/>
    <col min="5" max="5" width="14.77734375" style="26" customWidth="1"/>
    <col min="6" max="6" width="11.77734375" style="26" customWidth="1"/>
    <col min="7" max="247" width="9" style="26"/>
    <col min="248" max="250" width="7.77734375" style="26" customWidth="1"/>
    <col min="251" max="251" width="6.77734375" style="26" customWidth="1"/>
    <col min="252" max="255" width="7.77734375" style="26" customWidth="1"/>
    <col min="256" max="256" width="8.33203125" style="26" customWidth="1"/>
    <col min="257" max="257" width="9" style="26" customWidth="1"/>
    <col min="258" max="259" width="8.33203125" style="26" customWidth="1"/>
    <col min="260" max="260" width="5.77734375" style="26" customWidth="1"/>
    <col min="261" max="261" width="6.77734375" style="26" customWidth="1"/>
    <col min="262" max="262" width="4.77734375" style="26" customWidth="1"/>
    <col min="263" max="503" width="9" style="26"/>
    <col min="504" max="506" width="7.77734375" style="26" customWidth="1"/>
    <col min="507" max="507" width="6.77734375" style="26" customWidth="1"/>
    <col min="508" max="511" width="7.77734375" style="26" customWidth="1"/>
    <col min="512" max="512" width="8.33203125" style="26" customWidth="1"/>
    <col min="513" max="513" width="9" style="26" customWidth="1"/>
    <col min="514" max="515" width="8.33203125" style="26" customWidth="1"/>
    <col min="516" max="516" width="5.77734375" style="26" customWidth="1"/>
    <col min="517" max="517" width="6.77734375" style="26" customWidth="1"/>
    <col min="518" max="518" width="4.77734375" style="26" customWidth="1"/>
    <col min="519" max="759" width="9" style="26"/>
    <col min="760" max="762" width="7.77734375" style="26" customWidth="1"/>
    <col min="763" max="763" width="6.77734375" style="26" customWidth="1"/>
    <col min="764" max="767" width="7.77734375" style="26" customWidth="1"/>
    <col min="768" max="768" width="8.33203125" style="26" customWidth="1"/>
    <col min="769" max="769" width="9" style="26" customWidth="1"/>
    <col min="770" max="771" width="8.33203125" style="26" customWidth="1"/>
    <col min="772" max="772" width="5.77734375" style="26" customWidth="1"/>
    <col min="773" max="773" width="6.77734375" style="26" customWidth="1"/>
    <col min="774" max="774" width="4.77734375" style="26" customWidth="1"/>
    <col min="775" max="1015" width="9" style="26"/>
    <col min="1016" max="1018" width="7.77734375" style="26" customWidth="1"/>
    <col min="1019" max="1019" width="6.77734375" style="26" customWidth="1"/>
    <col min="1020" max="1023" width="7.77734375" style="26" customWidth="1"/>
    <col min="1024" max="1024" width="8.33203125" style="26" customWidth="1"/>
    <col min="1025" max="1025" width="9" style="26" customWidth="1"/>
    <col min="1026" max="1027" width="8.33203125" style="26" customWidth="1"/>
    <col min="1028" max="1028" width="5.77734375" style="26" customWidth="1"/>
    <col min="1029" max="1029" width="6.77734375" style="26" customWidth="1"/>
    <col min="1030" max="1030" width="4.77734375" style="26" customWidth="1"/>
    <col min="1031" max="1271" width="9" style="26"/>
    <col min="1272" max="1274" width="7.77734375" style="26" customWidth="1"/>
    <col min="1275" max="1275" width="6.77734375" style="26" customWidth="1"/>
    <col min="1276" max="1279" width="7.77734375" style="26" customWidth="1"/>
    <col min="1280" max="1280" width="8.33203125" style="26" customWidth="1"/>
    <col min="1281" max="1281" width="9" style="26" customWidth="1"/>
    <col min="1282" max="1283" width="8.33203125" style="26" customWidth="1"/>
    <col min="1284" max="1284" width="5.77734375" style="26" customWidth="1"/>
    <col min="1285" max="1285" width="6.77734375" style="26" customWidth="1"/>
    <col min="1286" max="1286" width="4.77734375" style="26" customWidth="1"/>
    <col min="1287" max="1527" width="9" style="26"/>
    <col min="1528" max="1530" width="7.77734375" style="26" customWidth="1"/>
    <col min="1531" max="1531" width="6.77734375" style="26" customWidth="1"/>
    <col min="1532" max="1535" width="7.77734375" style="26" customWidth="1"/>
    <col min="1536" max="1536" width="8.33203125" style="26" customWidth="1"/>
    <col min="1537" max="1537" width="9" style="26" customWidth="1"/>
    <col min="1538" max="1539" width="8.33203125" style="26" customWidth="1"/>
    <col min="1540" max="1540" width="5.77734375" style="26" customWidth="1"/>
    <col min="1541" max="1541" width="6.77734375" style="26" customWidth="1"/>
    <col min="1542" max="1542" width="4.77734375" style="26" customWidth="1"/>
    <col min="1543" max="1783" width="9" style="26"/>
    <col min="1784" max="1786" width="7.77734375" style="26" customWidth="1"/>
    <col min="1787" max="1787" width="6.77734375" style="26" customWidth="1"/>
    <col min="1788" max="1791" width="7.77734375" style="26" customWidth="1"/>
    <col min="1792" max="1792" width="8.33203125" style="26" customWidth="1"/>
    <col min="1793" max="1793" width="9" style="26" customWidth="1"/>
    <col min="1794" max="1795" width="8.33203125" style="26" customWidth="1"/>
    <col min="1796" max="1796" width="5.77734375" style="26" customWidth="1"/>
    <col min="1797" max="1797" width="6.77734375" style="26" customWidth="1"/>
    <col min="1798" max="1798" width="4.77734375" style="26" customWidth="1"/>
    <col min="1799" max="2039" width="9" style="26"/>
    <col min="2040" max="2042" width="7.77734375" style="26" customWidth="1"/>
    <col min="2043" max="2043" width="6.77734375" style="26" customWidth="1"/>
    <col min="2044" max="2047" width="7.77734375" style="26" customWidth="1"/>
    <col min="2048" max="2048" width="8.33203125" style="26" customWidth="1"/>
    <col min="2049" max="2049" width="9" style="26" customWidth="1"/>
    <col min="2050" max="2051" width="8.33203125" style="26" customWidth="1"/>
    <col min="2052" max="2052" width="5.77734375" style="26" customWidth="1"/>
    <col min="2053" max="2053" width="6.77734375" style="26" customWidth="1"/>
    <col min="2054" max="2054" width="4.77734375" style="26" customWidth="1"/>
    <col min="2055" max="2295" width="9" style="26"/>
    <col min="2296" max="2298" width="7.77734375" style="26" customWidth="1"/>
    <col min="2299" max="2299" width="6.77734375" style="26" customWidth="1"/>
    <col min="2300" max="2303" width="7.77734375" style="26" customWidth="1"/>
    <col min="2304" max="2304" width="8.33203125" style="26" customWidth="1"/>
    <col min="2305" max="2305" width="9" style="26" customWidth="1"/>
    <col min="2306" max="2307" width="8.33203125" style="26" customWidth="1"/>
    <col min="2308" max="2308" width="5.77734375" style="26" customWidth="1"/>
    <col min="2309" max="2309" width="6.77734375" style="26" customWidth="1"/>
    <col min="2310" max="2310" width="4.77734375" style="26" customWidth="1"/>
    <col min="2311" max="2551" width="9" style="26"/>
    <col min="2552" max="2554" width="7.77734375" style="26" customWidth="1"/>
    <col min="2555" max="2555" width="6.77734375" style="26" customWidth="1"/>
    <col min="2556" max="2559" width="7.77734375" style="26" customWidth="1"/>
    <col min="2560" max="2560" width="8.33203125" style="26" customWidth="1"/>
    <col min="2561" max="2561" width="9" style="26" customWidth="1"/>
    <col min="2562" max="2563" width="8.33203125" style="26" customWidth="1"/>
    <col min="2564" max="2564" width="5.77734375" style="26" customWidth="1"/>
    <col min="2565" max="2565" width="6.77734375" style="26" customWidth="1"/>
    <col min="2566" max="2566" width="4.77734375" style="26" customWidth="1"/>
    <col min="2567" max="2807" width="9" style="26"/>
    <col min="2808" max="2810" width="7.77734375" style="26" customWidth="1"/>
    <col min="2811" max="2811" width="6.77734375" style="26" customWidth="1"/>
    <col min="2812" max="2815" width="7.77734375" style="26" customWidth="1"/>
    <col min="2816" max="2816" width="8.33203125" style="26" customWidth="1"/>
    <col min="2817" max="2817" width="9" style="26" customWidth="1"/>
    <col min="2818" max="2819" width="8.33203125" style="26" customWidth="1"/>
    <col min="2820" max="2820" width="5.77734375" style="26" customWidth="1"/>
    <col min="2821" max="2821" width="6.77734375" style="26" customWidth="1"/>
    <col min="2822" max="2822" width="4.77734375" style="26" customWidth="1"/>
    <col min="2823" max="3063" width="9" style="26"/>
    <col min="3064" max="3066" width="7.77734375" style="26" customWidth="1"/>
    <col min="3067" max="3067" width="6.77734375" style="26" customWidth="1"/>
    <col min="3068" max="3071" width="7.77734375" style="26" customWidth="1"/>
    <col min="3072" max="3072" width="8.33203125" style="26" customWidth="1"/>
    <col min="3073" max="3073" width="9" style="26" customWidth="1"/>
    <col min="3074" max="3075" width="8.33203125" style="26" customWidth="1"/>
    <col min="3076" max="3076" width="5.77734375" style="26" customWidth="1"/>
    <col min="3077" max="3077" width="6.77734375" style="26" customWidth="1"/>
    <col min="3078" max="3078" width="4.77734375" style="26" customWidth="1"/>
    <col min="3079" max="3319" width="9" style="26"/>
    <col min="3320" max="3322" width="7.77734375" style="26" customWidth="1"/>
    <col min="3323" max="3323" width="6.77734375" style="26" customWidth="1"/>
    <col min="3324" max="3327" width="7.77734375" style="26" customWidth="1"/>
    <col min="3328" max="3328" width="8.33203125" style="26" customWidth="1"/>
    <col min="3329" max="3329" width="9" style="26" customWidth="1"/>
    <col min="3330" max="3331" width="8.33203125" style="26" customWidth="1"/>
    <col min="3332" max="3332" width="5.77734375" style="26" customWidth="1"/>
    <col min="3333" max="3333" width="6.77734375" style="26" customWidth="1"/>
    <col min="3334" max="3334" width="4.77734375" style="26" customWidth="1"/>
    <col min="3335" max="3575" width="9" style="26"/>
    <col min="3576" max="3578" width="7.77734375" style="26" customWidth="1"/>
    <col min="3579" max="3579" width="6.77734375" style="26" customWidth="1"/>
    <col min="3580" max="3583" width="7.77734375" style="26" customWidth="1"/>
    <col min="3584" max="3584" width="8.33203125" style="26" customWidth="1"/>
    <col min="3585" max="3585" width="9" style="26" customWidth="1"/>
    <col min="3586" max="3587" width="8.33203125" style="26" customWidth="1"/>
    <col min="3588" max="3588" width="5.77734375" style="26" customWidth="1"/>
    <col min="3589" max="3589" width="6.77734375" style="26" customWidth="1"/>
    <col min="3590" max="3590" width="4.77734375" style="26" customWidth="1"/>
    <col min="3591" max="3831" width="9" style="26"/>
    <col min="3832" max="3834" width="7.77734375" style="26" customWidth="1"/>
    <col min="3835" max="3835" width="6.77734375" style="26" customWidth="1"/>
    <col min="3836" max="3839" width="7.77734375" style="26" customWidth="1"/>
    <col min="3840" max="3840" width="8.33203125" style="26" customWidth="1"/>
    <col min="3841" max="3841" width="9" style="26" customWidth="1"/>
    <col min="3842" max="3843" width="8.33203125" style="26" customWidth="1"/>
    <col min="3844" max="3844" width="5.77734375" style="26" customWidth="1"/>
    <col min="3845" max="3845" width="6.77734375" style="26" customWidth="1"/>
    <col min="3846" max="3846" width="4.77734375" style="26" customWidth="1"/>
    <col min="3847" max="4087" width="9" style="26"/>
    <col min="4088" max="4090" width="7.77734375" style="26" customWidth="1"/>
    <col min="4091" max="4091" width="6.77734375" style="26" customWidth="1"/>
    <col min="4092" max="4095" width="7.77734375" style="26" customWidth="1"/>
    <col min="4096" max="4096" width="8.33203125" style="26" customWidth="1"/>
    <col min="4097" max="4097" width="9" style="26" customWidth="1"/>
    <col min="4098" max="4099" width="8.33203125" style="26" customWidth="1"/>
    <col min="4100" max="4100" width="5.77734375" style="26" customWidth="1"/>
    <col min="4101" max="4101" width="6.77734375" style="26" customWidth="1"/>
    <col min="4102" max="4102" width="4.77734375" style="26" customWidth="1"/>
    <col min="4103" max="4343" width="9" style="26"/>
    <col min="4344" max="4346" width="7.77734375" style="26" customWidth="1"/>
    <col min="4347" max="4347" width="6.77734375" style="26" customWidth="1"/>
    <col min="4348" max="4351" width="7.77734375" style="26" customWidth="1"/>
    <col min="4352" max="4352" width="8.33203125" style="26" customWidth="1"/>
    <col min="4353" max="4353" width="9" style="26" customWidth="1"/>
    <col min="4354" max="4355" width="8.33203125" style="26" customWidth="1"/>
    <col min="4356" max="4356" width="5.77734375" style="26" customWidth="1"/>
    <col min="4357" max="4357" width="6.77734375" style="26" customWidth="1"/>
    <col min="4358" max="4358" width="4.77734375" style="26" customWidth="1"/>
    <col min="4359" max="4599" width="9" style="26"/>
    <col min="4600" max="4602" width="7.77734375" style="26" customWidth="1"/>
    <col min="4603" max="4603" width="6.77734375" style="26" customWidth="1"/>
    <col min="4604" max="4607" width="7.77734375" style="26" customWidth="1"/>
    <col min="4608" max="4608" width="8.33203125" style="26" customWidth="1"/>
    <col min="4609" max="4609" width="9" style="26" customWidth="1"/>
    <col min="4610" max="4611" width="8.33203125" style="26" customWidth="1"/>
    <col min="4612" max="4612" width="5.77734375" style="26" customWidth="1"/>
    <col min="4613" max="4613" width="6.77734375" style="26" customWidth="1"/>
    <col min="4614" max="4614" width="4.77734375" style="26" customWidth="1"/>
    <col min="4615" max="4855" width="9" style="26"/>
    <col min="4856" max="4858" width="7.77734375" style="26" customWidth="1"/>
    <col min="4859" max="4859" width="6.77734375" style="26" customWidth="1"/>
    <col min="4860" max="4863" width="7.77734375" style="26" customWidth="1"/>
    <col min="4864" max="4864" width="8.33203125" style="26" customWidth="1"/>
    <col min="4865" max="4865" width="9" style="26" customWidth="1"/>
    <col min="4866" max="4867" width="8.33203125" style="26" customWidth="1"/>
    <col min="4868" max="4868" width="5.77734375" style="26" customWidth="1"/>
    <col min="4869" max="4869" width="6.77734375" style="26" customWidth="1"/>
    <col min="4870" max="4870" width="4.77734375" style="26" customWidth="1"/>
    <col min="4871" max="5111" width="9" style="26"/>
    <col min="5112" max="5114" width="7.77734375" style="26" customWidth="1"/>
    <col min="5115" max="5115" width="6.77734375" style="26" customWidth="1"/>
    <col min="5116" max="5119" width="7.77734375" style="26" customWidth="1"/>
    <col min="5120" max="5120" width="8.33203125" style="26" customWidth="1"/>
    <col min="5121" max="5121" width="9" style="26" customWidth="1"/>
    <col min="5122" max="5123" width="8.33203125" style="26" customWidth="1"/>
    <col min="5124" max="5124" width="5.77734375" style="26" customWidth="1"/>
    <col min="5125" max="5125" width="6.77734375" style="26" customWidth="1"/>
    <col min="5126" max="5126" width="4.77734375" style="26" customWidth="1"/>
    <col min="5127" max="5367" width="9" style="26"/>
    <col min="5368" max="5370" width="7.77734375" style="26" customWidth="1"/>
    <col min="5371" max="5371" width="6.77734375" style="26" customWidth="1"/>
    <col min="5372" max="5375" width="7.77734375" style="26" customWidth="1"/>
    <col min="5376" max="5376" width="8.33203125" style="26" customWidth="1"/>
    <col min="5377" max="5377" width="9" style="26" customWidth="1"/>
    <col min="5378" max="5379" width="8.33203125" style="26" customWidth="1"/>
    <col min="5380" max="5380" width="5.77734375" style="26" customWidth="1"/>
    <col min="5381" max="5381" width="6.77734375" style="26" customWidth="1"/>
    <col min="5382" max="5382" width="4.77734375" style="26" customWidth="1"/>
    <col min="5383" max="5623" width="9" style="26"/>
    <col min="5624" max="5626" width="7.77734375" style="26" customWidth="1"/>
    <col min="5627" max="5627" width="6.77734375" style="26" customWidth="1"/>
    <col min="5628" max="5631" width="7.77734375" style="26" customWidth="1"/>
    <col min="5632" max="5632" width="8.33203125" style="26" customWidth="1"/>
    <col min="5633" max="5633" width="9" style="26" customWidth="1"/>
    <col min="5634" max="5635" width="8.33203125" style="26" customWidth="1"/>
    <col min="5636" max="5636" width="5.77734375" style="26" customWidth="1"/>
    <col min="5637" max="5637" width="6.77734375" style="26" customWidth="1"/>
    <col min="5638" max="5638" width="4.77734375" style="26" customWidth="1"/>
    <col min="5639" max="5879" width="9" style="26"/>
    <col min="5880" max="5882" width="7.77734375" style="26" customWidth="1"/>
    <col min="5883" max="5883" width="6.77734375" style="26" customWidth="1"/>
    <col min="5884" max="5887" width="7.77734375" style="26" customWidth="1"/>
    <col min="5888" max="5888" width="8.33203125" style="26" customWidth="1"/>
    <col min="5889" max="5889" width="9" style="26" customWidth="1"/>
    <col min="5890" max="5891" width="8.33203125" style="26" customWidth="1"/>
    <col min="5892" max="5892" width="5.77734375" style="26" customWidth="1"/>
    <col min="5893" max="5893" width="6.77734375" style="26" customWidth="1"/>
    <col min="5894" max="5894" width="4.77734375" style="26" customWidth="1"/>
    <col min="5895" max="6135" width="9" style="26"/>
    <col min="6136" max="6138" width="7.77734375" style="26" customWidth="1"/>
    <col min="6139" max="6139" width="6.77734375" style="26" customWidth="1"/>
    <col min="6140" max="6143" width="7.77734375" style="26" customWidth="1"/>
    <col min="6144" max="6144" width="8.33203125" style="26" customWidth="1"/>
    <col min="6145" max="6145" width="9" style="26" customWidth="1"/>
    <col min="6146" max="6147" width="8.33203125" style="26" customWidth="1"/>
    <col min="6148" max="6148" width="5.77734375" style="26" customWidth="1"/>
    <col min="6149" max="6149" width="6.77734375" style="26" customWidth="1"/>
    <col min="6150" max="6150" width="4.77734375" style="26" customWidth="1"/>
    <col min="6151" max="6391" width="9" style="26"/>
    <col min="6392" max="6394" width="7.77734375" style="26" customWidth="1"/>
    <col min="6395" max="6395" width="6.77734375" style="26" customWidth="1"/>
    <col min="6396" max="6399" width="7.77734375" style="26" customWidth="1"/>
    <col min="6400" max="6400" width="8.33203125" style="26" customWidth="1"/>
    <col min="6401" max="6401" width="9" style="26" customWidth="1"/>
    <col min="6402" max="6403" width="8.33203125" style="26" customWidth="1"/>
    <col min="6404" max="6404" width="5.77734375" style="26" customWidth="1"/>
    <col min="6405" max="6405" width="6.77734375" style="26" customWidth="1"/>
    <col min="6406" max="6406" width="4.77734375" style="26" customWidth="1"/>
    <col min="6407" max="6647" width="9" style="26"/>
    <col min="6648" max="6650" width="7.77734375" style="26" customWidth="1"/>
    <col min="6651" max="6651" width="6.77734375" style="26" customWidth="1"/>
    <col min="6652" max="6655" width="7.77734375" style="26" customWidth="1"/>
    <col min="6656" max="6656" width="8.33203125" style="26" customWidth="1"/>
    <col min="6657" max="6657" width="9" style="26" customWidth="1"/>
    <col min="6658" max="6659" width="8.33203125" style="26" customWidth="1"/>
    <col min="6660" max="6660" width="5.77734375" style="26" customWidth="1"/>
    <col min="6661" max="6661" width="6.77734375" style="26" customWidth="1"/>
    <col min="6662" max="6662" width="4.77734375" style="26" customWidth="1"/>
    <col min="6663" max="6903" width="9" style="26"/>
    <col min="6904" max="6906" width="7.77734375" style="26" customWidth="1"/>
    <col min="6907" max="6907" width="6.77734375" style="26" customWidth="1"/>
    <col min="6908" max="6911" width="7.77734375" style="26" customWidth="1"/>
    <col min="6912" max="6912" width="8.33203125" style="26" customWidth="1"/>
    <col min="6913" max="6913" width="9" style="26" customWidth="1"/>
    <col min="6914" max="6915" width="8.33203125" style="26" customWidth="1"/>
    <col min="6916" max="6916" width="5.77734375" style="26" customWidth="1"/>
    <col min="6917" max="6917" width="6.77734375" style="26" customWidth="1"/>
    <col min="6918" max="6918" width="4.77734375" style="26" customWidth="1"/>
    <col min="6919" max="7159" width="9" style="26"/>
    <col min="7160" max="7162" width="7.77734375" style="26" customWidth="1"/>
    <col min="7163" max="7163" width="6.77734375" style="26" customWidth="1"/>
    <col min="7164" max="7167" width="7.77734375" style="26" customWidth="1"/>
    <col min="7168" max="7168" width="8.33203125" style="26" customWidth="1"/>
    <col min="7169" max="7169" width="9" style="26" customWidth="1"/>
    <col min="7170" max="7171" width="8.33203125" style="26" customWidth="1"/>
    <col min="7172" max="7172" width="5.77734375" style="26" customWidth="1"/>
    <col min="7173" max="7173" width="6.77734375" style="26" customWidth="1"/>
    <col min="7174" max="7174" width="4.77734375" style="26" customWidth="1"/>
    <col min="7175" max="7415" width="9" style="26"/>
    <col min="7416" max="7418" width="7.77734375" style="26" customWidth="1"/>
    <col min="7419" max="7419" width="6.77734375" style="26" customWidth="1"/>
    <col min="7420" max="7423" width="7.77734375" style="26" customWidth="1"/>
    <col min="7424" max="7424" width="8.33203125" style="26" customWidth="1"/>
    <col min="7425" max="7425" width="9" style="26" customWidth="1"/>
    <col min="7426" max="7427" width="8.33203125" style="26" customWidth="1"/>
    <col min="7428" max="7428" width="5.77734375" style="26" customWidth="1"/>
    <col min="7429" max="7429" width="6.77734375" style="26" customWidth="1"/>
    <col min="7430" max="7430" width="4.77734375" style="26" customWidth="1"/>
    <col min="7431" max="7671" width="9" style="26"/>
    <col min="7672" max="7674" width="7.77734375" style="26" customWidth="1"/>
    <col min="7675" max="7675" width="6.77734375" style="26" customWidth="1"/>
    <col min="7676" max="7679" width="7.77734375" style="26" customWidth="1"/>
    <col min="7680" max="7680" width="8.33203125" style="26" customWidth="1"/>
    <col min="7681" max="7681" width="9" style="26" customWidth="1"/>
    <col min="7682" max="7683" width="8.33203125" style="26" customWidth="1"/>
    <col min="7684" max="7684" width="5.77734375" style="26" customWidth="1"/>
    <col min="7685" max="7685" width="6.77734375" style="26" customWidth="1"/>
    <col min="7686" max="7686" width="4.77734375" style="26" customWidth="1"/>
    <col min="7687" max="7927" width="9" style="26"/>
    <col min="7928" max="7930" width="7.77734375" style="26" customWidth="1"/>
    <col min="7931" max="7931" width="6.77734375" style="26" customWidth="1"/>
    <col min="7932" max="7935" width="7.77734375" style="26" customWidth="1"/>
    <col min="7936" max="7936" width="8.33203125" style="26" customWidth="1"/>
    <col min="7937" max="7937" width="9" style="26" customWidth="1"/>
    <col min="7938" max="7939" width="8.33203125" style="26" customWidth="1"/>
    <col min="7940" max="7940" width="5.77734375" style="26" customWidth="1"/>
    <col min="7941" max="7941" width="6.77734375" style="26" customWidth="1"/>
    <col min="7942" max="7942" width="4.77734375" style="26" customWidth="1"/>
    <col min="7943" max="8183" width="9" style="26"/>
    <col min="8184" max="8186" width="7.77734375" style="26" customWidth="1"/>
    <col min="8187" max="8187" width="6.77734375" style="26" customWidth="1"/>
    <col min="8188" max="8191" width="7.77734375" style="26" customWidth="1"/>
    <col min="8192" max="8192" width="8.33203125" style="26" customWidth="1"/>
    <col min="8193" max="8193" width="9" style="26" customWidth="1"/>
    <col min="8194" max="8195" width="8.33203125" style="26" customWidth="1"/>
    <col min="8196" max="8196" width="5.77734375" style="26" customWidth="1"/>
    <col min="8197" max="8197" width="6.77734375" style="26" customWidth="1"/>
    <col min="8198" max="8198" width="4.77734375" style="26" customWidth="1"/>
    <col min="8199" max="8439" width="9" style="26"/>
    <col min="8440" max="8442" width="7.77734375" style="26" customWidth="1"/>
    <col min="8443" max="8443" width="6.77734375" style="26" customWidth="1"/>
    <col min="8444" max="8447" width="7.77734375" style="26" customWidth="1"/>
    <col min="8448" max="8448" width="8.33203125" style="26" customWidth="1"/>
    <col min="8449" max="8449" width="9" style="26" customWidth="1"/>
    <col min="8450" max="8451" width="8.33203125" style="26" customWidth="1"/>
    <col min="8452" max="8452" width="5.77734375" style="26" customWidth="1"/>
    <col min="8453" max="8453" width="6.77734375" style="26" customWidth="1"/>
    <col min="8454" max="8454" width="4.77734375" style="26" customWidth="1"/>
    <col min="8455" max="8695" width="9" style="26"/>
    <col min="8696" max="8698" width="7.77734375" style="26" customWidth="1"/>
    <col min="8699" max="8699" width="6.77734375" style="26" customWidth="1"/>
    <col min="8700" max="8703" width="7.77734375" style="26" customWidth="1"/>
    <col min="8704" max="8704" width="8.33203125" style="26" customWidth="1"/>
    <col min="8705" max="8705" width="9" style="26" customWidth="1"/>
    <col min="8706" max="8707" width="8.33203125" style="26" customWidth="1"/>
    <col min="8708" max="8708" width="5.77734375" style="26" customWidth="1"/>
    <col min="8709" max="8709" width="6.77734375" style="26" customWidth="1"/>
    <col min="8710" max="8710" width="4.77734375" style="26" customWidth="1"/>
    <col min="8711" max="8951" width="9" style="26"/>
    <col min="8952" max="8954" width="7.77734375" style="26" customWidth="1"/>
    <col min="8955" max="8955" width="6.77734375" style="26" customWidth="1"/>
    <col min="8956" max="8959" width="7.77734375" style="26" customWidth="1"/>
    <col min="8960" max="8960" width="8.33203125" style="26" customWidth="1"/>
    <col min="8961" max="8961" width="9" style="26" customWidth="1"/>
    <col min="8962" max="8963" width="8.33203125" style="26" customWidth="1"/>
    <col min="8964" max="8964" width="5.77734375" style="26" customWidth="1"/>
    <col min="8965" max="8965" width="6.77734375" style="26" customWidth="1"/>
    <col min="8966" max="8966" width="4.77734375" style="26" customWidth="1"/>
    <col min="8967" max="9207" width="9" style="26"/>
    <col min="9208" max="9210" width="7.77734375" style="26" customWidth="1"/>
    <col min="9211" max="9211" width="6.77734375" style="26" customWidth="1"/>
    <col min="9212" max="9215" width="7.77734375" style="26" customWidth="1"/>
    <col min="9216" max="9216" width="8.33203125" style="26" customWidth="1"/>
    <col min="9217" max="9217" width="9" style="26" customWidth="1"/>
    <col min="9218" max="9219" width="8.33203125" style="26" customWidth="1"/>
    <col min="9220" max="9220" width="5.77734375" style="26" customWidth="1"/>
    <col min="9221" max="9221" width="6.77734375" style="26" customWidth="1"/>
    <col min="9222" max="9222" width="4.77734375" style="26" customWidth="1"/>
    <col min="9223" max="9463" width="9" style="26"/>
    <col min="9464" max="9466" width="7.77734375" style="26" customWidth="1"/>
    <col min="9467" max="9467" width="6.77734375" style="26" customWidth="1"/>
    <col min="9468" max="9471" width="7.77734375" style="26" customWidth="1"/>
    <col min="9472" max="9472" width="8.33203125" style="26" customWidth="1"/>
    <col min="9473" max="9473" width="9" style="26" customWidth="1"/>
    <col min="9474" max="9475" width="8.33203125" style="26" customWidth="1"/>
    <col min="9476" max="9476" width="5.77734375" style="26" customWidth="1"/>
    <col min="9477" max="9477" width="6.77734375" style="26" customWidth="1"/>
    <col min="9478" max="9478" width="4.77734375" style="26" customWidth="1"/>
    <col min="9479" max="9719" width="9" style="26"/>
    <col min="9720" max="9722" width="7.77734375" style="26" customWidth="1"/>
    <col min="9723" max="9723" width="6.77734375" style="26" customWidth="1"/>
    <col min="9724" max="9727" width="7.77734375" style="26" customWidth="1"/>
    <col min="9728" max="9728" width="8.33203125" style="26" customWidth="1"/>
    <col min="9729" max="9729" width="9" style="26" customWidth="1"/>
    <col min="9730" max="9731" width="8.33203125" style="26" customWidth="1"/>
    <col min="9732" max="9732" width="5.77734375" style="26" customWidth="1"/>
    <col min="9733" max="9733" width="6.77734375" style="26" customWidth="1"/>
    <col min="9734" max="9734" width="4.77734375" style="26" customWidth="1"/>
    <col min="9735" max="9975" width="9" style="26"/>
    <col min="9976" max="9978" width="7.77734375" style="26" customWidth="1"/>
    <col min="9979" max="9979" width="6.77734375" style="26" customWidth="1"/>
    <col min="9980" max="9983" width="7.77734375" style="26" customWidth="1"/>
    <col min="9984" max="9984" width="8.33203125" style="26" customWidth="1"/>
    <col min="9985" max="9985" width="9" style="26" customWidth="1"/>
    <col min="9986" max="9987" width="8.33203125" style="26" customWidth="1"/>
    <col min="9988" max="9988" width="5.77734375" style="26" customWidth="1"/>
    <col min="9989" max="9989" width="6.77734375" style="26" customWidth="1"/>
    <col min="9990" max="9990" width="4.77734375" style="26" customWidth="1"/>
    <col min="9991" max="10231" width="9" style="26"/>
    <col min="10232" max="10234" width="7.77734375" style="26" customWidth="1"/>
    <col min="10235" max="10235" width="6.77734375" style="26" customWidth="1"/>
    <col min="10236" max="10239" width="7.77734375" style="26" customWidth="1"/>
    <col min="10240" max="10240" width="8.33203125" style="26" customWidth="1"/>
    <col min="10241" max="10241" width="9" style="26" customWidth="1"/>
    <col min="10242" max="10243" width="8.33203125" style="26" customWidth="1"/>
    <col min="10244" max="10244" width="5.77734375" style="26" customWidth="1"/>
    <col min="10245" max="10245" width="6.77734375" style="26" customWidth="1"/>
    <col min="10246" max="10246" width="4.77734375" style="26" customWidth="1"/>
    <col min="10247" max="10487" width="9" style="26"/>
    <col min="10488" max="10490" width="7.77734375" style="26" customWidth="1"/>
    <col min="10491" max="10491" width="6.77734375" style="26" customWidth="1"/>
    <col min="10492" max="10495" width="7.77734375" style="26" customWidth="1"/>
    <col min="10496" max="10496" width="8.33203125" style="26" customWidth="1"/>
    <col min="10497" max="10497" width="9" style="26" customWidth="1"/>
    <col min="10498" max="10499" width="8.33203125" style="26" customWidth="1"/>
    <col min="10500" max="10500" width="5.77734375" style="26" customWidth="1"/>
    <col min="10501" max="10501" width="6.77734375" style="26" customWidth="1"/>
    <col min="10502" max="10502" width="4.77734375" style="26" customWidth="1"/>
    <col min="10503" max="10743" width="9" style="26"/>
    <col min="10744" max="10746" width="7.77734375" style="26" customWidth="1"/>
    <col min="10747" max="10747" width="6.77734375" style="26" customWidth="1"/>
    <col min="10748" max="10751" width="7.77734375" style="26" customWidth="1"/>
    <col min="10752" max="10752" width="8.33203125" style="26" customWidth="1"/>
    <col min="10753" max="10753" width="9" style="26" customWidth="1"/>
    <col min="10754" max="10755" width="8.33203125" style="26" customWidth="1"/>
    <col min="10756" max="10756" width="5.77734375" style="26" customWidth="1"/>
    <col min="10757" max="10757" width="6.77734375" style="26" customWidth="1"/>
    <col min="10758" max="10758" width="4.77734375" style="26" customWidth="1"/>
    <col min="10759" max="10999" width="9" style="26"/>
    <col min="11000" max="11002" width="7.77734375" style="26" customWidth="1"/>
    <col min="11003" max="11003" width="6.77734375" style="26" customWidth="1"/>
    <col min="11004" max="11007" width="7.77734375" style="26" customWidth="1"/>
    <col min="11008" max="11008" width="8.33203125" style="26" customWidth="1"/>
    <col min="11009" max="11009" width="9" style="26" customWidth="1"/>
    <col min="11010" max="11011" width="8.33203125" style="26" customWidth="1"/>
    <col min="11012" max="11012" width="5.77734375" style="26" customWidth="1"/>
    <col min="11013" max="11013" width="6.77734375" style="26" customWidth="1"/>
    <col min="11014" max="11014" width="4.77734375" style="26" customWidth="1"/>
    <col min="11015" max="11255" width="9" style="26"/>
    <col min="11256" max="11258" width="7.77734375" style="26" customWidth="1"/>
    <col min="11259" max="11259" width="6.77734375" style="26" customWidth="1"/>
    <col min="11260" max="11263" width="7.77734375" style="26" customWidth="1"/>
    <col min="11264" max="11264" width="8.33203125" style="26" customWidth="1"/>
    <col min="11265" max="11265" width="9" style="26" customWidth="1"/>
    <col min="11266" max="11267" width="8.33203125" style="26" customWidth="1"/>
    <col min="11268" max="11268" width="5.77734375" style="26" customWidth="1"/>
    <col min="11269" max="11269" width="6.77734375" style="26" customWidth="1"/>
    <col min="11270" max="11270" width="4.77734375" style="26" customWidth="1"/>
    <col min="11271" max="11511" width="9" style="26"/>
    <col min="11512" max="11514" width="7.77734375" style="26" customWidth="1"/>
    <col min="11515" max="11515" width="6.77734375" style="26" customWidth="1"/>
    <col min="11516" max="11519" width="7.77734375" style="26" customWidth="1"/>
    <col min="11520" max="11520" width="8.33203125" style="26" customWidth="1"/>
    <col min="11521" max="11521" width="9" style="26" customWidth="1"/>
    <col min="11522" max="11523" width="8.33203125" style="26" customWidth="1"/>
    <col min="11524" max="11524" width="5.77734375" style="26" customWidth="1"/>
    <col min="11525" max="11525" width="6.77734375" style="26" customWidth="1"/>
    <col min="11526" max="11526" width="4.77734375" style="26" customWidth="1"/>
    <col min="11527" max="11767" width="9" style="26"/>
    <col min="11768" max="11770" width="7.77734375" style="26" customWidth="1"/>
    <col min="11771" max="11771" width="6.77734375" style="26" customWidth="1"/>
    <col min="11772" max="11775" width="7.77734375" style="26" customWidth="1"/>
    <col min="11776" max="11776" width="8.33203125" style="26" customWidth="1"/>
    <col min="11777" max="11777" width="9" style="26" customWidth="1"/>
    <col min="11778" max="11779" width="8.33203125" style="26" customWidth="1"/>
    <col min="11780" max="11780" width="5.77734375" style="26" customWidth="1"/>
    <col min="11781" max="11781" width="6.77734375" style="26" customWidth="1"/>
    <col min="11782" max="11782" width="4.77734375" style="26" customWidth="1"/>
    <col min="11783" max="12023" width="9" style="26"/>
    <col min="12024" max="12026" width="7.77734375" style="26" customWidth="1"/>
    <col min="12027" max="12027" width="6.77734375" style="26" customWidth="1"/>
    <col min="12028" max="12031" width="7.77734375" style="26" customWidth="1"/>
    <col min="12032" max="12032" width="8.33203125" style="26" customWidth="1"/>
    <col min="12033" max="12033" width="9" style="26" customWidth="1"/>
    <col min="12034" max="12035" width="8.33203125" style="26" customWidth="1"/>
    <col min="12036" max="12036" width="5.77734375" style="26" customWidth="1"/>
    <col min="12037" max="12037" width="6.77734375" style="26" customWidth="1"/>
    <col min="12038" max="12038" width="4.77734375" style="26" customWidth="1"/>
    <col min="12039" max="12279" width="9" style="26"/>
    <col min="12280" max="12282" width="7.77734375" style="26" customWidth="1"/>
    <col min="12283" max="12283" width="6.77734375" style="26" customWidth="1"/>
    <col min="12284" max="12287" width="7.77734375" style="26" customWidth="1"/>
    <col min="12288" max="12288" width="8.33203125" style="26" customWidth="1"/>
    <col min="12289" max="12289" width="9" style="26" customWidth="1"/>
    <col min="12290" max="12291" width="8.33203125" style="26" customWidth="1"/>
    <col min="12292" max="12292" width="5.77734375" style="26" customWidth="1"/>
    <col min="12293" max="12293" width="6.77734375" style="26" customWidth="1"/>
    <col min="12294" max="12294" width="4.77734375" style="26" customWidth="1"/>
    <col min="12295" max="12535" width="9" style="26"/>
    <col min="12536" max="12538" width="7.77734375" style="26" customWidth="1"/>
    <col min="12539" max="12539" width="6.77734375" style="26" customWidth="1"/>
    <col min="12540" max="12543" width="7.77734375" style="26" customWidth="1"/>
    <col min="12544" max="12544" width="8.33203125" style="26" customWidth="1"/>
    <col min="12545" max="12545" width="9" style="26" customWidth="1"/>
    <col min="12546" max="12547" width="8.33203125" style="26" customWidth="1"/>
    <col min="12548" max="12548" width="5.77734375" style="26" customWidth="1"/>
    <col min="12549" max="12549" width="6.77734375" style="26" customWidth="1"/>
    <col min="12550" max="12550" width="4.77734375" style="26" customWidth="1"/>
    <col min="12551" max="12791" width="9" style="26"/>
    <col min="12792" max="12794" width="7.77734375" style="26" customWidth="1"/>
    <col min="12795" max="12795" width="6.77734375" style="26" customWidth="1"/>
    <col min="12796" max="12799" width="7.77734375" style="26" customWidth="1"/>
    <col min="12800" max="12800" width="8.33203125" style="26" customWidth="1"/>
    <col min="12801" max="12801" width="9" style="26" customWidth="1"/>
    <col min="12802" max="12803" width="8.33203125" style="26" customWidth="1"/>
    <col min="12804" max="12804" width="5.77734375" style="26" customWidth="1"/>
    <col min="12805" max="12805" width="6.77734375" style="26" customWidth="1"/>
    <col min="12806" max="12806" width="4.77734375" style="26" customWidth="1"/>
    <col min="12807" max="13047" width="9" style="26"/>
    <col min="13048" max="13050" width="7.77734375" style="26" customWidth="1"/>
    <col min="13051" max="13051" width="6.77734375" style="26" customWidth="1"/>
    <col min="13052" max="13055" width="7.77734375" style="26" customWidth="1"/>
    <col min="13056" max="13056" width="8.33203125" style="26" customWidth="1"/>
    <col min="13057" max="13057" width="9" style="26" customWidth="1"/>
    <col min="13058" max="13059" width="8.33203125" style="26" customWidth="1"/>
    <col min="13060" max="13060" width="5.77734375" style="26" customWidth="1"/>
    <col min="13061" max="13061" width="6.77734375" style="26" customWidth="1"/>
    <col min="13062" max="13062" width="4.77734375" style="26" customWidth="1"/>
    <col min="13063" max="13303" width="9" style="26"/>
    <col min="13304" max="13306" width="7.77734375" style="26" customWidth="1"/>
    <col min="13307" max="13307" width="6.77734375" style="26" customWidth="1"/>
    <col min="13308" max="13311" width="7.77734375" style="26" customWidth="1"/>
    <col min="13312" max="13312" width="8.33203125" style="26" customWidth="1"/>
    <col min="13313" max="13313" width="9" style="26" customWidth="1"/>
    <col min="13314" max="13315" width="8.33203125" style="26" customWidth="1"/>
    <col min="13316" max="13316" width="5.77734375" style="26" customWidth="1"/>
    <col min="13317" max="13317" width="6.77734375" style="26" customWidth="1"/>
    <col min="13318" max="13318" width="4.77734375" style="26" customWidth="1"/>
    <col min="13319" max="13559" width="9" style="26"/>
    <col min="13560" max="13562" width="7.77734375" style="26" customWidth="1"/>
    <col min="13563" max="13563" width="6.77734375" style="26" customWidth="1"/>
    <col min="13564" max="13567" width="7.77734375" style="26" customWidth="1"/>
    <col min="13568" max="13568" width="8.33203125" style="26" customWidth="1"/>
    <col min="13569" max="13569" width="9" style="26" customWidth="1"/>
    <col min="13570" max="13571" width="8.33203125" style="26" customWidth="1"/>
    <col min="13572" max="13572" width="5.77734375" style="26" customWidth="1"/>
    <col min="13573" max="13573" width="6.77734375" style="26" customWidth="1"/>
    <col min="13574" max="13574" width="4.77734375" style="26" customWidth="1"/>
    <col min="13575" max="13815" width="9" style="26"/>
    <col min="13816" max="13818" width="7.77734375" style="26" customWidth="1"/>
    <col min="13819" max="13819" width="6.77734375" style="26" customWidth="1"/>
    <col min="13820" max="13823" width="7.77734375" style="26" customWidth="1"/>
    <col min="13824" max="13824" width="8.33203125" style="26" customWidth="1"/>
    <col min="13825" max="13825" width="9" style="26" customWidth="1"/>
    <col min="13826" max="13827" width="8.33203125" style="26" customWidth="1"/>
    <col min="13828" max="13828" width="5.77734375" style="26" customWidth="1"/>
    <col min="13829" max="13829" width="6.77734375" style="26" customWidth="1"/>
    <col min="13830" max="13830" width="4.77734375" style="26" customWidth="1"/>
    <col min="13831" max="14071" width="9" style="26"/>
    <col min="14072" max="14074" width="7.77734375" style="26" customWidth="1"/>
    <col min="14075" max="14075" width="6.77734375" style="26" customWidth="1"/>
    <col min="14076" max="14079" width="7.77734375" style="26" customWidth="1"/>
    <col min="14080" max="14080" width="8.33203125" style="26" customWidth="1"/>
    <col min="14081" max="14081" width="9" style="26" customWidth="1"/>
    <col min="14082" max="14083" width="8.33203125" style="26" customWidth="1"/>
    <col min="14084" max="14084" width="5.77734375" style="26" customWidth="1"/>
    <col min="14085" max="14085" width="6.77734375" style="26" customWidth="1"/>
    <col min="14086" max="14086" width="4.77734375" style="26" customWidth="1"/>
    <col min="14087" max="14327" width="9" style="26"/>
    <col min="14328" max="14330" width="7.77734375" style="26" customWidth="1"/>
    <col min="14331" max="14331" width="6.77734375" style="26" customWidth="1"/>
    <col min="14332" max="14335" width="7.77734375" style="26" customWidth="1"/>
    <col min="14336" max="14336" width="8.33203125" style="26" customWidth="1"/>
    <col min="14337" max="14337" width="9" style="26" customWidth="1"/>
    <col min="14338" max="14339" width="8.33203125" style="26" customWidth="1"/>
    <col min="14340" max="14340" width="5.77734375" style="26" customWidth="1"/>
    <col min="14341" max="14341" width="6.77734375" style="26" customWidth="1"/>
    <col min="14342" max="14342" width="4.77734375" style="26" customWidth="1"/>
    <col min="14343" max="14583" width="9" style="26"/>
    <col min="14584" max="14586" width="7.77734375" style="26" customWidth="1"/>
    <col min="14587" max="14587" width="6.77734375" style="26" customWidth="1"/>
    <col min="14588" max="14591" width="7.77734375" style="26" customWidth="1"/>
    <col min="14592" max="14592" width="8.33203125" style="26" customWidth="1"/>
    <col min="14593" max="14593" width="9" style="26" customWidth="1"/>
    <col min="14594" max="14595" width="8.33203125" style="26" customWidth="1"/>
    <col min="14596" max="14596" width="5.77734375" style="26" customWidth="1"/>
    <col min="14597" max="14597" width="6.77734375" style="26" customWidth="1"/>
    <col min="14598" max="14598" width="4.77734375" style="26" customWidth="1"/>
    <col min="14599" max="14839" width="9" style="26"/>
    <col min="14840" max="14842" width="7.77734375" style="26" customWidth="1"/>
    <col min="14843" max="14843" width="6.77734375" style="26" customWidth="1"/>
    <col min="14844" max="14847" width="7.77734375" style="26" customWidth="1"/>
    <col min="14848" max="14848" width="8.33203125" style="26" customWidth="1"/>
    <col min="14849" max="14849" width="9" style="26" customWidth="1"/>
    <col min="14850" max="14851" width="8.33203125" style="26" customWidth="1"/>
    <col min="14852" max="14852" width="5.77734375" style="26" customWidth="1"/>
    <col min="14853" max="14853" width="6.77734375" style="26" customWidth="1"/>
    <col min="14854" max="14854" width="4.77734375" style="26" customWidth="1"/>
    <col min="14855" max="15095" width="9" style="26"/>
    <col min="15096" max="15098" width="7.77734375" style="26" customWidth="1"/>
    <col min="15099" max="15099" width="6.77734375" style="26" customWidth="1"/>
    <col min="15100" max="15103" width="7.77734375" style="26" customWidth="1"/>
    <col min="15104" max="15104" width="8.33203125" style="26" customWidth="1"/>
    <col min="15105" max="15105" width="9" style="26" customWidth="1"/>
    <col min="15106" max="15107" width="8.33203125" style="26" customWidth="1"/>
    <col min="15108" max="15108" width="5.77734375" style="26" customWidth="1"/>
    <col min="15109" max="15109" width="6.77734375" style="26" customWidth="1"/>
    <col min="15110" max="15110" width="4.77734375" style="26" customWidth="1"/>
    <col min="15111" max="15351" width="9" style="26"/>
    <col min="15352" max="15354" width="7.77734375" style="26" customWidth="1"/>
    <col min="15355" max="15355" width="6.77734375" style="26" customWidth="1"/>
    <col min="15356" max="15359" width="7.77734375" style="26" customWidth="1"/>
    <col min="15360" max="15360" width="8.33203125" style="26" customWidth="1"/>
    <col min="15361" max="15361" width="9" style="26" customWidth="1"/>
    <col min="15362" max="15363" width="8.33203125" style="26" customWidth="1"/>
    <col min="15364" max="15364" width="5.77734375" style="26" customWidth="1"/>
    <col min="15365" max="15365" width="6.77734375" style="26" customWidth="1"/>
    <col min="15366" max="15366" width="4.77734375" style="26" customWidth="1"/>
    <col min="15367" max="15607" width="9" style="26"/>
    <col min="15608" max="15610" width="7.77734375" style="26" customWidth="1"/>
    <col min="15611" max="15611" width="6.77734375" style="26" customWidth="1"/>
    <col min="15612" max="15615" width="7.77734375" style="26" customWidth="1"/>
    <col min="15616" max="15616" width="8.33203125" style="26" customWidth="1"/>
    <col min="15617" max="15617" width="9" style="26" customWidth="1"/>
    <col min="15618" max="15619" width="8.33203125" style="26" customWidth="1"/>
    <col min="15620" max="15620" width="5.77734375" style="26" customWidth="1"/>
    <col min="15621" max="15621" width="6.77734375" style="26" customWidth="1"/>
    <col min="15622" max="15622" width="4.77734375" style="26" customWidth="1"/>
    <col min="15623" max="15863" width="9" style="26"/>
    <col min="15864" max="15866" width="7.77734375" style="26" customWidth="1"/>
    <col min="15867" max="15867" width="6.77734375" style="26" customWidth="1"/>
    <col min="15868" max="15871" width="7.77734375" style="26" customWidth="1"/>
    <col min="15872" max="15872" width="8.33203125" style="26" customWidth="1"/>
    <col min="15873" max="15873" width="9" style="26" customWidth="1"/>
    <col min="15874" max="15875" width="8.33203125" style="26" customWidth="1"/>
    <col min="15876" max="15876" width="5.77734375" style="26" customWidth="1"/>
    <col min="15877" max="15877" width="6.77734375" style="26" customWidth="1"/>
    <col min="15878" max="15878" width="4.77734375" style="26" customWidth="1"/>
    <col min="15879" max="16119" width="9" style="26"/>
    <col min="16120" max="16122" width="7.77734375" style="26" customWidth="1"/>
    <col min="16123" max="16123" width="6.77734375" style="26" customWidth="1"/>
    <col min="16124" max="16127" width="7.77734375" style="26" customWidth="1"/>
    <col min="16128" max="16128" width="8.33203125" style="26" customWidth="1"/>
    <col min="16129" max="16129" width="9" style="26" customWidth="1"/>
    <col min="16130" max="16131" width="8.33203125" style="26" customWidth="1"/>
    <col min="16132" max="16132" width="5.77734375" style="26" customWidth="1"/>
    <col min="16133" max="16133" width="6.77734375" style="26" customWidth="1"/>
    <col min="16134" max="16134" width="4.77734375" style="26" customWidth="1"/>
    <col min="16135" max="16384" width="9" style="26"/>
  </cols>
  <sheetData>
    <row r="1" spans="1:6" ht="30" customHeight="1">
      <c r="A1" s="2095" t="s">
        <v>48</v>
      </c>
      <c r="B1" s="2095"/>
      <c r="C1" s="2095"/>
      <c r="D1" s="2095"/>
      <c r="E1" s="2095"/>
      <c r="F1" s="2095"/>
    </row>
    <row r="2" spans="1:6" ht="30" customHeight="1">
      <c r="A2" s="2096" t="s">
        <v>21</v>
      </c>
      <c r="B2" s="25" t="s">
        <v>49</v>
      </c>
      <c r="C2" s="24" t="s">
        <v>50</v>
      </c>
      <c r="D2" s="24" t="s">
        <v>51</v>
      </c>
      <c r="E2" s="24" t="s">
        <v>52</v>
      </c>
      <c r="F2" s="2097" t="s">
        <v>22</v>
      </c>
    </row>
    <row r="3" spans="1:6" ht="30" customHeight="1">
      <c r="A3" s="2096"/>
      <c r="B3" s="23" t="s">
        <v>53</v>
      </c>
      <c r="C3" s="73" t="s">
        <v>54</v>
      </c>
      <c r="D3" s="73" t="s">
        <v>18</v>
      </c>
      <c r="E3" s="73" t="s">
        <v>18</v>
      </c>
      <c r="F3" s="2097"/>
    </row>
    <row r="4" spans="1:6" ht="30" customHeight="1">
      <c r="A4" s="2098" t="s">
        <v>55</v>
      </c>
      <c r="B4" s="78" t="s">
        <v>56</v>
      </c>
      <c r="C4" s="77">
        <f>'맨홀유출입수량(성토부)'!E19+'맨홀유출입수량(성토부)'!F19+'맨홀유출입수량(성토부)'!Q19+'맨홀유출입수량(성토부)'!R19+'맨홀유출입수량(성토부)'!AA19+'맨홀유출입수량(성토부)'!AB19</f>
        <v>0</v>
      </c>
      <c r="D4" s="22">
        <f>'맨홀접속부 잡석 단위수량'!E23</f>
        <v>0.98099999999999998</v>
      </c>
      <c r="E4" s="21">
        <f>ROUND(C4*D4,2)</f>
        <v>0</v>
      </c>
      <c r="F4" s="76"/>
    </row>
    <row r="5" spans="1:6" ht="30" customHeight="1">
      <c r="A5" s="2098"/>
      <c r="B5" s="74" t="s">
        <v>57</v>
      </c>
      <c r="C5" s="83">
        <f>'맨홀유출입수량(성토부)'!G19+'맨홀유출입수량(성토부)'!H19+'맨홀유출입수량(성토부)'!S19+'맨홀유출입수량(성토부)'!T19+'맨홀유출입수량(성토부)'!AC19+'맨홀유출입수량(성토부)'!AD19</f>
        <v>0</v>
      </c>
      <c r="D5" s="20">
        <f>'맨홀접속부 잡석 단위수량'!E24</f>
        <v>1.056</v>
      </c>
      <c r="E5" s="19">
        <f>ROUND(C5*D5,2)</f>
        <v>0</v>
      </c>
      <c r="F5" s="82"/>
    </row>
    <row r="6" spans="1:6" ht="30" customHeight="1">
      <c r="A6" s="2098"/>
      <c r="B6" s="74" t="s">
        <v>58</v>
      </c>
      <c r="C6" s="83">
        <f>'맨홀유출입수량(성토부)'!I19+'맨홀유출입수량(성토부)'!J19+'맨홀유출입수량(성토부)'!U19+'맨홀유출입수량(성토부)'!V19+'맨홀유출입수량(성토부)'!AE19+'맨홀유출입수량(성토부)'!AF19</f>
        <v>0</v>
      </c>
      <c r="D6" s="20">
        <f>'맨홀접속부 잡석 단위수량'!E25</f>
        <v>1.131</v>
      </c>
      <c r="E6" s="19">
        <f>ROUND(C6*D6,2)</f>
        <v>0</v>
      </c>
      <c r="F6" s="82"/>
    </row>
    <row r="7" spans="1:6" ht="30" customHeight="1">
      <c r="A7" s="2098"/>
      <c r="B7" s="74" t="s">
        <v>59</v>
      </c>
      <c r="C7" s="83">
        <f>'맨홀유출입수량(성토부)'!K19+'맨홀유출입수량(성토부)'!L19+'맨홀유출입수량(성토부)'!W19+'맨홀유출입수량(성토부)'!X19+'맨홀유출입수량(성토부)'!AG19+'맨홀유출입수량(성토부)'!AH19</f>
        <v>0</v>
      </c>
      <c r="D7" s="20">
        <f>'맨홀접속부 잡석 단위수량'!E26</f>
        <v>1.206</v>
      </c>
      <c r="E7" s="19">
        <f>ROUND(C7*D7,2)</f>
        <v>0</v>
      </c>
      <c r="F7" s="79"/>
    </row>
    <row r="8" spans="1:6" ht="30" customHeight="1">
      <c r="A8" s="2096"/>
      <c r="B8" s="75" t="s">
        <v>60</v>
      </c>
      <c r="C8" s="81">
        <f>'맨홀유출입수량(성토부)'!M19+'맨홀유출입수량(성토부)'!N19</f>
        <v>0</v>
      </c>
      <c r="D8" s="81">
        <f>'맨홀접속부 잡석 단위수량'!E27</f>
        <v>1.3560000000000001</v>
      </c>
      <c r="E8" s="18">
        <f>ROUND(C8*D8,2)</f>
        <v>0</v>
      </c>
      <c r="F8" s="80"/>
    </row>
    <row r="9" spans="1:6" ht="30" customHeight="1">
      <c r="A9" s="17" t="s">
        <v>23</v>
      </c>
      <c r="B9" s="16"/>
      <c r="C9" s="15">
        <f>SUM(C4:C8)</f>
        <v>0</v>
      </c>
      <c r="D9" s="15"/>
      <c r="E9" s="14">
        <f>SUM(E4:E8)</f>
        <v>0</v>
      </c>
      <c r="F9" s="72"/>
    </row>
    <row r="10" spans="1:6" ht="30" customHeight="1">
      <c r="A10" s="2099" t="s">
        <v>61</v>
      </c>
      <c r="B10" s="2099"/>
      <c r="C10" s="2099"/>
      <c r="D10" s="2099"/>
      <c r="E10" s="2099"/>
      <c r="F10" s="2099"/>
    </row>
    <row r="11" spans="1:6" ht="30" customHeight="1"/>
    <row r="12" spans="1:6" ht="30" customHeight="1"/>
    <row r="13" spans="1:6" ht="30" customHeight="1"/>
    <row r="14" spans="1:6" ht="30" customHeight="1"/>
    <row r="15" spans="1:6" ht="30" customHeight="1"/>
    <row r="16" spans="1:6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</sheetData>
  <mergeCells count="5">
    <mergeCell ref="A1:F1"/>
    <mergeCell ref="A2:A3"/>
    <mergeCell ref="F2:F3"/>
    <mergeCell ref="A4:A8"/>
    <mergeCell ref="A10:F10"/>
  </mergeCells>
  <phoneticPr fontId="13" type="noConversion"/>
  <printOptions horizontalCentered="1"/>
  <pageMargins left="0.70866141732283472" right="0.70866141732283472" top="0.98425196850393704" bottom="0.74803149606299213" header="0.51181102362204722" footer="0.31496062992125984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8">
    <tabColor theme="1"/>
  </sheetPr>
  <dimension ref="A1:BR25"/>
  <sheetViews>
    <sheetView workbookViewId="0">
      <selection sqref="A1:A4"/>
    </sheetView>
  </sheetViews>
  <sheetFormatPr defaultRowHeight="10.5"/>
  <cols>
    <col min="1" max="1" width="8.33203125" style="32" customWidth="1"/>
    <col min="2" max="2" width="7.33203125" style="31" customWidth="1"/>
    <col min="3" max="4" width="3" style="31" customWidth="1"/>
    <col min="5" max="34" width="3" style="32" customWidth="1"/>
    <col min="35" max="35" width="4" style="32" customWidth="1"/>
    <col min="36" max="36" width="4.44140625" style="32" customWidth="1"/>
    <col min="37" max="37" width="3.33203125" style="31" customWidth="1"/>
    <col min="38" max="38" width="7.109375" style="31" bestFit="1" customWidth="1"/>
    <col min="39" max="90" width="2.77734375" style="31" customWidth="1"/>
    <col min="91" max="16384" width="8.88671875" style="31"/>
  </cols>
  <sheetData>
    <row r="1" spans="1:70" s="67" customFormat="1" ht="23.25" customHeight="1">
      <c r="A1" s="2106" t="s">
        <v>31</v>
      </c>
      <c r="B1" s="2107" t="s">
        <v>32</v>
      </c>
      <c r="C1" s="2110" t="s">
        <v>33</v>
      </c>
      <c r="D1" s="2111"/>
      <c r="E1" s="2111"/>
      <c r="F1" s="2111"/>
      <c r="G1" s="2111"/>
      <c r="H1" s="2111"/>
      <c r="I1" s="2111"/>
      <c r="J1" s="2111"/>
      <c r="K1" s="2111"/>
      <c r="L1" s="2111"/>
      <c r="M1" s="2111"/>
      <c r="N1" s="2107"/>
      <c r="O1" s="2112" t="s">
        <v>33</v>
      </c>
      <c r="P1" s="2113"/>
      <c r="Q1" s="2113"/>
      <c r="R1" s="2113"/>
      <c r="S1" s="2113"/>
      <c r="T1" s="2113"/>
      <c r="U1" s="2113"/>
      <c r="V1" s="2113"/>
      <c r="W1" s="2113"/>
      <c r="X1" s="2114"/>
      <c r="Y1" s="2112" t="s">
        <v>33</v>
      </c>
      <c r="Z1" s="2113"/>
      <c r="AA1" s="2113"/>
      <c r="AB1" s="2113"/>
      <c r="AC1" s="2113"/>
      <c r="AD1" s="2113"/>
      <c r="AE1" s="2113"/>
      <c r="AF1" s="2113"/>
      <c r="AG1" s="2113"/>
      <c r="AH1" s="2114"/>
      <c r="AI1" s="2107" t="s">
        <v>34</v>
      </c>
      <c r="AJ1" s="68"/>
    </row>
    <row r="2" spans="1:70" s="67" customFormat="1" ht="23.25" customHeight="1">
      <c r="A2" s="2100"/>
      <c r="B2" s="2108"/>
      <c r="C2" s="2121" t="s">
        <v>35</v>
      </c>
      <c r="D2" s="2120"/>
      <c r="E2" s="2120"/>
      <c r="F2" s="2120"/>
      <c r="G2" s="2120"/>
      <c r="H2" s="2120"/>
      <c r="I2" s="2120"/>
      <c r="J2" s="2120"/>
      <c r="K2" s="2120"/>
      <c r="L2" s="2120"/>
      <c r="M2" s="2120"/>
      <c r="N2" s="2108"/>
      <c r="O2" s="2105" t="s">
        <v>24</v>
      </c>
      <c r="P2" s="2104"/>
      <c r="Q2" s="2104"/>
      <c r="R2" s="2104"/>
      <c r="S2" s="2104"/>
      <c r="T2" s="2104"/>
      <c r="U2" s="2104"/>
      <c r="V2" s="2104"/>
      <c r="W2" s="2104"/>
      <c r="X2" s="2115"/>
      <c r="Y2" s="2105" t="s">
        <v>25</v>
      </c>
      <c r="Z2" s="2104"/>
      <c r="AA2" s="2104"/>
      <c r="AB2" s="2104"/>
      <c r="AC2" s="2104"/>
      <c r="AD2" s="2104"/>
      <c r="AE2" s="2104"/>
      <c r="AF2" s="2104"/>
      <c r="AG2" s="2104"/>
      <c r="AH2" s="2115"/>
      <c r="AI2" s="2108"/>
      <c r="AJ2" s="68"/>
    </row>
    <row r="3" spans="1:70" s="67" customFormat="1" ht="23.25" customHeight="1">
      <c r="A3" s="2100"/>
      <c r="B3" s="2108"/>
      <c r="C3" s="2116" t="s">
        <v>36</v>
      </c>
      <c r="D3" s="2104"/>
      <c r="E3" s="2104" t="s">
        <v>37</v>
      </c>
      <c r="F3" s="2104"/>
      <c r="G3" s="2104" t="s">
        <v>38</v>
      </c>
      <c r="H3" s="2104"/>
      <c r="I3" s="2104" t="s">
        <v>39</v>
      </c>
      <c r="J3" s="2104"/>
      <c r="K3" s="2117" t="s">
        <v>40</v>
      </c>
      <c r="L3" s="2120"/>
      <c r="M3" s="2117" t="s">
        <v>62</v>
      </c>
      <c r="N3" s="2120"/>
      <c r="O3" s="2105" t="s">
        <v>36</v>
      </c>
      <c r="P3" s="2104"/>
      <c r="Q3" s="2104" t="s">
        <v>37</v>
      </c>
      <c r="R3" s="2104"/>
      <c r="S3" s="2104" t="s">
        <v>38</v>
      </c>
      <c r="T3" s="2104"/>
      <c r="U3" s="2104" t="s">
        <v>39</v>
      </c>
      <c r="V3" s="2104"/>
      <c r="W3" s="2117" t="s">
        <v>40</v>
      </c>
      <c r="X3" s="2108"/>
      <c r="Y3" s="2105" t="s">
        <v>36</v>
      </c>
      <c r="Z3" s="2104"/>
      <c r="AA3" s="2104" t="s">
        <v>37</v>
      </c>
      <c r="AB3" s="2104"/>
      <c r="AC3" s="2104" t="s">
        <v>38</v>
      </c>
      <c r="AD3" s="2104"/>
      <c r="AE3" s="2104" t="s">
        <v>39</v>
      </c>
      <c r="AF3" s="2104"/>
      <c r="AG3" s="2117" t="s">
        <v>40</v>
      </c>
      <c r="AH3" s="2108"/>
      <c r="AI3" s="2108"/>
      <c r="AJ3" s="68"/>
      <c r="AL3" s="2118" t="s">
        <v>41</v>
      </c>
      <c r="AM3" s="2118"/>
      <c r="AN3" s="2118"/>
      <c r="AO3" s="2118"/>
      <c r="AP3" s="2118"/>
      <c r="AQ3" s="2118"/>
      <c r="AR3" s="2118"/>
      <c r="AS3" s="2118"/>
      <c r="AT3" s="2118"/>
      <c r="AU3" s="2118"/>
      <c r="AV3" s="2118"/>
      <c r="AW3" s="2118"/>
      <c r="AX3" s="2118"/>
      <c r="AY3" s="2118"/>
      <c r="AZ3" s="2118"/>
      <c r="BA3" s="2118"/>
      <c r="BB3" s="2118"/>
      <c r="BC3" s="2118"/>
      <c r="BD3" s="2118"/>
    </row>
    <row r="4" spans="1:70" s="67" customFormat="1" ht="23.25" customHeight="1">
      <c r="A4" s="2101"/>
      <c r="B4" s="2109"/>
      <c r="C4" s="66" t="s">
        <v>42</v>
      </c>
      <c r="D4" s="65" t="s">
        <v>43</v>
      </c>
      <c r="E4" s="65" t="s">
        <v>42</v>
      </c>
      <c r="F4" s="65" t="s">
        <v>43</v>
      </c>
      <c r="G4" s="65" t="s">
        <v>42</v>
      </c>
      <c r="H4" s="65" t="s">
        <v>43</v>
      </c>
      <c r="I4" s="65" t="s">
        <v>42</v>
      </c>
      <c r="J4" s="65" t="s">
        <v>43</v>
      </c>
      <c r="K4" s="65" t="s">
        <v>42</v>
      </c>
      <c r="L4" s="64" t="s">
        <v>43</v>
      </c>
      <c r="M4" s="65" t="s">
        <v>42</v>
      </c>
      <c r="N4" s="64" t="s">
        <v>43</v>
      </c>
      <c r="O4" s="63" t="s">
        <v>42</v>
      </c>
      <c r="P4" s="65" t="s">
        <v>43</v>
      </c>
      <c r="Q4" s="65" t="s">
        <v>42</v>
      </c>
      <c r="R4" s="65" t="s">
        <v>43</v>
      </c>
      <c r="S4" s="65" t="s">
        <v>42</v>
      </c>
      <c r="T4" s="65" t="s">
        <v>43</v>
      </c>
      <c r="U4" s="65" t="s">
        <v>42</v>
      </c>
      <c r="V4" s="65" t="s">
        <v>43</v>
      </c>
      <c r="W4" s="65" t="s">
        <v>42</v>
      </c>
      <c r="X4" s="62" t="s">
        <v>43</v>
      </c>
      <c r="Y4" s="66" t="s">
        <v>42</v>
      </c>
      <c r="Z4" s="65" t="s">
        <v>43</v>
      </c>
      <c r="AA4" s="65" t="s">
        <v>42</v>
      </c>
      <c r="AB4" s="65" t="s">
        <v>43</v>
      </c>
      <c r="AC4" s="65" t="s">
        <v>42</v>
      </c>
      <c r="AD4" s="65" t="s">
        <v>43</v>
      </c>
      <c r="AE4" s="65" t="s">
        <v>42</v>
      </c>
      <c r="AF4" s="65" t="s">
        <v>43</v>
      </c>
      <c r="AG4" s="65" t="s">
        <v>42</v>
      </c>
      <c r="AH4" s="62" t="s">
        <v>43</v>
      </c>
      <c r="AI4" s="2109"/>
      <c r="AJ4" s="68"/>
    </row>
    <row r="5" spans="1:70" s="67" customFormat="1" ht="23.25" customHeight="1">
      <c r="A5" s="13" t="s">
        <v>63</v>
      </c>
      <c r="B5" s="71" t="s">
        <v>64</v>
      </c>
      <c r="C5" s="61"/>
      <c r="D5" s="60"/>
      <c r="E5" s="60"/>
      <c r="F5" s="60"/>
      <c r="G5" s="60"/>
      <c r="H5" s="60"/>
      <c r="I5" s="60"/>
      <c r="J5" s="60"/>
      <c r="K5" s="60"/>
      <c r="L5" s="59"/>
      <c r="M5" s="60"/>
      <c r="N5" s="59"/>
      <c r="O5" s="58"/>
      <c r="P5" s="60"/>
      <c r="Q5" s="60"/>
      <c r="R5" s="60"/>
      <c r="S5" s="60"/>
      <c r="T5" s="60"/>
      <c r="U5" s="60"/>
      <c r="V5" s="60"/>
      <c r="W5" s="60"/>
      <c r="X5" s="57"/>
      <c r="Y5" s="56"/>
      <c r="Z5" s="59"/>
      <c r="AA5" s="59"/>
      <c r="AB5" s="59"/>
      <c r="AC5" s="59"/>
      <c r="AD5" s="59"/>
      <c r="AE5" s="59"/>
      <c r="AF5" s="59"/>
      <c r="AG5" s="59"/>
      <c r="AH5" s="57"/>
      <c r="AI5" s="55"/>
      <c r="AJ5" s="54"/>
      <c r="AL5" s="53" t="s">
        <v>44</v>
      </c>
      <c r="AM5" s="51"/>
      <c r="AN5" s="51"/>
      <c r="AO5" s="51"/>
      <c r="AP5" s="51"/>
      <c r="AQ5" s="51"/>
      <c r="AR5" s="51"/>
      <c r="AS5" s="51"/>
      <c r="AT5" s="51"/>
      <c r="AU5" s="51"/>
      <c r="AV5" s="50"/>
      <c r="AW5" s="45"/>
      <c r="AX5" s="45"/>
      <c r="AY5" s="49"/>
      <c r="AZ5" s="51"/>
      <c r="BA5" s="51"/>
      <c r="BB5" s="51"/>
      <c r="BC5" s="51"/>
      <c r="BD5" s="51"/>
      <c r="BE5" s="51"/>
      <c r="BF5" s="51"/>
      <c r="BG5" s="51"/>
      <c r="BH5" s="48"/>
      <c r="BI5" s="47"/>
      <c r="BJ5" s="50"/>
      <c r="BK5" s="50"/>
      <c r="BL5" s="50"/>
      <c r="BM5" s="50"/>
      <c r="BN5" s="50"/>
      <c r="BO5" s="50"/>
      <c r="BP5" s="50"/>
      <c r="BQ5" s="50"/>
      <c r="BR5" s="48"/>
    </row>
    <row r="6" spans="1:70" s="67" customFormat="1" ht="23.25" customHeight="1">
      <c r="A6" s="2119" t="s">
        <v>65</v>
      </c>
      <c r="B6" s="70" t="s">
        <v>66</v>
      </c>
      <c r="C6" s="52"/>
      <c r="D6" s="51"/>
      <c r="E6" s="51"/>
      <c r="F6" s="51"/>
      <c r="G6" s="51"/>
      <c r="H6" s="51"/>
      <c r="I6" s="51"/>
      <c r="J6" s="51"/>
      <c r="K6" s="51"/>
      <c r="L6" s="50"/>
      <c r="M6" s="51"/>
      <c r="N6" s="50"/>
      <c r="O6" s="49"/>
      <c r="P6" s="51"/>
      <c r="Q6" s="51"/>
      <c r="R6" s="51"/>
      <c r="S6" s="51"/>
      <c r="T6" s="51"/>
      <c r="U6" s="51"/>
      <c r="V6" s="51"/>
      <c r="W6" s="51"/>
      <c r="X6" s="48"/>
      <c r="Y6" s="47"/>
      <c r="Z6" s="50"/>
      <c r="AA6" s="50"/>
      <c r="AB6" s="50"/>
      <c r="AC6" s="50"/>
      <c r="AD6" s="50"/>
      <c r="AE6" s="50"/>
      <c r="AF6" s="50"/>
      <c r="AG6" s="50"/>
      <c r="AH6" s="48"/>
      <c r="AI6" s="46"/>
      <c r="AJ6" s="54"/>
      <c r="AL6" s="53" t="s">
        <v>11</v>
      </c>
      <c r="AM6" s="51"/>
      <c r="AN6" s="51"/>
      <c r="AO6" s="51"/>
      <c r="AP6" s="51"/>
      <c r="AQ6" s="51"/>
      <c r="AR6" s="51"/>
      <c r="AS6" s="51"/>
      <c r="AT6" s="51"/>
      <c r="AU6" s="51"/>
      <c r="AV6" s="50"/>
      <c r="AW6" s="45"/>
      <c r="AX6" s="45"/>
      <c r="AY6" s="49"/>
      <c r="AZ6" s="51"/>
      <c r="BA6" s="51"/>
      <c r="BB6" s="51"/>
      <c r="BC6" s="51"/>
      <c r="BD6" s="51"/>
      <c r="BE6" s="51"/>
      <c r="BF6" s="51"/>
      <c r="BG6" s="51"/>
      <c r="BH6" s="48"/>
      <c r="BI6" s="47"/>
      <c r="BJ6" s="50"/>
      <c r="BK6" s="50"/>
      <c r="BL6" s="50"/>
      <c r="BM6" s="50"/>
      <c r="BN6" s="50"/>
      <c r="BO6" s="50"/>
      <c r="BP6" s="50"/>
      <c r="BQ6" s="50"/>
      <c r="BR6" s="48"/>
    </row>
    <row r="7" spans="1:70" s="67" customFormat="1" ht="23.25" customHeight="1">
      <c r="A7" s="2119"/>
      <c r="B7" s="70" t="s">
        <v>67</v>
      </c>
      <c r="C7" s="52"/>
      <c r="D7" s="51"/>
      <c r="E7" s="51"/>
      <c r="F7" s="51"/>
      <c r="G7" s="51"/>
      <c r="H7" s="51"/>
      <c r="I7" s="51"/>
      <c r="J7" s="51"/>
      <c r="K7" s="51"/>
      <c r="L7" s="50"/>
      <c r="M7" s="51"/>
      <c r="N7" s="50"/>
      <c r="O7" s="49"/>
      <c r="P7" s="51"/>
      <c r="Q7" s="51"/>
      <c r="R7" s="51"/>
      <c r="S7" s="51"/>
      <c r="T7" s="51"/>
      <c r="U7" s="51"/>
      <c r="V7" s="51"/>
      <c r="W7" s="51"/>
      <c r="X7" s="48"/>
      <c r="Y7" s="47"/>
      <c r="Z7" s="50"/>
      <c r="AA7" s="50"/>
      <c r="AB7" s="50"/>
      <c r="AC7" s="50"/>
      <c r="AD7" s="50"/>
      <c r="AE7" s="50"/>
      <c r="AF7" s="50"/>
      <c r="AG7" s="50"/>
      <c r="AH7" s="48"/>
      <c r="AI7" s="46"/>
      <c r="AJ7" s="54"/>
      <c r="AL7" s="53" t="s">
        <v>11</v>
      </c>
      <c r="AM7" s="51"/>
      <c r="AN7" s="51"/>
      <c r="AO7" s="51"/>
      <c r="AP7" s="51"/>
      <c r="AQ7" s="51"/>
      <c r="AR7" s="51"/>
      <c r="AS7" s="51"/>
      <c r="AT7" s="51"/>
      <c r="AU7" s="51"/>
      <c r="AV7" s="50"/>
      <c r="AW7" s="45"/>
      <c r="AX7" s="45"/>
      <c r="AY7" s="49"/>
      <c r="AZ7" s="51"/>
      <c r="BA7" s="51"/>
      <c r="BB7" s="51"/>
      <c r="BC7" s="51"/>
      <c r="BD7" s="51"/>
      <c r="BE7" s="51"/>
      <c r="BF7" s="51"/>
      <c r="BG7" s="51"/>
      <c r="BH7" s="48"/>
      <c r="BI7" s="47"/>
      <c r="BJ7" s="50"/>
      <c r="BK7" s="50"/>
      <c r="BL7" s="50"/>
      <c r="BM7" s="50"/>
      <c r="BN7" s="50"/>
      <c r="BO7" s="50"/>
      <c r="BP7" s="50"/>
      <c r="BQ7" s="50"/>
      <c r="BR7" s="48"/>
    </row>
    <row r="8" spans="1:70" s="67" customFormat="1" ht="23.25" customHeight="1">
      <c r="A8" s="2119"/>
      <c r="B8" s="70" t="s">
        <v>68</v>
      </c>
      <c r="C8" s="52"/>
      <c r="D8" s="51"/>
      <c r="E8" s="51"/>
      <c r="F8" s="51"/>
      <c r="G8" s="51"/>
      <c r="H8" s="51"/>
      <c r="I8" s="51"/>
      <c r="J8" s="51"/>
      <c r="K8" s="51"/>
      <c r="L8" s="50"/>
      <c r="M8" s="51"/>
      <c r="N8" s="50"/>
      <c r="O8" s="49"/>
      <c r="P8" s="51"/>
      <c r="Q8" s="51"/>
      <c r="R8" s="51"/>
      <c r="S8" s="51"/>
      <c r="T8" s="51"/>
      <c r="U8" s="51"/>
      <c r="V8" s="51"/>
      <c r="W8" s="51"/>
      <c r="X8" s="48"/>
      <c r="Y8" s="47"/>
      <c r="Z8" s="50"/>
      <c r="AA8" s="50"/>
      <c r="AB8" s="50"/>
      <c r="AC8" s="50"/>
      <c r="AD8" s="50"/>
      <c r="AE8" s="50"/>
      <c r="AF8" s="50"/>
      <c r="AG8" s="50"/>
      <c r="AH8" s="48"/>
      <c r="AI8" s="46"/>
      <c r="AJ8" s="54"/>
      <c r="AL8" s="53" t="s">
        <v>11</v>
      </c>
      <c r="AM8" s="51"/>
      <c r="AN8" s="51"/>
      <c r="AO8" s="51"/>
      <c r="AP8" s="51"/>
      <c r="AQ8" s="51"/>
      <c r="AR8" s="51"/>
      <c r="AS8" s="51"/>
      <c r="AT8" s="51"/>
      <c r="AU8" s="51"/>
      <c r="AV8" s="50"/>
      <c r="AW8" s="45"/>
      <c r="AX8" s="45"/>
      <c r="AY8" s="49"/>
      <c r="AZ8" s="51"/>
      <c r="BA8" s="51"/>
      <c r="BB8" s="51"/>
      <c r="BC8" s="51"/>
      <c r="BD8" s="51"/>
      <c r="BE8" s="51"/>
      <c r="BF8" s="51"/>
      <c r="BG8" s="51"/>
      <c r="BH8" s="48"/>
      <c r="BI8" s="47"/>
      <c r="BJ8" s="50"/>
      <c r="BK8" s="50"/>
      <c r="BL8" s="50"/>
      <c r="BM8" s="50"/>
      <c r="BN8" s="50"/>
      <c r="BO8" s="50"/>
      <c r="BP8" s="50"/>
      <c r="BQ8" s="50"/>
      <c r="BR8" s="48"/>
    </row>
    <row r="9" spans="1:70" s="67" customFormat="1" ht="23.25" customHeight="1">
      <c r="A9" s="2119"/>
      <c r="B9" s="70" t="s">
        <v>69</v>
      </c>
      <c r="C9" s="52"/>
      <c r="D9" s="51"/>
      <c r="E9" s="51"/>
      <c r="F9" s="51"/>
      <c r="G9" s="51"/>
      <c r="H9" s="51"/>
      <c r="I9" s="51"/>
      <c r="J9" s="51"/>
      <c r="K9" s="51"/>
      <c r="L9" s="50"/>
      <c r="M9" s="51"/>
      <c r="N9" s="50"/>
      <c r="O9" s="49"/>
      <c r="P9" s="51"/>
      <c r="Q9" s="51"/>
      <c r="R9" s="51"/>
      <c r="S9" s="51"/>
      <c r="T9" s="51"/>
      <c r="U9" s="51"/>
      <c r="V9" s="51"/>
      <c r="W9" s="51"/>
      <c r="X9" s="48"/>
      <c r="Y9" s="47"/>
      <c r="Z9" s="50"/>
      <c r="AA9" s="50"/>
      <c r="AB9" s="50"/>
      <c r="AC9" s="50"/>
      <c r="AD9" s="50"/>
      <c r="AE9" s="50"/>
      <c r="AF9" s="50"/>
      <c r="AG9" s="50"/>
      <c r="AH9" s="48"/>
      <c r="AI9" s="46"/>
      <c r="AJ9" s="54"/>
      <c r="AL9" s="53" t="s">
        <v>44</v>
      </c>
      <c r="AM9" s="51"/>
      <c r="AN9" s="51"/>
      <c r="AO9" s="51"/>
      <c r="AP9" s="51"/>
      <c r="AQ9" s="51"/>
      <c r="AR9" s="51"/>
      <c r="AS9" s="51"/>
      <c r="AT9" s="51"/>
      <c r="AU9" s="51"/>
      <c r="AV9" s="50"/>
      <c r="AW9" s="45"/>
      <c r="AX9" s="45"/>
      <c r="AY9" s="49"/>
      <c r="AZ9" s="51"/>
      <c r="BA9" s="51"/>
      <c r="BB9" s="51"/>
      <c r="BC9" s="51"/>
      <c r="BD9" s="51"/>
      <c r="BE9" s="51"/>
      <c r="BF9" s="51"/>
      <c r="BG9" s="51"/>
      <c r="BH9" s="48"/>
      <c r="BI9" s="47"/>
      <c r="BJ9" s="50"/>
      <c r="BK9" s="50"/>
      <c r="BL9" s="50"/>
      <c r="BM9" s="50"/>
      <c r="BN9" s="50"/>
      <c r="BO9" s="50"/>
      <c r="BP9" s="50"/>
      <c r="BQ9" s="50"/>
      <c r="BR9" s="48"/>
    </row>
    <row r="10" spans="1:70" s="67" customFormat="1" ht="23.25" customHeight="1">
      <c r="A10" s="2119"/>
      <c r="B10" s="70" t="s">
        <v>70</v>
      </c>
      <c r="C10" s="52"/>
      <c r="D10" s="51"/>
      <c r="E10" s="51"/>
      <c r="F10" s="51"/>
      <c r="G10" s="51"/>
      <c r="H10" s="51"/>
      <c r="I10" s="51"/>
      <c r="J10" s="51"/>
      <c r="K10" s="51"/>
      <c r="L10" s="50"/>
      <c r="M10" s="51"/>
      <c r="N10" s="50"/>
      <c r="O10" s="49"/>
      <c r="P10" s="51"/>
      <c r="Q10" s="51"/>
      <c r="R10" s="51"/>
      <c r="S10" s="51"/>
      <c r="T10" s="51"/>
      <c r="U10" s="51"/>
      <c r="V10" s="51"/>
      <c r="W10" s="51"/>
      <c r="X10" s="48"/>
      <c r="Y10" s="47"/>
      <c r="Z10" s="50"/>
      <c r="AA10" s="50"/>
      <c r="AB10" s="50"/>
      <c r="AC10" s="50"/>
      <c r="AD10" s="50"/>
      <c r="AE10" s="50"/>
      <c r="AF10" s="50"/>
      <c r="AG10" s="50"/>
      <c r="AH10" s="48"/>
      <c r="AI10" s="46"/>
      <c r="AJ10" s="54"/>
      <c r="AL10" s="53" t="s">
        <v>44</v>
      </c>
      <c r="AM10" s="51"/>
      <c r="AN10" s="51"/>
      <c r="AO10" s="51"/>
      <c r="AP10" s="51"/>
      <c r="AQ10" s="51"/>
      <c r="AR10" s="51"/>
      <c r="AS10" s="51"/>
      <c r="AT10" s="51"/>
      <c r="AU10" s="51"/>
      <c r="AV10" s="50"/>
      <c r="AW10" s="45"/>
      <c r="AX10" s="45"/>
      <c r="AY10" s="49"/>
      <c r="AZ10" s="51"/>
      <c r="BA10" s="51"/>
      <c r="BB10" s="51"/>
      <c r="BC10" s="51"/>
      <c r="BD10" s="51"/>
      <c r="BE10" s="51"/>
      <c r="BF10" s="51"/>
      <c r="BG10" s="51"/>
      <c r="BH10" s="48"/>
      <c r="BI10" s="47"/>
      <c r="BJ10" s="50"/>
      <c r="BK10" s="50"/>
      <c r="BL10" s="50"/>
      <c r="BM10" s="50"/>
      <c r="BN10" s="50"/>
      <c r="BO10" s="50"/>
      <c r="BP10" s="50"/>
      <c r="BQ10" s="50"/>
      <c r="BR10" s="48"/>
    </row>
    <row r="11" spans="1:70" s="67" customFormat="1" ht="23.25" customHeight="1">
      <c r="A11" s="2100" t="s">
        <v>71</v>
      </c>
      <c r="B11" s="70" t="s">
        <v>72</v>
      </c>
      <c r="C11" s="52"/>
      <c r="D11" s="51"/>
      <c r="E11" s="51"/>
      <c r="F11" s="51"/>
      <c r="G11" s="51"/>
      <c r="H11" s="51"/>
      <c r="I11" s="51"/>
      <c r="J11" s="51"/>
      <c r="K11" s="51"/>
      <c r="L11" s="50"/>
      <c r="M11" s="51"/>
      <c r="N11" s="50"/>
      <c r="O11" s="49"/>
      <c r="P11" s="51"/>
      <c r="Q11" s="51"/>
      <c r="R11" s="51"/>
      <c r="S11" s="51"/>
      <c r="T11" s="51"/>
      <c r="U11" s="51"/>
      <c r="V11" s="51"/>
      <c r="W11" s="51"/>
      <c r="X11" s="48"/>
      <c r="Y11" s="47"/>
      <c r="Z11" s="50"/>
      <c r="AA11" s="50"/>
      <c r="AB11" s="50"/>
      <c r="AC11" s="50"/>
      <c r="AD11" s="50"/>
      <c r="AE11" s="50"/>
      <c r="AF11" s="50"/>
      <c r="AG11" s="50"/>
      <c r="AH11" s="48"/>
      <c r="AI11" s="46"/>
      <c r="AJ11" s="54"/>
      <c r="AL11" s="53" t="s">
        <v>11</v>
      </c>
      <c r="AM11" s="51"/>
      <c r="AN11" s="51"/>
      <c r="AO11" s="51"/>
      <c r="AP11" s="51"/>
      <c r="AQ11" s="51"/>
      <c r="AR11" s="51"/>
      <c r="AS11" s="51"/>
      <c r="AT11" s="51"/>
      <c r="AU11" s="51"/>
      <c r="AV11" s="50"/>
      <c r="AW11" s="45"/>
      <c r="AX11" s="45"/>
      <c r="AY11" s="49"/>
      <c r="AZ11" s="51"/>
      <c r="BA11" s="51"/>
      <c r="BB11" s="51"/>
      <c r="BC11" s="51"/>
      <c r="BD11" s="51"/>
      <c r="BE11" s="51"/>
      <c r="BF11" s="51"/>
      <c r="BG11" s="51"/>
      <c r="BH11" s="48"/>
      <c r="BI11" s="47"/>
      <c r="BJ11" s="50"/>
      <c r="BK11" s="50"/>
      <c r="BL11" s="50"/>
      <c r="BM11" s="50"/>
      <c r="BN11" s="50"/>
      <c r="BO11" s="50"/>
      <c r="BP11" s="50"/>
      <c r="BQ11" s="50"/>
      <c r="BR11" s="48"/>
    </row>
    <row r="12" spans="1:70" s="67" customFormat="1" ht="23.25" customHeight="1">
      <c r="A12" s="2100"/>
      <c r="B12" s="70" t="s">
        <v>73</v>
      </c>
      <c r="C12" s="52"/>
      <c r="D12" s="51"/>
      <c r="E12" s="51"/>
      <c r="F12" s="51"/>
      <c r="G12" s="51"/>
      <c r="H12" s="51"/>
      <c r="I12" s="51"/>
      <c r="J12" s="51"/>
      <c r="K12" s="51"/>
      <c r="L12" s="50"/>
      <c r="M12" s="51"/>
      <c r="N12" s="50"/>
      <c r="O12" s="49"/>
      <c r="P12" s="51"/>
      <c r="Q12" s="51"/>
      <c r="R12" s="51"/>
      <c r="S12" s="51"/>
      <c r="T12" s="51"/>
      <c r="U12" s="51"/>
      <c r="V12" s="51"/>
      <c r="W12" s="51"/>
      <c r="X12" s="48"/>
      <c r="Y12" s="47"/>
      <c r="Z12" s="50"/>
      <c r="AA12" s="50"/>
      <c r="AB12" s="50"/>
      <c r="AC12" s="50"/>
      <c r="AD12" s="50"/>
      <c r="AE12" s="50"/>
      <c r="AF12" s="50"/>
      <c r="AG12" s="50"/>
      <c r="AH12" s="48"/>
      <c r="AI12" s="46"/>
      <c r="AJ12" s="54"/>
      <c r="AL12" s="53" t="s">
        <v>44</v>
      </c>
      <c r="AM12" s="51"/>
      <c r="AN12" s="51"/>
      <c r="AO12" s="51"/>
      <c r="AP12" s="51"/>
      <c r="AQ12" s="51"/>
      <c r="AR12" s="51"/>
      <c r="AS12" s="51"/>
      <c r="AT12" s="51"/>
      <c r="AU12" s="51"/>
      <c r="AV12" s="50"/>
      <c r="AW12" s="45"/>
      <c r="AX12" s="45"/>
      <c r="AY12" s="49"/>
      <c r="AZ12" s="51"/>
      <c r="BA12" s="51"/>
      <c r="BB12" s="51"/>
      <c r="BC12" s="51"/>
      <c r="BD12" s="51"/>
      <c r="BE12" s="51"/>
      <c r="BF12" s="51"/>
      <c r="BG12" s="51"/>
      <c r="BH12" s="48"/>
      <c r="BI12" s="47"/>
      <c r="BJ12" s="50"/>
      <c r="BK12" s="50"/>
      <c r="BL12" s="50"/>
      <c r="BM12" s="50"/>
      <c r="BN12" s="50"/>
      <c r="BO12" s="50"/>
      <c r="BP12" s="50"/>
      <c r="BQ12" s="50"/>
      <c r="BR12" s="48"/>
    </row>
    <row r="13" spans="1:70" s="67" customFormat="1" ht="23.25" customHeight="1">
      <c r="A13" s="2100" t="s">
        <v>74</v>
      </c>
      <c r="B13" s="70" t="s">
        <v>75</v>
      </c>
      <c r="C13" s="52"/>
      <c r="D13" s="51"/>
      <c r="E13" s="51"/>
      <c r="F13" s="51"/>
      <c r="G13" s="51"/>
      <c r="H13" s="51"/>
      <c r="I13" s="51"/>
      <c r="J13" s="51"/>
      <c r="K13" s="51"/>
      <c r="L13" s="50"/>
      <c r="M13" s="51"/>
      <c r="N13" s="50"/>
      <c r="O13" s="49"/>
      <c r="P13" s="51"/>
      <c r="Q13" s="51"/>
      <c r="R13" s="51"/>
      <c r="S13" s="51"/>
      <c r="T13" s="51"/>
      <c r="U13" s="51"/>
      <c r="V13" s="51"/>
      <c r="W13" s="51"/>
      <c r="X13" s="48"/>
      <c r="Y13" s="47"/>
      <c r="Z13" s="50"/>
      <c r="AA13" s="50"/>
      <c r="AB13" s="50"/>
      <c r="AC13" s="50"/>
      <c r="AD13" s="50"/>
      <c r="AE13" s="50"/>
      <c r="AF13" s="50"/>
      <c r="AG13" s="50"/>
      <c r="AH13" s="48"/>
      <c r="AI13" s="46"/>
      <c r="AJ13" s="54"/>
      <c r="AL13" s="53" t="s">
        <v>11</v>
      </c>
      <c r="AM13" s="65"/>
      <c r="AN13" s="65"/>
      <c r="AO13" s="65"/>
      <c r="AP13" s="65"/>
      <c r="AQ13" s="65"/>
      <c r="AR13" s="65"/>
      <c r="AS13" s="65"/>
      <c r="AT13" s="65"/>
      <c r="AU13" s="65"/>
      <c r="AV13" s="64"/>
      <c r="AW13" s="38"/>
      <c r="AX13" s="38"/>
      <c r="AY13" s="63"/>
      <c r="AZ13" s="65"/>
      <c r="BA13" s="65"/>
      <c r="BB13" s="65"/>
      <c r="BC13" s="65"/>
      <c r="BD13" s="65"/>
      <c r="BE13" s="65"/>
      <c r="BF13" s="65"/>
      <c r="BG13" s="65"/>
      <c r="BH13" s="62"/>
      <c r="BI13" s="37"/>
      <c r="BJ13" s="64"/>
      <c r="BK13" s="64"/>
      <c r="BL13" s="64"/>
      <c r="BM13" s="64"/>
      <c r="BN13" s="64"/>
      <c r="BO13" s="64"/>
      <c r="BP13" s="64"/>
      <c r="BQ13" s="64"/>
      <c r="BR13" s="62"/>
    </row>
    <row r="14" spans="1:70" s="67" customFormat="1" ht="23.25" customHeight="1">
      <c r="A14" s="2100"/>
      <c r="B14" s="70" t="s">
        <v>76</v>
      </c>
      <c r="C14" s="52"/>
      <c r="D14" s="51"/>
      <c r="E14" s="51"/>
      <c r="F14" s="51"/>
      <c r="G14" s="51"/>
      <c r="H14" s="51"/>
      <c r="I14" s="51"/>
      <c r="J14" s="51"/>
      <c r="K14" s="51"/>
      <c r="L14" s="50"/>
      <c r="M14" s="51"/>
      <c r="N14" s="50"/>
      <c r="O14" s="49"/>
      <c r="P14" s="51"/>
      <c r="Q14" s="51"/>
      <c r="R14" s="51"/>
      <c r="S14" s="51"/>
      <c r="T14" s="51"/>
      <c r="U14" s="51"/>
      <c r="V14" s="51"/>
      <c r="W14" s="51"/>
      <c r="X14" s="48"/>
      <c r="Y14" s="47"/>
      <c r="Z14" s="50"/>
      <c r="AA14" s="50"/>
      <c r="AB14" s="50"/>
      <c r="AC14" s="50"/>
      <c r="AD14" s="50"/>
      <c r="AE14" s="50"/>
      <c r="AF14" s="50"/>
      <c r="AG14" s="50"/>
      <c r="AH14" s="48"/>
      <c r="AI14" s="46"/>
      <c r="AJ14" s="54"/>
      <c r="AL14" s="53" t="s">
        <v>11</v>
      </c>
      <c r="AM14" s="44"/>
      <c r="AN14" s="44"/>
      <c r="AO14" s="44"/>
      <c r="AP14" s="44"/>
      <c r="AQ14" s="44"/>
      <c r="AR14" s="44"/>
      <c r="AS14" s="44"/>
      <c r="AT14" s="44"/>
      <c r="AU14" s="44"/>
      <c r="AV14" s="43"/>
      <c r="AW14" s="42"/>
      <c r="AX14" s="42"/>
      <c r="AY14" s="41"/>
      <c r="AZ14" s="44"/>
      <c r="BA14" s="44"/>
      <c r="BB14" s="44"/>
      <c r="BC14" s="44"/>
      <c r="BD14" s="44"/>
      <c r="BE14" s="44"/>
      <c r="BF14" s="44"/>
      <c r="BG14" s="44"/>
      <c r="BH14" s="40"/>
      <c r="BI14" s="39"/>
      <c r="BJ14" s="43"/>
      <c r="BK14" s="43"/>
      <c r="BL14" s="43"/>
      <c r="BM14" s="43"/>
      <c r="BN14" s="43"/>
      <c r="BO14" s="43"/>
      <c r="BP14" s="43"/>
      <c r="BQ14" s="43"/>
      <c r="BR14" s="40"/>
    </row>
    <row r="15" spans="1:70" s="67" customFormat="1" ht="23.25" customHeight="1">
      <c r="A15" s="2100" t="s">
        <v>77</v>
      </c>
      <c r="B15" s="70" t="s">
        <v>78</v>
      </c>
      <c r="C15" s="52"/>
      <c r="D15" s="51"/>
      <c r="E15" s="51"/>
      <c r="F15" s="51"/>
      <c r="G15" s="51"/>
      <c r="H15" s="51"/>
      <c r="I15" s="51"/>
      <c r="J15" s="51"/>
      <c r="K15" s="51"/>
      <c r="L15" s="50"/>
      <c r="M15" s="51"/>
      <c r="N15" s="50"/>
      <c r="O15" s="49"/>
      <c r="P15" s="51"/>
      <c r="Q15" s="51"/>
      <c r="R15" s="51"/>
      <c r="S15" s="51"/>
      <c r="T15" s="51"/>
      <c r="U15" s="51"/>
      <c r="V15" s="51"/>
      <c r="W15" s="51"/>
      <c r="X15" s="48"/>
      <c r="Y15" s="47"/>
      <c r="Z15" s="50"/>
      <c r="AA15" s="50"/>
      <c r="AB15" s="50"/>
      <c r="AC15" s="50"/>
      <c r="AD15" s="50"/>
      <c r="AE15" s="50"/>
      <c r="AF15" s="50"/>
      <c r="AG15" s="50"/>
      <c r="AH15" s="48"/>
      <c r="AI15" s="46"/>
      <c r="AJ15" s="54"/>
      <c r="AL15" s="53" t="s">
        <v>11</v>
      </c>
      <c r="AM15" s="51"/>
      <c r="AN15" s="51"/>
      <c r="AO15" s="51"/>
      <c r="AP15" s="51"/>
      <c r="AQ15" s="51"/>
      <c r="AR15" s="51"/>
      <c r="AS15" s="51"/>
      <c r="AT15" s="51"/>
      <c r="AU15" s="51"/>
      <c r="AV15" s="50"/>
      <c r="AW15" s="45"/>
      <c r="AX15" s="45"/>
      <c r="AY15" s="49"/>
      <c r="AZ15" s="51"/>
      <c r="BA15" s="51"/>
      <c r="BB15" s="51"/>
      <c r="BC15" s="51"/>
      <c r="BD15" s="51"/>
      <c r="BE15" s="51"/>
      <c r="BF15" s="51"/>
      <c r="BG15" s="51"/>
      <c r="BH15" s="48"/>
      <c r="BI15" s="47"/>
      <c r="BJ15" s="50"/>
      <c r="BK15" s="50"/>
      <c r="BL15" s="50"/>
      <c r="BM15" s="50"/>
      <c r="BN15" s="50"/>
      <c r="BO15" s="50"/>
      <c r="BP15" s="50"/>
      <c r="BQ15" s="50"/>
      <c r="BR15" s="48"/>
    </row>
    <row r="16" spans="1:70" s="67" customFormat="1" ht="23.25" customHeight="1">
      <c r="A16" s="2100"/>
      <c r="B16" s="70" t="s">
        <v>79</v>
      </c>
      <c r="C16" s="52"/>
      <c r="D16" s="51"/>
      <c r="E16" s="51"/>
      <c r="F16" s="51"/>
      <c r="G16" s="51"/>
      <c r="H16" s="51"/>
      <c r="I16" s="51"/>
      <c r="J16" s="51"/>
      <c r="K16" s="51"/>
      <c r="L16" s="50"/>
      <c r="M16" s="51"/>
      <c r="N16" s="50"/>
      <c r="O16" s="49"/>
      <c r="P16" s="51"/>
      <c r="Q16" s="51"/>
      <c r="R16" s="51"/>
      <c r="S16" s="51"/>
      <c r="T16" s="51"/>
      <c r="U16" s="51"/>
      <c r="V16" s="51"/>
      <c r="W16" s="51"/>
      <c r="X16" s="48"/>
      <c r="Y16" s="47"/>
      <c r="Z16" s="50"/>
      <c r="AA16" s="50"/>
      <c r="AB16" s="50"/>
      <c r="AC16" s="50"/>
      <c r="AD16" s="50"/>
      <c r="AE16" s="50"/>
      <c r="AF16" s="50"/>
      <c r="AG16" s="50"/>
      <c r="AH16" s="48"/>
      <c r="AI16" s="46"/>
      <c r="AJ16" s="54"/>
      <c r="AL16" s="53" t="s">
        <v>11</v>
      </c>
      <c r="AM16" s="51"/>
      <c r="AN16" s="51"/>
      <c r="AO16" s="51"/>
      <c r="AP16" s="51"/>
      <c r="AQ16" s="51"/>
      <c r="AR16" s="51"/>
      <c r="AS16" s="51"/>
      <c r="AT16" s="51"/>
      <c r="AU16" s="51"/>
      <c r="AV16" s="50"/>
      <c r="AW16" s="45"/>
      <c r="AX16" s="45"/>
      <c r="AY16" s="49"/>
      <c r="AZ16" s="51"/>
      <c r="BA16" s="51"/>
      <c r="BB16" s="51"/>
      <c r="BC16" s="51"/>
      <c r="BD16" s="51"/>
      <c r="BE16" s="51"/>
      <c r="BF16" s="51"/>
      <c r="BG16" s="51"/>
      <c r="BH16" s="48"/>
      <c r="BI16" s="47"/>
      <c r="BJ16" s="50"/>
      <c r="BK16" s="50"/>
      <c r="BL16" s="50"/>
      <c r="BM16" s="50"/>
      <c r="BN16" s="50"/>
      <c r="BO16" s="50"/>
      <c r="BP16" s="50"/>
      <c r="BQ16" s="50"/>
      <c r="BR16" s="48"/>
    </row>
    <row r="17" spans="1:70" s="67" customFormat="1" ht="23.25" customHeight="1">
      <c r="A17" s="2100" t="s">
        <v>80</v>
      </c>
      <c r="B17" s="70" t="s">
        <v>81</v>
      </c>
      <c r="C17" s="52"/>
      <c r="D17" s="51"/>
      <c r="E17" s="51"/>
      <c r="F17" s="51"/>
      <c r="G17" s="51"/>
      <c r="H17" s="51"/>
      <c r="I17" s="51"/>
      <c r="J17" s="51"/>
      <c r="K17" s="51"/>
      <c r="L17" s="50"/>
      <c r="M17" s="51"/>
      <c r="N17" s="50"/>
      <c r="O17" s="49"/>
      <c r="P17" s="51"/>
      <c r="Q17" s="51"/>
      <c r="R17" s="51"/>
      <c r="S17" s="51"/>
      <c r="T17" s="51"/>
      <c r="U17" s="51"/>
      <c r="V17" s="51"/>
      <c r="W17" s="51"/>
      <c r="X17" s="48"/>
      <c r="Y17" s="47"/>
      <c r="Z17" s="50"/>
      <c r="AA17" s="50"/>
      <c r="AB17" s="50"/>
      <c r="AC17" s="50"/>
      <c r="AD17" s="50"/>
      <c r="AE17" s="50"/>
      <c r="AF17" s="50"/>
      <c r="AG17" s="50"/>
      <c r="AH17" s="48"/>
      <c r="AI17" s="46"/>
      <c r="AJ17" s="54"/>
      <c r="AL17" s="53" t="s">
        <v>11</v>
      </c>
      <c r="AM17" s="51"/>
      <c r="AN17" s="51"/>
      <c r="AO17" s="51"/>
      <c r="AP17" s="51"/>
      <c r="AQ17" s="51"/>
      <c r="AR17" s="51"/>
      <c r="AS17" s="51"/>
      <c r="AT17" s="51"/>
      <c r="AU17" s="51"/>
      <c r="AV17" s="50"/>
      <c r="AW17" s="45"/>
      <c r="AX17" s="45"/>
      <c r="AY17" s="49"/>
      <c r="AZ17" s="51"/>
      <c r="BA17" s="51"/>
      <c r="BB17" s="51"/>
      <c r="BC17" s="51"/>
      <c r="BD17" s="51"/>
      <c r="BE17" s="51"/>
      <c r="BF17" s="51"/>
      <c r="BG17" s="51"/>
      <c r="BH17" s="48"/>
      <c r="BI17" s="47"/>
      <c r="BJ17" s="50"/>
      <c r="BK17" s="50"/>
      <c r="BL17" s="50"/>
      <c r="BM17" s="50"/>
      <c r="BN17" s="50"/>
      <c r="BO17" s="50"/>
      <c r="BP17" s="50"/>
      <c r="BQ17" s="50"/>
      <c r="BR17" s="48"/>
    </row>
    <row r="18" spans="1:70" s="67" customFormat="1" ht="23.25" customHeight="1">
      <c r="A18" s="2101"/>
      <c r="B18" s="69" t="s">
        <v>82</v>
      </c>
      <c r="C18" s="66"/>
      <c r="D18" s="65"/>
      <c r="E18" s="65"/>
      <c r="F18" s="65"/>
      <c r="G18" s="65"/>
      <c r="H18" s="65"/>
      <c r="I18" s="65"/>
      <c r="J18" s="65"/>
      <c r="K18" s="65"/>
      <c r="L18" s="64"/>
      <c r="M18" s="65"/>
      <c r="N18" s="64"/>
      <c r="O18" s="63"/>
      <c r="P18" s="65"/>
      <c r="Q18" s="65"/>
      <c r="R18" s="65"/>
      <c r="S18" s="65"/>
      <c r="T18" s="65"/>
      <c r="U18" s="65"/>
      <c r="V18" s="65"/>
      <c r="W18" s="65"/>
      <c r="X18" s="62"/>
      <c r="Y18" s="37"/>
      <c r="Z18" s="64"/>
      <c r="AA18" s="64"/>
      <c r="AB18" s="64"/>
      <c r="AC18" s="65"/>
      <c r="AD18" s="65"/>
      <c r="AE18" s="64"/>
      <c r="AF18" s="64"/>
      <c r="AG18" s="64"/>
      <c r="AH18" s="62"/>
      <c r="AI18" s="36"/>
      <c r="AJ18" s="54"/>
      <c r="AL18" s="53" t="s">
        <v>11</v>
      </c>
      <c r="AM18" s="51"/>
      <c r="AN18" s="51"/>
      <c r="AO18" s="51"/>
      <c r="AP18" s="51"/>
      <c r="AQ18" s="51"/>
      <c r="AR18" s="51"/>
      <c r="AS18" s="51"/>
      <c r="AT18" s="51"/>
      <c r="AU18" s="51"/>
      <c r="AV18" s="50"/>
      <c r="AW18" s="45"/>
      <c r="AX18" s="45"/>
      <c r="AY18" s="49"/>
      <c r="AZ18" s="51"/>
      <c r="BA18" s="51"/>
      <c r="BB18" s="51"/>
      <c r="BC18" s="51"/>
      <c r="BD18" s="51"/>
      <c r="BE18" s="51"/>
      <c r="BF18" s="51"/>
      <c r="BG18" s="51"/>
      <c r="BH18" s="48"/>
      <c r="BI18" s="47"/>
      <c r="BJ18" s="50"/>
      <c r="BK18" s="50"/>
      <c r="BL18" s="50"/>
      <c r="BM18" s="50"/>
      <c r="BN18" s="50"/>
      <c r="BO18" s="50"/>
      <c r="BP18" s="50"/>
      <c r="BQ18" s="50"/>
      <c r="BR18" s="48"/>
    </row>
    <row r="19" spans="1:70" s="68" customFormat="1" ht="23.25" customHeight="1">
      <c r="A19" s="53" t="s">
        <v>45</v>
      </c>
      <c r="B19" s="53" t="s">
        <v>46</v>
      </c>
      <c r="C19" s="35">
        <f>C20</f>
        <v>0</v>
      </c>
      <c r="D19" s="35">
        <f t="shared" ref="D19:AH19" si="0">D20</f>
        <v>0</v>
      </c>
      <c r="E19" s="35">
        <f t="shared" si="0"/>
        <v>0</v>
      </c>
      <c r="F19" s="35">
        <f t="shared" si="0"/>
        <v>0</v>
      </c>
      <c r="G19" s="35">
        <f t="shared" si="0"/>
        <v>0</v>
      </c>
      <c r="H19" s="35">
        <f t="shared" si="0"/>
        <v>0</v>
      </c>
      <c r="I19" s="35">
        <f t="shared" si="0"/>
        <v>0</v>
      </c>
      <c r="J19" s="35">
        <f t="shared" si="0"/>
        <v>0</v>
      </c>
      <c r="K19" s="35">
        <f t="shared" si="0"/>
        <v>0</v>
      </c>
      <c r="L19" s="35">
        <f t="shared" si="0"/>
        <v>0</v>
      </c>
      <c r="M19" s="35">
        <f t="shared" si="0"/>
        <v>0</v>
      </c>
      <c r="N19" s="12">
        <f t="shared" si="0"/>
        <v>0</v>
      </c>
      <c r="O19" s="33">
        <f t="shared" si="0"/>
        <v>0</v>
      </c>
      <c r="P19" s="35">
        <f t="shared" si="0"/>
        <v>0</v>
      </c>
      <c r="Q19" s="35">
        <f t="shared" si="0"/>
        <v>0</v>
      </c>
      <c r="R19" s="35">
        <f t="shared" si="0"/>
        <v>0</v>
      </c>
      <c r="S19" s="35">
        <f t="shared" si="0"/>
        <v>0</v>
      </c>
      <c r="T19" s="35">
        <f t="shared" si="0"/>
        <v>0</v>
      </c>
      <c r="U19" s="35">
        <f t="shared" si="0"/>
        <v>0</v>
      </c>
      <c r="V19" s="35">
        <f t="shared" si="0"/>
        <v>0</v>
      </c>
      <c r="W19" s="35">
        <f t="shared" si="0"/>
        <v>0</v>
      </c>
      <c r="X19" s="34">
        <f t="shared" si="0"/>
        <v>0</v>
      </c>
      <c r="Y19" s="35">
        <f t="shared" si="0"/>
        <v>0</v>
      </c>
      <c r="Z19" s="35">
        <f t="shared" si="0"/>
        <v>0</v>
      </c>
      <c r="AA19" s="35">
        <f t="shared" si="0"/>
        <v>0</v>
      </c>
      <c r="AB19" s="35">
        <f t="shared" si="0"/>
        <v>0</v>
      </c>
      <c r="AC19" s="35">
        <f t="shared" si="0"/>
        <v>0</v>
      </c>
      <c r="AD19" s="35">
        <f t="shared" si="0"/>
        <v>0</v>
      </c>
      <c r="AE19" s="35">
        <f t="shared" si="0"/>
        <v>0</v>
      </c>
      <c r="AF19" s="35">
        <f t="shared" si="0"/>
        <v>0</v>
      </c>
      <c r="AG19" s="35">
        <f t="shared" si="0"/>
        <v>0</v>
      </c>
      <c r="AH19" s="12">
        <f t="shared" si="0"/>
        <v>0</v>
      </c>
      <c r="AI19" s="53"/>
      <c r="AL19" s="53" t="s">
        <v>11</v>
      </c>
      <c r="AM19" s="68">
        <f t="shared" ref="AM19:BR19" si="1">SUMIF($AL$5:$AL$18,$AL$19,AM5:AM18)</f>
        <v>0</v>
      </c>
      <c r="AN19" s="68">
        <f t="shared" si="1"/>
        <v>0</v>
      </c>
      <c r="AO19" s="68">
        <f t="shared" si="1"/>
        <v>0</v>
      </c>
      <c r="AP19" s="68">
        <f t="shared" si="1"/>
        <v>0</v>
      </c>
      <c r="AQ19" s="68">
        <f t="shared" si="1"/>
        <v>0</v>
      </c>
      <c r="AR19" s="68">
        <f t="shared" si="1"/>
        <v>0</v>
      </c>
      <c r="AS19" s="68">
        <f t="shared" si="1"/>
        <v>0</v>
      </c>
      <c r="AT19" s="68">
        <f t="shared" si="1"/>
        <v>0</v>
      </c>
      <c r="AU19" s="68">
        <f t="shared" si="1"/>
        <v>0</v>
      </c>
      <c r="AV19" s="68">
        <f t="shared" si="1"/>
        <v>0</v>
      </c>
      <c r="AW19" s="68">
        <f t="shared" si="1"/>
        <v>0</v>
      </c>
      <c r="AX19" s="68">
        <f t="shared" si="1"/>
        <v>0</v>
      </c>
      <c r="AY19" s="68">
        <f t="shared" si="1"/>
        <v>0</v>
      </c>
      <c r="AZ19" s="68">
        <f t="shared" si="1"/>
        <v>0</v>
      </c>
      <c r="BA19" s="68">
        <f t="shared" si="1"/>
        <v>0</v>
      </c>
      <c r="BB19" s="68">
        <f t="shared" si="1"/>
        <v>0</v>
      </c>
      <c r="BC19" s="68">
        <f t="shared" si="1"/>
        <v>0</v>
      </c>
      <c r="BD19" s="68">
        <f t="shared" si="1"/>
        <v>0</v>
      </c>
      <c r="BE19" s="68">
        <f t="shared" si="1"/>
        <v>0</v>
      </c>
      <c r="BF19" s="68">
        <f t="shared" si="1"/>
        <v>0</v>
      </c>
      <c r="BG19" s="68">
        <f t="shared" si="1"/>
        <v>0</v>
      </c>
      <c r="BH19" s="68">
        <f t="shared" si="1"/>
        <v>0</v>
      </c>
      <c r="BI19" s="68">
        <f t="shared" si="1"/>
        <v>0</v>
      </c>
      <c r="BJ19" s="68">
        <f t="shared" si="1"/>
        <v>0</v>
      </c>
      <c r="BK19" s="68">
        <f t="shared" si="1"/>
        <v>0</v>
      </c>
      <c r="BL19" s="68">
        <f t="shared" si="1"/>
        <v>0</v>
      </c>
      <c r="BM19" s="68">
        <f t="shared" si="1"/>
        <v>0</v>
      </c>
      <c r="BN19" s="68">
        <f t="shared" si="1"/>
        <v>0</v>
      </c>
      <c r="BO19" s="68">
        <f t="shared" si="1"/>
        <v>0</v>
      </c>
      <c r="BP19" s="68">
        <f t="shared" si="1"/>
        <v>0</v>
      </c>
      <c r="BQ19" s="68">
        <f t="shared" si="1"/>
        <v>0</v>
      </c>
      <c r="BR19" s="68">
        <f t="shared" si="1"/>
        <v>0</v>
      </c>
    </row>
    <row r="20" spans="1:70" s="68" customFormat="1" ht="23.25" customHeight="1">
      <c r="A20" s="2102" t="s">
        <v>47</v>
      </c>
      <c r="B20" s="2103"/>
      <c r="C20" s="30">
        <f t="shared" ref="C20:AH20" si="2">SUM(C5:C18)</f>
        <v>0</v>
      </c>
      <c r="D20" s="30">
        <f t="shared" si="2"/>
        <v>0</v>
      </c>
      <c r="E20" s="30">
        <f t="shared" si="2"/>
        <v>0</v>
      </c>
      <c r="F20" s="30">
        <f t="shared" si="2"/>
        <v>0</v>
      </c>
      <c r="G20" s="30">
        <f t="shared" si="2"/>
        <v>0</v>
      </c>
      <c r="H20" s="30">
        <f t="shared" si="2"/>
        <v>0</v>
      </c>
      <c r="I20" s="30">
        <f t="shared" si="2"/>
        <v>0</v>
      </c>
      <c r="J20" s="30">
        <f t="shared" si="2"/>
        <v>0</v>
      </c>
      <c r="K20" s="30">
        <f t="shared" si="2"/>
        <v>0</v>
      </c>
      <c r="L20" s="30">
        <f t="shared" si="2"/>
        <v>0</v>
      </c>
      <c r="M20" s="30">
        <f t="shared" si="2"/>
        <v>0</v>
      </c>
      <c r="N20" s="11">
        <f t="shared" si="2"/>
        <v>0</v>
      </c>
      <c r="O20" s="29">
        <f t="shared" si="2"/>
        <v>0</v>
      </c>
      <c r="P20" s="30">
        <f t="shared" si="2"/>
        <v>0</v>
      </c>
      <c r="Q20" s="30">
        <f t="shared" si="2"/>
        <v>0</v>
      </c>
      <c r="R20" s="30">
        <f t="shared" si="2"/>
        <v>0</v>
      </c>
      <c r="S20" s="30">
        <f t="shared" si="2"/>
        <v>0</v>
      </c>
      <c r="T20" s="30">
        <f t="shared" si="2"/>
        <v>0</v>
      </c>
      <c r="U20" s="30">
        <f t="shared" si="2"/>
        <v>0</v>
      </c>
      <c r="V20" s="30">
        <f t="shared" si="2"/>
        <v>0</v>
      </c>
      <c r="W20" s="30">
        <f t="shared" si="2"/>
        <v>0</v>
      </c>
      <c r="X20" s="28">
        <f t="shared" si="2"/>
        <v>0</v>
      </c>
      <c r="Y20" s="30">
        <f t="shared" si="2"/>
        <v>0</v>
      </c>
      <c r="Z20" s="30">
        <f t="shared" si="2"/>
        <v>0</v>
      </c>
      <c r="AA20" s="30">
        <f t="shared" si="2"/>
        <v>0</v>
      </c>
      <c r="AB20" s="30">
        <f t="shared" si="2"/>
        <v>0</v>
      </c>
      <c r="AC20" s="30">
        <f t="shared" si="2"/>
        <v>0</v>
      </c>
      <c r="AD20" s="30">
        <f t="shared" si="2"/>
        <v>0</v>
      </c>
      <c r="AE20" s="30">
        <f t="shared" si="2"/>
        <v>0</v>
      </c>
      <c r="AF20" s="30">
        <f t="shared" si="2"/>
        <v>0</v>
      </c>
      <c r="AG20" s="30">
        <f t="shared" si="2"/>
        <v>0</v>
      </c>
      <c r="AH20" s="11">
        <f t="shared" si="2"/>
        <v>0</v>
      </c>
      <c r="AI20" s="10">
        <f>SUM(C20:AH20)</f>
        <v>0</v>
      </c>
      <c r="AL20" s="53" t="s">
        <v>83</v>
      </c>
      <c r="AM20" s="68">
        <f t="shared" ref="AM20:BR20" si="3">SUMIF($AL$5:$AL$19,$AL$20,AM5:AM19)</f>
        <v>0</v>
      </c>
      <c r="AN20" s="68">
        <f t="shared" si="3"/>
        <v>0</v>
      </c>
      <c r="AO20" s="68">
        <f t="shared" si="3"/>
        <v>0</v>
      </c>
      <c r="AP20" s="68">
        <f t="shared" si="3"/>
        <v>0</v>
      </c>
      <c r="AQ20" s="68">
        <f t="shared" si="3"/>
        <v>0</v>
      </c>
      <c r="AR20" s="68">
        <f t="shared" si="3"/>
        <v>0</v>
      </c>
      <c r="AS20" s="68">
        <f t="shared" si="3"/>
        <v>0</v>
      </c>
      <c r="AT20" s="68">
        <f t="shared" si="3"/>
        <v>0</v>
      </c>
      <c r="AU20" s="68">
        <f t="shared" si="3"/>
        <v>0</v>
      </c>
      <c r="AV20" s="68">
        <f t="shared" si="3"/>
        <v>0</v>
      </c>
      <c r="AW20" s="68">
        <f t="shared" si="3"/>
        <v>0</v>
      </c>
      <c r="AX20" s="68">
        <f t="shared" si="3"/>
        <v>0</v>
      </c>
      <c r="AY20" s="68">
        <f t="shared" si="3"/>
        <v>0</v>
      </c>
      <c r="AZ20" s="68">
        <f t="shared" si="3"/>
        <v>0</v>
      </c>
      <c r="BA20" s="68">
        <f t="shared" si="3"/>
        <v>0</v>
      </c>
      <c r="BB20" s="68">
        <f t="shared" si="3"/>
        <v>0</v>
      </c>
      <c r="BC20" s="68">
        <f t="shared" si="3"/>
        <v>0</v>
      </c>
      <c r="BD20" s="68">
        <f t="shared" si="3"/>
        <v>0</v>
      </c>
      <c r="BE20" s="68">
        <f t="shared" si="3"/>
        <v>0</v>
      </c>
      <c r="BF20" s="68">
        <f t="shared" si="3"/>
        <v>0</v>
      </c>
      <c r="BG20" s="68">
        <f t="shared" si="3"/>
        <v>0</v>
      </c>
      <c r="BH20" s="68">
        <f t="shared" si="3"/>
        <v>0</v>
      </c>
      <c r="BI20" s="68">
        <f t="shared" si="3"/>
        <v>0</v>
      </c>
      <c r="BJ20" s="68">
        <f t="shared" si="3"/>
        <v>0</v>
      </c>
      <c r="BK20" s="68">
        <f t="shared" si="3"/>
        <v>0</v>
      </c>
      <c r="BL20" s="68">
        <f t="shared" si="3"/>
        <v>0</v>
      </c>
      <c r="BM20" s="68">
        <f t="shared" si="3"/>
        <v>0</v>
      </c>
      <c r="BN20" s="68">
        <f t="shared" si="3"/>
        <v>0</v>
      </c>
      <c r="BO20" s="68">
        <f t="shared" si="3"/>
        <v>0</v>
      </c>
      <c r="BP20" s="68">
        <f t="shared" si="3"/>
        <v>0</v>
      </c>
      <c r="BQ20" s="68">
        <f t="shared" si="3"/>
        <v>0</v>
      </c>
      <c r="BR20" s="68">
        <f t="shared" si="3"/>
        <v>0</v>
      </c>
    </row>
    <row r="21" spans="1:70" ht="20.100000000000001" customHeight="1"/>
    <row r="22" spans="1:70" ht="20.100000000000001" customHeight="1">
      <c r="A22" s="27"/>
      <c r="B22" s="27"/>
    </row>
    <row r="23" spans="1:70" ht="20.100000000000001" customHeight="1"/>
    <row r="24" spans="1:70" ht="20.100000000000001" customHeight="1"/>
    <row r="25" spans="1:70" ht="15" customHeight="1"/>
  </sheetData>
  <mergeCells count="32">
    <mergeCell ref="AL3:BD3"/>
    <mergeCell ref="A6:A10"/>
    <mergeCell ref="A11:A12"/>
    <mergeCell ref="Q3:R3"/>
    <mergeCell ref="S3:T3"/>
    <mergeCell ref="U3:V3"/>
    <mergeCell ref="W3:X3"/>
    <mergeCell ref="Y3:Z3"/>
    <mergeCell ref="AA3:AB3"/>
    <mergeCell ref="E3:F3"/>
    <mergeCell ref="G3:H3"/>
    <mergeCell ref="I3:J3"/>
    <mergeCell ref="K3:L3"/>
    <mergeCell ref="M3:N3"/>
    <mergeCell ref="AI1:AI4"/>
    <mergeCell ref="C2:N2"/>
    <mergeCell ref="A13:A14"/>
    <mergeCell ref="A15:A16"/>
    <mergeCell ref="A17:A18"/>
    <mergeCell ref="A20:B20"/>
    <mergeCell ref="AC3:AD3"/>
    <mergeCell ref="O3:P3"/>
    <mergeCell ref="A1:A4"/>
    <mergeCell ref="B1:B4"/>
    <mergeCell ref="C1:N1"/>
    <mergeCell ref="O1:X1"/>
    <mergeCell ref="Y1:AH1"/>
    <mergeCell ref="O2:X2"/>
    <mergeCell ref="Y2:AH2"/>
    <mergeCell ref="C3:D3"/>
    <mergeCell ref="AE3:AF3"/>
    <mergeCell ref="AG3:AH3"/>
  </mergeCells>
  <phoneticPr fontId="13" type="noConversion"/>
  <printOptions horizontalCentered="1"/>
  <pageMargins left="0.62992125984251968" right="0.62992125984251968" top="1.1811023622047245" bottom="0.59055118110236227" header="0.78740157480314965" footer="0.39370078740157483"/>
  <pageSetup paperSize="9" orientation="landscape" r:id="rId1"/>
  <headerFooter>
    <oddHeader>&amp;C&amp;"돋움,굵게"&amp;14오수맨홀 유입,유출수량산출</oddHead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9">
    <tabColor theme="1"/>
  </sheetPr>
  <dimension ref="A1:F63"/>
  <sheetViews>
    <sheetView workbookViewId="0">
      <selection sqref="A1:F1"/>
    </sheetView>
  </sheetViews>
  <sheetFormatPr defaultRowHeight="13.5"/>
  <cols>
    <col min="1" max="1" width="7.77734375" customWidth="1"/>
    <col min="2" max="2" width="8.77734375" customWidth="1"/>
    <col min="3" max="3" width="35.77734375" customWidth="1"/>
    <col min="4" max="4" width="5.77734375" customWidth="1"/>
    <col min="5" max="5" width="10.77734375" customWidth="1"/>
    <col min="6" max="6" width="6.77734375" customWidth="1"/>
    <col min="258" max="262" width="14.77734375" customWidth="1"/>
    <col min="514" max="518" width="14.77734375" customWidth="1"/>
    <col min="770" max="774" width="14.77734375" customWidth="1"/>
    <col min="1026" max="1030" width="14.77734375" customWidth="1"/>
    <col min="1282" max="1286" width="14.77734375" customWidth="1"/>
    <col min="1538" max="1542" width="14.77734375" customWidth="1"/>
    <col min="1794" max="1798" width="14.77734375" customWidth="1"/>
    <col min="2050" max="2054" width="14.77734375" customWidth="1"/>
    <col min="2306" max="2310" width="14.77734375" customWidth="1"/>
    <col min="2562" max="2566" width="14.77734375" customWidth="1"/>
    <col min="2818" max="2822" width="14.77734375" customWidth="1"/>
    <col min="3074" max="3078" width="14.77734375" customWidth="1"/>
    <col min="3330" max="3334" width="14.77734375" customWidth="1"/>
    <col min="3586" max="3590" width="14.77734375" customWidth="1"/>
    <col min="3842" max="3846" width="14.77734375" customWidth="1"/>
    <col min="4098" max="4102" width="14.77734375" customWidth="1"/>
    <col min="4354" max="4358" width="14.77734375" customWidth="1"/>
    <col min="4610" max="4614" width="14.77734375" customWidth="1"/>
    <col min="4866" max="4870" width="14.77734375" customWidth="1"/>
    <col min="5122" max="5126" width="14.77734375" customWidth="1"/>
    <col min="5378" max="5382" width="14.77734375" customWidth="1"/>
    <col min="5634" max="5638" width="14.77734375" customWidth="1"/>
    <col min="5890" max="5894" width="14.77734375" customWidth="1"/>
    <col min="6146" max="6150" width="14.77734375" customWidth="1"/>
    <col min="6402" max="6406" width="14.77734375" customWidth="1"/>
    <col min="6658" max="6662" width="14.77734375" customWidth="1"/>
    <col min="6914" max="6918" width="14.77734375" customWidth="1"/>
    <col min="7170" max="7174" width="14.77734375" customWidth="1"/>
    <col min="7426" max="7430" width="14.77734375" customWidth="1"/>
    <col min="7682" max="7686" width="14.77734375" customWidth="1"/>
    <col min="7938" max="7942" width="14.77734375" customWidth="1"/>
    <col min="8194" max="8198" width="14.77734375" customWidth="1"/>
    <col min="8450" max="8454" width="14.77734375" customWidth="1"/>
    <col min="8706" max="8710" width="14.77734375" customWidth="1"/>
    <col min="8962" max="8966" width="14.77734375" customWidth="1"/>
    <col min="9218" max="9222" width="14.77734375" customWidth="1"/>
    <col min="9474" max="9478" width="14.77734375" customWidth="1"/>
    <col min="9730" max="9734" width="14.77734375" customWidth="1"/>
    <col min="9986" max="9990" width="14.77734375" customWidth="1"/>
    <col min="10242" max="10246" width="14.77734375" customWidth="1"/>
    <col min="10498" max="10502" width="14.77734375" customWidth="1"/>
    <col min="10754" max="10758" width="14.77734375" customWidth="1"/>
    <col min="11010" max="11014" width="14.77734375" customWidth="1"/>
    <col min="11266" max="11270" width="14.77734375" customWidth="1"/>
    <col min="11522" max="11526" width="14.77734375" customWidth="1"/>
    <col min="11778" max="11782" width="14.77734375" customWidth="1"/>
    <col min="12034" max="12038" width="14.77734375" customWidth="1"/>
    <col min="12290" max="12294" width="14.77734375" customWidth="1"/>
    <col min="12546" max="12550" width="14.77734375" customWidth="1"/>
    <col min="12802" max="12806" width="14.77734375" customWidth="1"/>
    <col min="13058" max="13062" width="14.77734375" customWidth="1"/>
    <col min="13314" max="13318" width="14.77734375" customWidth="1"/>
    <col min="13570" max="13574" width="14.77734375" customWidth="1"/>
    <col min="13826" max="13830" width="14.77734375" customWidth="1"/>
    <col min="14082" max="14086" width="14.77734375" customWidth="1"/>
    <col min="14338" max="14342" width="14.77734375" customWidth="1"/>
    <col min="14594" max="14598" width="14.77734375" customWidth="1"/>
    <col min="14850" max="14854" width="14.77734375" customWidth="1"/>
    <col min="15106" max="15110" width="14.77734375" customWidth="1"/>
    <col min="15362" max="15366" width="14.77734375" customWidth="1"/>
    <col min="15618" max="15622" width="14.77734375" customWidth="1"/>
    <col min="15874" max="15878" width="14.77734375" customWidth="1"/>
    <col min="16130" max="16134" width="14.77734375" customWidth="1"/>
  </cols>
  <sheetData>
    <row r="1" spans="1:6" ht="30" customHeight="1">
      <c r="A1" s="2122" t="s">
        <v>84</v>
      </c>
      <c r="B1" s="2122"/>
      <c r="C1" s="2122"/>
      <c r="D1" s="2122"/>
      <c r="E1" s="2122"/>
      <c r="F1" s="2122"/>
    </row>
    <row r="2" spans="1:6" ht="24.95" customHeight="1">
      <c r="A2" s="9"/>
      <c r="B2" s="8"/>
      <c r="C2" s="8"/>
      <c r="D2" s="8"/>
      <c r="E2" s="8"/>
      <c r="F2" s="7"/>
    </row>
    <row r="3" spans="1:6" ht="24.95" customHeight="1">
      <c r="A3" s="6"/>
      <c r="B3" s="5"/>
      <c r="C3" s="5"/>
      <c r="D3" s="5"/>
      <c r="E3" s="5"/>
      <c r="F3" s="4"/>
    </row>
    <row r="4" spans="1:6" ht="24.95" customHeight="1">
      <c r="A4" s="3"/>
      <c r="B4" s="5"/>
      <c r="C4" s="5"/>
      <c r="D4" s="5"/>
      <c r="E4" s="5"/>
      <c r="F4" s="4"/>
    </row>
    <row r="5" spans="1:6" ht="24.95" customHeight="1">
      <c r="A5" s="3"/>
      <c r="B5" s="5"/>
      <c r="C5" s="5"/>
      <c r="D5" s="5"/>
      <c r="E5" s="5"/>
      <c r="F5" s="4"/>
    </row>
    <row r="6" spans="1:6" ht="24.95" customHeight="1">
      <c r="A6" s="3"/>
      <c r="B6" s="5"/>
      <c r="C6" s="5"/>
      <c r="D6" s="5"/>
      <c r="E6" s="5"/>
      <c r="F6" s="4"/>
    </row>
    <row r="7" spans="1:6" ht="24.95" customHeight="1">
      <c r="A7" s="3"/>
      <c r="B7" s="5"/>
      <c r="C7" s="5"/>
      <c r="D7" s="5"/>
      <c r="E7" s="5"/>
      <c r="F7" s="4"/>
    </row>
    <row r="8" spans="1:6" ht="24.95" customHeight="1">
      <c r="A8" s="3"/>
      <c r="B8" s="5"/>
      <c r="C8" s="5"/>
      <c r="D8" s="5"/>
      <c r="E8" s="5"/>
      <c r="F8" s="4"/>
    </row>
    <row r="9" spans="1:6" ht="24.95" customHeight="1">
      <c r="A9" s="3"/>
      <c r="B9" s="5"/>
      <c r="C9" s="5"/>
      <c r="D9" s="5"/>
      <c r="E9" s="5"/>
      <c r="F9" s="4"/>
    </row>
    <row r="10" spans="1:6" ht="24.95" customHeight="1">
      <c r="A10" s="3"/>
      <c r="B10" s="5"/>
      <c r="C10" s="5"/>
      <c r="D10" s="5"/>
      <c r="E10" s="5"/>
      <c r="F10" s="4"/>
    </row>
    <row r="11" spans="1:6" ht="24.95" customHeight="1">
      <c r="A11" s="3"/>
      <c r="B11" s="5"/>
      <c r="C11" s="5"/>
      <c r="D11" s="5"/>
      <c r="E11" s="5"/>
      <c r="F11" s="4"/>
    </row>
    <row r="12" spans="1:6" ht="24.95" customHeight="1">
      <c r="A12" s="3"/>
      <c r="B12" s="5"/>
      <c r="C12" s="5"/>
      <c r="D12" s="5"/>
      <c r="E12" s="5"/>
      <c r="F12" s="4"/>
    </row>
    <row r="13" spans="1:6" ht="24.95" customHeight="1">
      <c r="A13" s="3"/>
      <c r="B13" s="5"/>
      <c r="C13" s="5"/>
      <c r="D13" s="5"/>
      <c r="E13" s="5"/>
      <c r="F13" s="4"/>
    </row>
    <row r="14" spans="1:6" ht="24.95" customHeight="1">
      <c r="A14" s="3"/>
      <c r="B14" s="5"/>
      <c r="C14" s="5"/>
      <c r="D14" s="5"/>
      <c r="E14" s="5"/>
      <c r="F14" s="4"/>
    </row>
    <row r="15" spans="1:6" ht="24.95" customHeight="1">
      <c r="A15" s="3"/>
      <c r="B15" s="5"/>
      <c r="C15" s="5"/>
      <c r="D15" s="5"/>
      <c r="E15" s="5"/>
      <c r="F15" s="4"/>
    </row>
    <row r="16" spans="1:6" ht="24.95" customHeight="1">
      <c r="A16" s="3"/>
      <c r="B16" s="5"/>
      <c r="C16" s="5"/>
      <c r="D16" s="5"/>
      <c r="E16" s="5"/>
      <c r="F16" s="4"/>
    </row>
    <row r="17" spans="1:6" ht="24.95" customHeight="1">
      <c r="A17" s="3"/>
      <c r="B17" s="5"/>
      <c r="C17" s="5"/>
      <c r="D17" s="5"/>
      <c r="E17" s="5"/>
      <c r="F17" s="4"/>
    </row>
    <row r="18" spans="1:6" ht="24.95" customHeight="1">
      <c r="A18" s="3"/>
      <c r="B18" s="5"/>
      <c r="C18" s="5"/>
      <c r="D18" s="5"/>
      <c r="E18" s="5"/>
      <c r="F18" s="4"/>
    </row>
    <row r="19" spans="1:6" ht="24.95" customHeight="1">
      <c r="A19" s="3"/>
      <c r="B19" s="5"/>
      <c r="C19" s="5"/>
      <c r="D19" s="5"/>
      <c r="E19" s="5"/>
      <c r="F19" s="4"/>
    </row>
    <row r="20" spans="1:6" ht="24.95" customHeight="1">
      <c r="A20" s="3"/>
      <c r="B20" s="5"/>
      <c r="C20" s="5"/>
      <c r="D20" s="5"/>
      <c r="E20" s="5"/>
      <c r="F20" s="4"/>
    </row>
    <row r="21" spans="1:6" ht="24.95" customHeight="1">
      <c r="A21" s="3"/>
      <c r="B21" s="5"/>
      <c r="C21" s="5"/>
      <c r="D21" s="2123" t="s">
        <v>85</v>
      </c>
      <c r="E21" s="2123"/>
      <c r="F21" s="2124"/>
    </row>
    <row r="22" spans="1:6" ht="30" customHeight="1">
      <c r="A22" s="2" t="s">
        <v>21</v>
      </c>
      <c r="B22" s="2" t="s">
        <v>49</v>
      </c>
      <c r="C22" s="2" t="s">
        <v>86</v>
      </c>
      <c r="D22" s="2" t="s">
        <v>87</v>
      </c>
      <c r="E22" s="2" t="s">
        <v>88</v>
      </c>
      <c r="F22" s="2" t="s">
        <v>89</v>
      </c>
    </row>
    <row r="23" spans="1:6" ht="30" customHeight="1">
      <c r="A23" s="2125" t="s">
        <v>55</v>
      </c>
      <c r="B23" s="2" t="s">
        <v>26</v>
      </c>
      <c r="C23" s="1" t="s">
        <v>90</v>
      </c>
      <c r="D23" s="2" t="s">
        <v>18</v>
      </c>
      <c r="E23" s="2">
        <f>ROUND(((2*1.7)+(0.8*0.2))*0.5*0.6-(0.15*0.25+0.25*0.2),3)</f>
        <v>0.98099999999999998</v>
      </c>
      <c r="F23" s="2"/>
    </row>
    <row r="24" spans="1:6" ht="30" customHeight="1">
      <c r="A24" s="2126"/>
      <c r="B24" s="2" t="s">
        <v>27</v>
      </c>
      <c r="C24" s="1" t="s">
        <v>91</v>
      </c>
      <c r="D24" s="2" t="s">
        <v>18</v>
      </c>
      <c r="E24" s="2">
        <f>ROUND(((2.1*1.7)+(0.8*0.3))*0.5*0.6-(0.15*0.25+0.25*0.2),3)</f>
        <v>1.056</v>
      </c>
      <c r="F24" s="2"/>
    </row>
    <row r="25" spans="1:6" ht="30" customHeight="1">
      <c r="A25" s="2126"/>
      <c r="B25" s="2" t="s">
        <v>28</v>
      </c>
      <c r="C25" s="1" t="s">
        <v>92</v>
      </c>
      <c r="D25" s="2" t="s">
        <v>18</v>
      </c>
      <c r="E25" s="2">
        <f>ROUND(((2.2*1.7)+(0.8*0.4))*0.5*0.6-(0.15*0.25+0.25*0.2),3)</f>
        <v>1.131</v>
      </c>
      <c r="F25" s="2"/>
    </row>
    <row r="26" spans="1:6" ht="30" customHeight="1">
      <c r="A26" s="2126"/>
      <c r="B26" s="2" t="s">
        <v>29</v>
      </c>
      <c r="C26" s="1" t="s">
        <v>93</v>
      </c>
      <c r="D26" s="2" t="s">
        <v>18</v>
      </c>
      <c r="E26" s="2">
        <f>ROUND(((2.3*1.7)+(0.8*0.5))*0.5*0.6-(0.15*0.25+0.25*0.2),3)</f>
        <v>1.206</v>
      </c>
      <c r="F26" s="2"/>
    </row>
    <row r="27" spans="1:6" ht="30" customHeight="1">
      <c r="A27" s="2126"/>
      <c r="B27" s="2" t="s">
        <v>94</v>
      </c>
      <c r="C27" s="1" t="s">
        <v>95</v>
      </c>
      <c r="D27" s="2" t="s">
        <v>18</v>
      </c>
      <c r="E27" s="2">
        <f>ROUND(((2.5*1.7)+(0.8*0.7))*0.5*0.6-(0.15*0.25+0.25*0.2),3)</f>
        <v>1.3560000000000001</v>
      </c>
      <c r="F27" s="2"/>
    </row>
    <row r="28" spans="1:6" ht="24.95" customHeight="1"/>
    <row r="29" spans="1:6" ht="24.95" customHeight="1"/>
    <row r="30" spans="1:6" ht="24.95" customHeight="1"/>
    <row r="31" spans="1:6" ht="24.95" customHeight="1"/>
    <row r="32" spans="1:6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</sheetData>
  <mergeCells count="3">
    <mergeCell ref="A1:F1"/>
    <mergeCell ref="D21:F21"/>
    <mergeCell ref="A23:A27"/>
  </mergeCells>
  <phoneticPr fontId="13" type="noConversion"/>
  <printOptions horizontalCentered="1"/>
  <pageMargins left="0.70866141732283472" right="0.70866141732283472" top="0.98425196850393704" bottom="0.74803149606299213" header="0.51181102362204722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51</vt:i4>
      </vt:variant>
      <vt:variant>
        <vt:lpstr>이름 지정된 범위</vt:lpstr>
      </vt:variant>
      <vt:variant>
        <vt:i4>50</vt:i4>
      </vt:variant>
    </vt:vector>
  </HeadingPairs>
  <TitlesOfParts>
    <vt:vector size="101" baseType="lpstr">
      <vt:lpstr>간지 (8)</vt:lpstr>
      <vt:lpstr>맨홀수량집계표</vt:lpstr>
      <vt:lpstr>수량집계표</vt:lpstr>
      <vt:lpstr>성토부 맨홀 잡석수량 집계표</vt:lpstr>
      <vt:lpstr>성토부 맨홀 수량</vt:lpstr>
      <vt:lpstr>오수원형맨홀1호(차도)</vt:lpstr>
      <vt:lpstr>오수원형맨홀1호(보도)</vt:lpstr>
      <vt:lpstr>오수원형맨홀3호(차도)</vt:lpstr>
      <vt:lpstr>오수원형맨홀2호(차도)</vt:lpstr>
      <vt:lpstr>오수원형맨홀2호(보도)</vt:lpstr>
      <vt:lpstr>1호맨홀단위수량</vt:lpstr>
      <vt:lpstr>2호맨홀단위수량</vt:lpstr>
      <vt:lpstr>3호맨홀단위수량</vt:lpstr>
      <vt:lpstr>오수각형맨홀2호(차도)</vt:lpstr>
      <vt:lpstr>오수각형맨홀3호(차도)</vt:lpstr>
      <vt:lpstr>특2호각형맨홀</vt:lpstr>
      <vt:lpstr>특2호맨홀단위수량</vt:lpstr>
      <vt:lpstr>특2호각형맨홀(차도측)</vt:lpstr>
      <vt:lpstr>특2호맨홀단위수량(차도측)</vt:lpstr>
      <vt:lpstr>특2호각형맨홀(보도측)</vt:lpstr>
      <vt:lpstr>특2호맨홀단위수량(보도측)</vt:lpstr>
      <vt:lpstr>특2호각형맨홀(차도측)집계</vt:lpstr>
      <vt:lpstr>특2호각형맨홀(차도측)단위수량</vt:lpstr>
      <vt:lpstr>각형맨홀2호삽도</vt:lpstr>
      <vt:lpstr>특3호각형맨홀(차도측)집계</vt:lpstr>
      <vt:lpstr>특3호각형맨홀(차도측)단위수량</vt:lpstr>
      <vt:lpstr>각형맨홀3호삽도</vt:lpstr>
      <vt:lpstr>인버트수량집계</vt:lpstr>
      <vt:lpstr>인버트콘크리트</vt:lpstr>
      <vt:lpstr>인버트몰탈</vt:lpstr>
      <vt:lpstr>오수인버트삽도</vt:lpstr>
      <vt:lpstr>오수인버트(각형2호)</vt:lpstr>
      <vt:lpstr>오수인버트(각형3호)</vt:lpstr>
      <vt:lpstr>평균유입유출관(각형인버트산출용)</vt:lpstr>
      <vt:lpstr>오수관 맨홀이음부 몰탈 수량집계</vt:lpstr>
      <vt:lpstr>관연결부 고무커넥터수량</vt:lpstr>
      <vt:lpstr>오수맨홀수량 및 평균높이</vt:lpstr>
      <vt:lpstr>맨홀유출입수량</vt:lpstr>
      <vt:lpstr>맨홀 평균 높이</vt:lpstr>
      <vt:lpstr>부관맨홀재료집계</vt:lpstr>
      <vt:lpstr>부관맨홀단위수량</vt:lpstr>
      <vt:lpstr>맨홀 유입관로 하부 잡석 포설수량 집계표</vt:lpstr>
      <vt:lpstr>유입부 하부잡석포설단위수량</vt:lpstr>
      <vt:lpstr>유입부 하부잡석포설산출조서</vt:lpstr>
      <vt:lpstr>부관맨홀 산출근거</vt:lpstr>
      <vt:lpstr>이후출력금지-----&gt;</vt:lpstr>
      <vt:lpstr>수리계산결과 붙여넣기</vt:lpstr>
      <vt:lpstr>Sheet1</vt:lpstr>
      <vt:lpstr>맨홀접속부 잡석수량 집계표</vt:lpstr>
      <vt:lpstr>맨홀유출입수량(성토부)</vt:lpstr>
      <vt:lpstr>맨홀접속부 잡석 단위수량</vt:lpstr>
      <vt:lpstr>'맨홀유출입수량(성토부)'!_FilterDatabase</vt:lpstr>
      <vt:lpstr>'성토부 맨홀 수량'!_FilterDatabase</vt:lpstr>
      <vt:lpstr>'2호맨홀단위수량'!Print_Area</vt:lpstr>
      <vt:lpstr>'3호맨홀단위수량'!Print_Area</vt:lpstr>
      <vt:lpstr>각형맨홀2호삽도!Print_Area</vt:lpstr>
      <vt:lpstr>각형맨홀3호삽도!Print_Area</vt:lpstr>
      <vt:lpstr>'관연결부 고무커넥터수량'!Print_Area</vt:lpstr>
      <vt:lpstr>'맨홀 평균 높이'!Print_Area</vt:lpstr>
      <vt:lpstr>맨홀수량집계표!Print_Area</vt:lpstr>
      <vt:lpstr>맨홀유출입수량!Print_Area</vt:lpstr>
      <vt:lpstr>'맨홀유출입수량(성토부)'!Print_Area</vt:lpstr>
      <vt:lpstr>'맨홀접속부 잡석수량 집계표'!Print_Area</vt:lpstr>
      <vt:lpstr>'부관맨홀 산출근거'!Print_Area</vt:lpstr>
      <vt:lpstr>'성토부 맨홀 수량'!Print_Area</vt:lpstr>
      <vt:lpstr>'성토부 맨홀 잡석수량 집계표'!Print_Area</vt:lpstr>
      <vt:lpstr>수량집계표!Print_Area</vt:lpstr>
      <vt:lpstr>'오수각형맨홀2호(차도)'!Print_Area</vt:lpstr>
      <vt:lpstr>'오수각형맨홀3호(차도)'!Print_Area</vt:lpstr>
      <vt:lpstr>'오수관 맨홀이음부 몰탈 수량집계'!Print_Area</vt:lpstr>
      <vt:lpstr>'오수맨홀수량 및 평균높이'!Print_Area</vt:lpstr>
      <vt:lpstr>'오수원형맨홀1호(보도)'!Print_Area</vt:lpstr>
      <vt:lpstr>'오수원형맨홀1호(차도)'!Print_Area</vt:lpstr>
      <vt:lpstr>'오수원형맨홀2호(보도)'!Print_Area</vt:lpstr>
      <vt:lpstr>'오수원형맨홀2호(차도)'!Print_Area</vt:lpstr>
      <vt:lpstr>'오수원형맨홀3호(차도)'!Print_Area</vt:lpstr>
      <vt:lpstr>오수인버트삽도!Print_Area</vt:lpstr>
      <vt:lpstr>'유입부 하부잡석포설단위수량'!Print_Area</vt:lpstr>
      <vt:lpstr>'유입부 하부잡석포설산출조서'!Print_Area</vt:lpstr>
      <vt:lpstr>인버트몰탈!Print_Area</vt:lpstr>
      <vt:lpstr>인버트콘크리트!Print_Area</vt:lpstr>
      <vt:lpstr>'특2호각형맨홀(차도측)단위수량'!Print_Area</vt:lpstr>
      <vt:lpstr>'특2호각형맨홀(차도측)집계'!Print_Area</vt:lpstr>
      <vt:lpstr>특2호맨홀단위수량!Print_Area</vt:lpstr>
      <vt:lpstr>'특2호맨홀단위수량(보도측)'!Print_Area</vt:lpstr>
      <vt:lpstr>'특2호맨홀단위수량(차도측)'!Print_Area</vt:lpstr>
      <vt:lpstr>'평균유입유출관(각형인버트산출용)'!Print_Area</vt:lpstr>
      <vt:lpstr>'맨홀 평균 높이'!Print_Titles</vt:lpstr>
      <vt:lpstr>맨홀수량집계표!Print_Titles</vt:lpstr>
      <vt:lpstr>맨홀유출입수량!Print_Titles</vt:lpstr>
      <vt:lpstr>'맨홀유출입수량(성토부)'!Print_Titles</vt:lpstr>
      <vt:lpstr>'성토부 맨홀 수량'!Print_Titles</vt:lpstr>
      <vt:lpstr>수량집계표!Print_Titles</vt:lpstr>
      <vt:lpstr>'오수각형맨홀2호(차도)'!Print_Titles</vt:lpstr>
      <vt:lpstr>'오수각형맨홀3호(차도)'!Print_Titles</vt:lpstr>
      <vt:lpstr>'오수원형맨홀1호(보도)'!Print_Titles</vt:lpstr>
      <vt:lpstr>'오수원형맨홀1호(차도)'!Print_Titles</vt:lpstr>
      <vt:lpstr>'오수원형맨홀2호(보도)'!Print_Titles</vt:lpstr>
      <vt:lpstr>'오수원형맨홀2호(차도)'!Print_Titles</vt:lpstr>
      <vt:lpstr>'오수원형맨홀3호(차도)'!Print_Titles</vt:lpstr>
      <vt:lpstr>'유입부 하부잡석포설산출조서'!Print_Titles</vt:lpstr>
    </vt:vector>
  </TitlesOfParts>
  <Company>CGS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CGSComputer</dc:creator>
  <cp:lastModifiedBy>태웅 장</cp:lastModifiedBy>
  <cp:lastPrinted>2025-07-25T05:11:24Z</cp:lastPrinted>
  <dcterms:created xsi:type="dcterms:W3CDTF">2006-06-20T01:23:36Z</dcterms:created>
  <dcterms:modified xsi:type="dcterms:W3CDTF">2025-12-01T11:02:22Z</dcterms:modified>
</cp:coreProperties>
</file>