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ipied-my.sharepoint.com/personal/thanaphol_kon_dome_tu_ac_th/Documents/ไฟล์การแชท Microsoft Teams/"/>
    </mc:Choice>
  </mc:AlternateContent>
  <xr:revisionPtr revIDLastSave="0" documentId="8_{5255537E-066E-4C9D-BE81-B5268225D217}" xr6:coauthVersionLast="47" xr6:coauthVersionMax="47" xr10:uidLastSave="{00000000-0000-0000-0000-000000000000}"/>
  <bookViews>
    <workbookView xWindow="-108" yWindow="-108" windowWidth="23256" windowHeight="12576" xr2:uid="{FB1A5BB6-7A6F-4CC6-B783-7CDC69F756D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1" l="1"/>
  <c r="C18" i="1"/>
  <c r="C19" i="1" s="1"/>
  <c r="F21" i="1" s="1"/>
  <c r="F22" i="1" s="1"/>
  <c r="C21" i="1" s="1"/>
  <c r="C84" i="1" s="1"/>
  <c r="C13" i="1"/>
  <c r="C85" i="1" s="1"/>
  <c r="C76" i="1"/>
  <c r="C80" i="1"/>
  <c r="C74" i="1"/>
  <c r="H60" i="1"/>
  <c r="H61" i="1" s="1"/>
  <c r="H57" i="1"/>
  <c r="H59" i="1" s="1"/>
  <c r="C58" i="1"/>
  <c r="H37" i="1"/>
  <c r="H38" i="1"/>
  <c r="H40" i="1" s="1"/>
  <c r="C38" i="1"/>
  <c r="C41" i="1" s="1"/>
  <c r="C26" i="1"/>
  <c r="C27" i="1" s="1"/>
  <c r="C86" i="1" s="1"/>
  <c r="H39" i="1" l="1"/>
  <c r="C40" i="1" s="1"/>
  <c r="H56" i="1"/>
  <c r="C50" i="1" s="1"/>
  <c r="C39" i="1" l="1"/>
  <c r="C87" i="1" s="1"/>
  <c r="H41" i="1"/>
  <c r="C59" i="1"/>
  <c r="H63" i="1"/>
  <c r="C57" i="1" s="1"/>
  <c r="H62" i="1"/>
  <c r="H64" i="1" l="1"/>
  <c r="C56" i="1"/>
  <c r="C60" i="1" l="1"/>
  <c r="C89" i="1" s="1"/>
  <c r="C88" i="1"/>
  <c r="C91" i="1" s="1"/>
  <c r="C93" i="1" l="1"/>
  <c r="C94" i="1"/>
  <c r="C92" i="1"/>
</calcChain>
</file>

<file path=xl/sharedStrings.xml><?xml version="1.0" encoding="utf-8"?>
<sst xmlns="http://schemas.openxmlformats.org/spreadsheetml/2006/main" count="142" uniqueCount="113">
  <si>
    <t>คำนวณ MCC</t>
  </si>
  <si>
    <t>โครงสร้างเงินทุนเป้าหมาย</t>
  </si>
  <si>
    <t>สัดส่วน</t>
  </si>
  <si>
    <t>หนี้สินระยะสั้น</t>
  </si>
  <si>
    <t>หนี้สินระยะยาว</t>
  </si>
  <si>
    <t>ส่วนของผู้ถือหุ้นสามัญ</t>
  </si>
  <si>
    <t>อัตราภาษี</t>
  </si>
  <si>
    <t>จะระดมทุนเพิ่ม</t>
  </si>
  <si>
    <t>บาท</t>
  </si>
  <si>
    <t>1. เงินกู้ระยะสั้น (STL) (กู้ได้ &lt;= 6,000,000 บาท ต่ออายุได้ไม่เกิน 4 ครั้ง)</t>
  </si>
  <si>
    <t>ระยะเวลา</t>
  </si>
  <si>
    <t>ปี</t>
  </si>
  <si>
    <t>ต้นทุน</t>
  </si>
  <si>
    <t>MLR+0.5%</t>
  </si>
  <si>
    <t>MLR เฉลี่ย 5 ปีข้างหน้า</t>
  </si>
  <si>
    <t>ต้นทุนก่อนภาษี (Kstl) สำหรับเงินกู้ระยะสั้นไม่เกิน 6 ล้านบาท</t>
  </si>
  <si>
    <t>2. ตั๋วแลกเงิน (BE) (สามารถต่ออายุได้ใน 3 ปีข้างหน้า)</t>
  </si>
  <si>
    <t xml:space="preserve">Par </t>
  </si>
  <si>
    <t xml:space="preserve">อายุ </t>
  </si>
  <si>
    <t>วัน</t>
  </si>
  <si>
    <t>ส่วนลดจากราคาที่ตราไว้</t>
  </si>
  <si>
    <t>ต่อปี</t>
  </si>
  <si>
    <t>ส่วนลดจากราคาที่ตราไว้ต่องวด</t>
  </si>
  <si>
    <t>ต่องวด</t>
  </si>
  <si>
    <t xml:space="preserve">ราคาขาย netP0 = Par - Par(1-อัตราส่วนลดต่องวด)(1-f) </t>
  </si>
  <si>
    <t>ค่าใช้จ่ายจัดจำหน่าย (F)</t>
  </si>
  <si>
    <t>Kbe</t>
  </si>
  <si>
    <t>netP0(1+kbe)^1 = Par</t>
  </si>
  <si>
    <t>ต้นทุนตั๋ว BE ก่อนภาษี (Kbe) รวม F</t>
  </si>
  <si>
    <t>ต่องวด 90 วัน</t>
  </si>
  <si>
    <t>ทำเป็นต่อปี (SAR)</t>
  </si>
  <si>
    <t xml:space="preserve">1. เงินกู้ระยะยาว (LTL) วงเงิน 9 ล้านบาท คิดอัตราดอกเบี้ยแบบ Amortization </t>
  </si>
  <si>
    <t>MLR+0.85%</t>
  </si>
  <si>
    <t>ต้นทุนก่อนภาษี (Kltl) สำหรับเงินกู้ระยะยาววงเงิน 9 ล้านบาท</t>
  </si>
  <si>
    <t>2. หุ้นกู้ระยะยาว (LTB)</t>
  </si>
  <si>
    <t>Par = selling price (P0)</t>
  </si>
  <si>
    <t>อัตราดอกเบี้ยที่ตราไว้ (coupon rate) จ่ายดอกเบี้ยปีละ 2 ครั้ง (m=2)</t>
  </si>
  <si>
    <t>จ่ายดอกเบี้ยปีละ 2 ครั้ง (m=2)</t>
  </si>
  <si>
    <t>ค่าใช้จ่ายจัดจำหน่าย (FC)</t>
  </si>
  <si>
    <t>อันดับความน่าเชื่อถือ</t>
  </si>
  <si>
    <t>BBB+</t>
  </si>
  <si>
    <t xml:space="preserve">Expected market risk premium </t>
  </si>
  <si>
    <t>government bond yield 10 ปี (rf)</t>
  </si>
  <si>
    <t>default-risk spread BBB+ 3 year</t>
  </si>
  <si>
    <t>%</t>
  </si>
  <si>
    <t>วิธีคำนวณ</t>
  </si>
  <si>
    <t>DCF</t>
  </si>
  <si>
    <t>net P0</t>
  </si>
  <si>
    <t>Coupon ต่องวด</t>
  </si>
  <si>
    <t xml:space="preserve">ต้นทุนหุ้นกู้ก่อนภาษี (Kltb) simple average รวม FC </t>
  </si>
  <si>
    <t>Kltb,DCF1 รวม FC</t>
  </si>
  <si>
    <t xml:space="preserve">   Kltb วิธี DCF รวม FC</t>
  </si>
  <si>
    <t>Kltb,DCF1 ไม่รวม FC</t>
  </si>
  <si>
    <t xml:space="preserve">   Kltb วิธี DSA (Klttb=rf+spread+FC adjustment) รวม F</t>
  </si>
  <si>
    <t>FC adjustment</t>
  </si>
  <si>
    <t>กำไรสุทธิปีนี้</t>
  </si>
  <si>
    <t>อัตราจ่ายปันผล (b)</t>
  </si>
  <si>
    <t>ของกำไรสุทธิ</t>
  </si>
  <si>
    <t>เงินปันผลหุ้นสามัญสิ้นปี 25X0 (D0)</t>
  </si>
  <si>
    <t>บาท/หุ้น</t>
  </si>
  <si>
    <t>เงินปันผลหุ้นสามัญ 8 ปีก่อน (D-8)</t>
  </si>
  <si>
    <t>อัตราการเติบโตของเงินปันผลคงที่ตลอดไปไม่สิ้นสุด (g)</t>
  </si>
  <si>
    <t xml:space="preserve">ราคาขายหุ้นสามัญ </t>
  </si>
  <si>
    <t>ราคา par</t>
  </si>
  <si>
    <t>ค่าใช้จ่ายออกหุ้นสามัญ (F)</t>
  </si>
  <si>
    <t>ของราคาเสนอขาย</t>
  </si>
  <si>
    <t xml:space="preserve">Beta coeeficient (beta) </t>
  </si>
  <si>
    <t>Expected risk premium (ERM)</t>
  </si>
  <si>
    <t>ต้นทุนของหุ้นสามัญ (Ke) ไม่รวม F adjustment</t>
  </si>
  <si>
    <t>DCM</t>
  </si>
  <si>
    <t>g calculation simple average</t>
  </si>
  <si>
    <t xml:space="preserve">   Ke วิธี DCM </t>
  </si>
  <si>
    <t xml:space="preserve">   g วิธีที่ 1 Rule72</t>
  </si>
  <si>
    <t xml:space="preserve">   Ke วิธี CAPM (Ke = rf+ beta*E(Rm-rf))</t>
  </si>
  <si>
    <t xml:space="preserve">   g วิธีที่ 2 (g=divedend payout ratio*ROE)</t>
  </si>
  <si>
    <t>คิดไม่ได้เพราะไม่มี expected ROE</t>
  </si>
  <si>
    <t xml:space="preserve">   Ke วิธี JRPA (ke=kdmax+ERM)</t>
  </si>
  <si>
    <t>D1 = D0(1+g)</t>
  </si>
  <si>
    <t>ต้นทุนของหุ้นสามัญ (Ke) รวม F adjustment</t>
  </si>
  <si>
    <t>P0</t>
  </si>
  <si>
    <t>NI 0 ค่อนข้างเสถียร</t>
  </si>
  <si>
    <t>netP0</t>
  </si>
  <si>
    <t>Ke DCM รวม F</t>
  </si>
  <si>
    <t>Ke DCM ไม่รวม F</t>
  </si>
  <si>
    <t>F adjustment</t>
  </si>
  <si>
    <t>คำนวณ BP</t>
  </si>
  <si>
    <t>สัดส่วน (w)</t>
  </si>
  <si>
    <t>มูลค่า</t>
  </si>
  <si>
    <t>BP4</t>
  </si>
  <si>
    <t>BP STL1</t>
  </si>
  <si>
    <t xml:space="preserve">     500,000 &lt; STL1 &lt;= 6,000,000</t>
  </si>
  <si>
    <t>BP3</t>
  </si>
  <si>
    <t>BP LTL1</t>
  </si>
  <si>
    <t xml:space="preserve">     0 &lt; LTL &lt;= 9,000,000</t>
  </si>
  <si>
    <t>BP1</t>
  </si>
  <si>
    <t>BP LTL2</t>
  </si>
  <si>
    <t xml:space="preserve">   0&lt;  BE &lt;= 500,000 </t>
  </si>
  <si>
    <t>BP2</t>
  </si>
  <si>
    <t xml:space="preserve">BP R/E </t>
  </si>
  <si>
    <t xml:space="preserve">   BP = (1-b)x(NI)</t>
  </si>
  <si>
    <t>สรุปต้นทุนแต่ละช่องทาง</t>
  </si>
  <si>
    <t>Simple average</t>
  </si>
  <si>
    <t>Kstd1 0 &lt;=500,000</t>
  </si>
  <si>
    <t>Kstd2 ออกตั๋ว BE ครบ 5 แสนบาทแล้วมากู้ช่องนี้ &lt;=6,000,000</t>
  </si>
  <si>
    <t>Kltd1</t>
  </si>
  <si>
    <t>Kltd2 กู้ยาวเกิน 9 ลบ. มาช่องทางนี้</t>
  </si>
  <si>
    <t>Kre ใช้ R/E</t>
  </si>
  <si>
    <t>Ke ออกหุ้นเพิ่ม</t>
  </si>
  <si>
    <t>% ต่อปี</t>
  </si>
  <si>
    <t>MCC1 = (Wstd*Kstd1*(1-T))+(Wltd*Kltd1*(1-T))+(We*Kre)</t>
  </si>
  <si>
    <r>
      <t>MCC2 = (Wstd*Kstd1*(1-T))+(Wltd*Kltd1*(1-T))+(We*</t>
    </r>
    <r>
      <rPr>
        <sz val="11"/>
        <color rgb="FF00B050"/>
        <rFont val="Tahoma"/>
        <family val="2"/>
        <scheme val="minor"/>
      </rPr>
      <t>Ke</t>
    </r>
    <r>
      <rPr>
        <sz val="11"/>
        <color theme="1"/>
        <rFont val="Tahoma"/>
        <family val="2"/>
        <scheme val="minor"/>
      </rPr>
      <t>)</t>
    </r>
  </si>
  <si>
    <r>
      <t>MCC3 = (Wstd*Kstd1*(1-T))+(Wltd*</t>
    </r>
    <r>
      <rPr>
        <sz val="11"/>
        <color rgb="FF00B050"/>
        <rFont val="Tahoma"/>
        <family val="2"/>
        <scheme val="minor"/>
      </rPr>
      <t>Kltd2</t>
    </r>
    <r>
      <rPr>
        <sz val="11"/>
        <color theme="1"/>
        <rFont val="Tahoma"/>
        <family val="2"/>
        <scheme val="minor"/>
      </rPr>
      <t>*(1-T))+(We*Ke)</t>
    </r>
  </si>
  <si>
    <r>
      <t>MCC4 = (Wstd*</t>
    </r>
    <r>
      <rPr>
        <sz val="11"/>
        <color rgb="FF00B050"/>
        <rFont val="Tahoma"/>
        <family val="2"/>
        <scheme val="minor"/>
      </rPr>
      <t>Kstd2</t>
    </r>
    <r>
      <rPr>
        <sz val="11"/>
        <rFont val="Tahoma"/>
        <family val="2"/>
        <scheme val="minor"/>
      </rPr>
      <t>*(1-T))+(Wltd*Kltd2*(1-T))+(We*Ke)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</si>
</sst>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0.00000"/>
    <numFmt numFmtId="188" formatCode="0.0000"/>
    <numFmt numFmtId="189" formatCode="_-* #,##0_-;\-* #,##0_-;_-* &quot;-&quot;??_-;_-@_-"/>
    <numFmt numFmtId="190" formatCode="0.0%"/>
  </numFmts>
  <fonts count="8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rgb="FF00B050"/>
      <name val="Tahoma"/>
      <family val="2"/>
      <scheme val="minor"/>
    </font>
    <font>
      <sz val="11"/>
      <color rgb="FFFF000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5" borderId="1" xfId="0" applyFill="1" applyBorder="1"/>
    <xf numFmtId="188" fontId="0" fillId="6" borderId="1" xfId="0" applyNumberFormat="1" applyFill="1" applyBorder="1"/>
    <xf numFmtId="188" fontId="0" fillId="0" borderId="0" xfId="0" applyNumberFormat="1"/>
    <xf numFmtId="188" fontId="0" fillId="0" borderId="1" xfId="0" applyNumberFormat="1" applyBorder="1"/>
    <xf numFmtId="0" fontId="0" fillId="7" borderId="0" xfId="0" applyFill="1"/>
    <xf numFmtId="2" fontId="0" fillId="0" borderId="1" xfId="0" applyNumberFormat="1" applyBorder="1"/>
    <xf numFmtId="189" fontId="0" fillId="0" borderId="1" xfId="1" applyNumberFormat="1" applyFont="1" applyBorder="1"/>
    <xf numFmtId="0" fontId="4" fillId="0" borderId="0" xfId="0" applyFont="1"/>
    <xf numFmtId="0" fontId="2" fillId="0" borderId="0" xfId="0" applyFont="1"/>
    <xf numFmtId="189" fontId="0" fillId="0" borderId="0" xfId="1" applyNumberFormat="1" applyFont="1" applyFill="1"/>
    <xf numFmtId="0" fontId="4" fillId="0" borderId="1" xfId="0" applyFont="1" applyBorder="1"/>
    <xf numFmtId="189" fontId="0" fillId="8" borderId="1" xfId="1" applyNumberFormat="1" applyFont="1" applyFill="1" applyBorder="1"/>
    <xf numFmtId="0" fontId="0" fillId="0" borderId="1" xfId="0" applyBorder="1" applyAlignment="1">
      <alignment horizontal="right"/>
    </xf>
    <xf numFmtId="0" fontId="0" fillId="9" borderId="1" xfId="0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0" fillId="9" borderId="0" xfId="0" applyFill="1"/>
    <xf numFmtId="10" fontId="0" fillId="0" borderId="0" xfId="2" applyNumberFormat="1" applyFont="1"/>
    <xf numFmtId="0" fontId="4" fillId="9" borderId="0" xfId="0" applyFont="1" applyFill="1"/>
    <xf numFmtId="190" fontId="0" fillId="0" borderId="1" xfId="2" applyNumberFormat="1" applyFont="1" applyBorder="1"/>
    <xf numFmtId="0" fontId="5" fillId="0" borderId="1" xfId="0" applyFont="1" applyBorder="1"/>
    <xf numFmtId="187" fontId="0" fillId="0" borderId="1" xfId="0" applyNumberFormat="1" applyBorder="1"/>
    <xf numFmtId="0" fontId="2" fillId="0" borderId="1" xfId="0" applyFont="1" applyBorder="1"/>
    <xf numFmtId="0" fontId="7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39</xdr:row>
      <xdr:rowOff>0</xdr:rowOff>
    </xdr:from>
    <xdr:to>
      <xdr:col>3</xdr:col>
      <xdr:colOff>487680</xdr:colOff>
      <xdr:row>40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3E6AF90-DFB5-A810-DEA4-0E50D0E4EED4}"/>
            </a:ext>
          </a:extLst>
        </xdr:cNvPr>
        <xdr:cNvSpPr/>
      </xdr:nvSpPr>
      <xdr:spPr>
        <a:xfrm>
          <a:off x="6858000" y="6484620"/>
          <a:ext cx="342900" cy="1752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198120</xdr:colOff>
      <xdr:row>54</xdr:row>
      <xdr:rowOff>167640</xdr:rowOff>
    </xdr:from>
    <xdr:to>
      <xdr:col>3</xdr:col>
      <xdr:colOff>541020</xdr:colOff>
      <xdr:row>55</xdr:row>
      <xdr:rowOff>167640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880E020-4BF4-495E-B303-4251C7D1D795}"/>
            </a:ext>
          </a:extLst>
        </xdr:cNvPr>
        <xdr:cNvSpPr/>
      </xdr:nvSpPr>
      <xdr:spPr>
        <a:xfrm>
          <a:off x="6911340" y="8755380"/>
          <a:ext cx="342900" cy="1752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220980</xdr:colOff>
      <xdr:row>20</xdr:row>
      <xdr:rowOff>0</xdr:rowOff>
    </xdr:from>
    <xdr:to>
      <xdr:col>3</xdr:col>
      <xdr:colOff>563880</xdr:colOff>
      <xdr:row>21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50742C79-F622-47D8-88DF-D4461B892BCC}"/>
            </a:ext>
          </a:extLst>
        </xdr:cNvPr>
        <xdr:cNvSpPr/>
      </xdr:nvSpPr>
      <xdr:spPr>
        <a:xfrm>
          <a:off x="6964680" y="3154680"/>
          <a:ext cx="342900" cy="1752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C91A-2FF8-4D2C-86A8-6FE96CBA1C21}">
  <dimension ref="A1:I94"/>
  <sheetViews>
    <sheetView tabSelected="1" zoomScale="115" zoomScaleNormal="115" workbookViewId="0">
      <selection activeCell="E12" sqref="E12"/>
    </sheetView>
  </sheetViews>
  <sheetFormatPr defaultRowHeight="13.9"/>
  <cols>
    <col min="1" max="1" width="19" bestFit="1" customWidth="1"/>
    <col min="2" max="2" width="61.375" bestFit="1" customWidth="1"/>
    <col min="3" max="3" width="13.875" bestFit="1" customWidth="1"/>
    <col min="5" max="5" width="14.5" bestFit="1" customWidth="1"/>
    <col min="6" max="6" width="6.375" customWidth="1"/>
    <col min="7" max="7" width="38.5" bestFit="1" customWidth="1"/>
    <col min="8" max="8" width="26.75" bestFit="1" customWidth="1"/>
  </cols>
  <sheetData>
    <row r="1" spans="1:6">
      <c r="A1" t="s">
        <v>0</v>
      </c>
    </row>
    <row r="2" spans="1:6">
      <c r="A2" s="4"/>
      <c r="B2" s="4" t="s">
        <v>1</v>
      </c>
      <c r="C2" s="4"/>
    </row>
    <row r="3" spans="1:6">
      <c r="B3" s="1"/>
      <c r="C3" s="1" t="s">
        <v>2</v>
      </c>
    </row>
    <row r="4" spans="1:6">
      <c r="B4" s="1" t="s">
        <v>3</v>
      </c>
      <c r="C4" s="1">
        <v>0.15</v>
      </c>
    </row>
    <row r="5" spans="1:6">
      <c r="B5" s="1" t="s">
        <v>4</v>
      </c>
      <c r="C5" s="1">
        <v>0.25</v>
      </c>
    </row>
    <row r="6" spans="1:6">
      <c r="B6" s="1" t="s">
        <v>5</v>
      </c>
      <c r="C6" s="1">
        <v>0.6</v>
      </c>
    </row>
    <row r="7" spans="1:6">
      <c r="B7" s="1" t="s">
        <v>6</v>
      </c>
      <c r="C7" s="1">
        <v>0.2</v>
      </c>
    </row>
    <row r="8" spans="1:6">
      <c r="B8" s="1" t="s">
        <v>7</v>
      </c>
      <c r="C8" s="13">
        <v>40000000</v>
      </c>
      <c r="D8" t="s">
        <v>8</v>
      </c>
    </row>
    <row r="9" spans="1:6">
      <c r="A9" s="2" t="s">
        <v>3</v>
      </c>
      <c r="B9" s="6" t="s">
        <v>9</v>
      </c>
      <c r="C9" s="7"/>
      <c r="E9" s="15"/>
    </row>
    <row r="10" spans="1:6">
      <c r="B10" s="1" t="s">
        <v>10</v>
      </c>
      <c r="C10" s="1">
        <v>1</v>
      </c>
      <c r="D10" t="s">
        <v>11</v>
      </c>
      <c r="F10" s="24"/>
    </row>
    <row r="11" spans="1:6">
      <c r="B11" s="1" t="s">
        <v>12</v>
      </c>
      <c r="C11" s="19" t="s">
        <v>13</v>
      </c>
    </row>
    <row r="12" spans="1:6">
      <c r="B12" s="1" t="s">
        <v>14</v>
      </c>
      <c r="C12" s="1">
        <v>7.0000000000000007E-2</v>
      </c>
    </row>
    <row r="13" spans="1:6">
      <c r="B13" s="1" t="s">
        <v>15</v>
      </c>
      <c r="C13" s="8">
        <f>C12+0.005</f>
        <v>7.5000000000000011E-2</v>
      </c>
    </row>
    <row r="14" spans="1:6">
      <c r="B14" s="6" t="s">
        <v>16</v>
      </c>
      <c r="C14" s="7"/>
    </row>
    <row r="15" spans="1:6">
      <c r="B15" s="1" t="s">
        <v>17</v>
      </c>
      <c r="C15" s="1">
        <v>5000</v>
      </c>
      <c r="D15" t="s">
        <v>8</v>
      </c>
    </row>
    <row r="16" spans="1:6">
      <c r="B16" s="1" t="s">
        <v>18</v>
      </c>
      <c r="C16" s="1">
        <v>90</v>
      </c>
      <c r="D16" t="s">
        <v>19</v>
      </c>
    </row>
    <row r="17" spans="1:6">
      <c r="B17" s="1" t="s">
        <v>20</v>
      </c>
      <c r="C17" s="1">
        <v>2.35E-2</v>
      </c>
      <c r="D17" t="s">
        <v>21</v>
      </c>
    </row>
    <row r="18" spans="1:6">
      <c r="B18" s="1" t="s">
        <v>22</v>
      </c>
      <c r="C18" s="1">
        <f>C17*(C16/365)</f>
        <v>5.7945205479452049E-3</v>
      </c>
      <c r="D18" t="s">
        <v>23</v>
      </c>
    </row>
    <row r="19" spans="1:6">
      <c r="B19" s="1" t="s">
        <v>24</v>
      </c>
      <c r="C19" s="1">
        <f>C15*(1-C18)*(1-C20)</f>
        <v>4921.3171232876721</v>
      </c>
      <c r="D19" t="s">
        <v>8</v>
      </c>
    </row>
    <row r="20" spans="1:6">
      <c r="B20" s="1" t="s">
        <v>25</v>
      </c>
      <c r="C20" s="1">
        <v>0.01</v>
      </c>
      <c r="E20" s="1" t="s">
        <v>26</v>
      </c>
      <c r="F20" s="1" t="s">
        <v>27</v>
      </c>
    </row>
    <row r="21" spans="1:6">
      <c r="B21" s="1" t="s">
        <v>28</v>
      </c>
      <c r="C21" s="8">
        <f>F22</f>
        <v>6.4840929731551131E-2</v>
      </c>
      <c r="E21" s="1" t="s">
        <v>29</v>
      </c>
      <c r="F21" s="1">
        <f>(C15/C19)-1</f>
        <v>1.5988174454355075E-2</v>
      </c>
    </row>
    <row r="22" spans="1:6">
      <c r="E22" s="1" t="s">
        <v>30</v>
      </c>
      <c r="F22" s="1">
        <f>F21*(365/90)</f>
        <v>6.4840929731551131E-2</v>
      </c>
    </row>
    <row r="23" spans="1:6">
      <c r="A23" s="2" t="s">
        <v>4</v>
      </c>
      <c r="B23" s="3" t="s">
        <v>31</v>
      </c>
      <c r="C23" s="5"/>
    </row>
    <row r="24" spans="1:6">
      <c r="B24" s="1" t="s">
        <v>10</v>
      </c>
      <c r="C24" s="1">
        <v>3</v>
      </c>
      <c r="D24" t="s">
        <v>11</v>
      </c>
      <c r="F24" s="9"/>
    </row>
    <row r="25" spans="1:6">
      <c r="B25" s="1" t="s">
        <v>12</v>
      </c>
      <c r="C25" s="19" t="s">
        <v>32</v>
      </c>
    </row>
    <row r="26" spans="1:6">
      <c r="B26" s="1" t="s">
        <v>14</v>
      </c>
      <c r="C26" s="1">
        <f>C12</f>
        <v>7.0000000000000007E-2</v>
      </c>
    </row>
    <row r="27" spans="1:6">
      <c r="B27" s="1" t="s">
        <v>33</v>
      </c>
      <c r="C27" s="8">
        <f>C26+0.0085</f>
        <v>7.8500000000000014E-2</v>
      </c>
    </row>
    <row r="28" spans="1:6">
      <c r="B28" s="3" t="s">
        <v>34</v>
      </c>
      <c r="C28" s="5"/>
    </row>
    <row r="29" spans="1:6">
      <c r="B29" s="1" t="s">
        <v>35</v>
      </c>
      <c r="C29" s="1">
        <v>1000</v>
      </c>
      <c r="D29" t="s">
        <v>8</v>
      </c>
    </row>
    <row r="30" spans="1:6">
      <c r="B30" s="1" t="s">
        <v>18</v>
      </c>
      <c r="C30" s="1">
        <v>3</v>
      </c>
      <c r="D30" t="s">
        <v>11</v>
      </c>
    </row>
    <row r="31" spans="1:6">
      <c r="B31" s="1" t="s">
        <v>36</v>
      </c>
      <c r="C31" s="1">
        <v>7.0000000000000007E-2</v>
      </c>
    </row>
    <row r="32" spans="1:6">
      <c r="B32" s="1" t="s">
        <v>37</v>
      </c>
      <c r="C32" s="1">
        <v>2</v>
      </c>
    </row>
    <row r="33" spans="1:9">
      <c r="B33" s="1" t="s">
        <v>38</v>
      </c>
      <c r="C33" s="1">
        <v>0.05</v>
      </c>
    </row>
    <row r="34" spans="1:9">
      <c r="B34" s="1" t="s">
        <v>39</v>
      </c>
      <c r="C34" s="1" t="s">
        <v>40</v>
      </c>
    </row>
    <row r="35" spans="1:9">
      <c r="B35" s="1" t="s">
        <v>41</v>
      </c>
      <c r="C35" s="1">
        <v>8.5000000000000006E-2</v>
      </c>
    </row>
    <row r="36" spans="1:9">
      <c r="B36" s="1" t="s">
        <v>42</v>
      </c>
      <c r="C36" s="1">
        <v>4.2000000000000003E-2</v>
      </c>
    </row>
    <row r="37" spans="1:9">
      <c r="B37" s="1" t="s">
        <v>43</v>
      </c>
      <c r="C37" s="1">
        <v>1.7897860000000001</v>
      </c>
      <c r="D37" t="s">
        <v>44</v>
      </c>
      <c r="E37" t="s">
        <v>45</v>
      </c>
      <c r="F37" t="s">
        <v>46</v>
      </c>
      <c r="G37" s="1" t="s">
        <v>47</v>
      </c>
      <c r="H37" s="1">
        <f>C29*(1-C33)</f>
        <v>950</v>
      </c>
      <c r="I37" t="s">
        <v>8</v>
      </c>
    </row>
    <row r="38" spans="1:9">
      <c r="B38" s="1"/>
      <c r="C38" s="1">
        <f>C37/100</f>
        <v>1.7897860000000002E-2</v>
      </c>
      <c r="G38" s="1" t="s">
        <v>48</v>
      </c>
      <c r="H38" s="1">
        <f>C29*(C31/2)</f>
        <v>35</v>
      </c>
      <c r="I38" t="s">
        <v>8</v>
      </c>
    </row>
    <row r="39" spans="1:9">
      <c r="B39" s="1" t="s">
        <v>49</v>
      </c>
      <c r="C39" s="8">
        <f>AVERAGE(C40:C41)</f>
        <v>9.9622469518900358E-2</v>
      </c>
      <c r="G39" s="1" t="s">
        <v>50</v>
      </c>
      <c r="H39" s="28">
        <f>($H$38+(($C$29-$H$37)/($C$30*$C$32)))/((0.4*$C$29)+(0.6*$H$37))*$C$32</f>
        <v>8.9347079037800689E-2</v>
      </c>
    </row>
    <row r="40" spans="1:9">
      <c r="B40" s="1" t="s">
        <v>51</v>
      </c>
      <c r="C40" s="10">
        <f>H39</f>
        <v>8.9347079037800689E-2</v>
      </c>
      <c r="G40" s="1" t="s">
        <v>52</v>
      </c>
      <c r="H40" s="28">
        <f>($H$38+(($C$29-$C$29)/($C$30*$C$32)))/((0.4*$C$29)+(0.6*$C$29))*$C$32</f>
        <v>7.0000000000000007E-2</v>
      </c>
    </row>
    <row r="41" spans="1:9">
      <c r="B41" s="1" t="s">
        <v>53</v>
      </c>
      <c r="C41" s="10">
        <f>C36+C38+C33</f>
        <v>0.10989786000000001</v>
      </c>
      <c r="G41" s="1" t="s">
        <v>54</v>
      </c>
      <c r="H41" s="28">
        <f>H39-H40</f>
        <v>1.9347079037800682E-2</v>
      </c>
    </row>
    <row r="45" spans="1:9">
      <c r="A45" s="2" t="s">
        <v>5</v>
      </c>
      <c r="B45" s="3"/>
      <c r="C45" s="5"/>
    </row>
    <row r="46" spans="1:9">
      <c r="B46" s="1" t="s">
        <v>55</v>
      </c>
      <c r="C46" s="1">
        <v>24000000</v>
      </c>
      <c r="D46" t="s">
        <v>8</v>
      </c>
    </row>
    <row r="47" spans="1:9">
      <c r="B47" s="1" t="s">
        <v>56</v>
      </c>
      <c r="C47" s="1">
        <v>0.3</v>
      </c>
      <c r="D47" t="s">
        <v>57</v>
      </c>
    </row>
    <row r="48" spans="1:9">
      <c r="B48" s="1" t="s">
        <v>58</v>
      </c>
      <c r="C48" s="1">
        <v>1.5</v>
      </c>
      <c r="D48" t="s">
        <v>59</v>
      </c>
    </row>
    <row r="49" spans="2:9">
      <c r="B49" s="1" t="s">
        <v>60</v>
      </c>
      <c r="C49" s="1">
        <v>0.75</v>
      </c>
      <c r="D49" t="s">
        <v>59</v>
      </c>
    </row>
    <row r="50" spans="2:9">
      <c r="B50" s="1" t="s">
        <v>61</v>
      </c>
      <c r="C50" s="1">
        <f>H56</f>
        <v>0.09</v>
      </c>
    </row>
    <row r="51" spans="2:9">
      <c r="B51" s="1" t="s">
        <v>62</v>
      </c>
      <c r="C51" s="1">
        <v>60</v>
      </c>
      <c r="D51" t="s">
        <v>8</v>
      </c>
    </row>
    <row r="52" spans="2:9">
      <c r="B52" s="1" t="s">
        <v>63</v>
      </c>
      <c r="C52" s="1">
        <v>1</v>
      </c>
      <c r="D52" t="s">
        <v>8</v>
      </c>
    </row>
    <row r="53" spans="2:9">
      <c r="B53" s="1" t="s">
        <v>64</v>
      </c>
      <c r="C53" s="1">
        <v>0.09</v>
      </c>
      <c r="D53" t="s">
        <v>65</v>
      </c>
    </row>
    <row r="54" spans="2:9">
      <c r="B54" s="1" t="s">
        <v>66</v>
      </c>
      <c r="C54" s="1">
        <v>1.05</v>
      </c>
    </row>
    <row r="55" spans="2:9">
      <c r="B55" s="1" t="s">
        <v>67</v>
      </c>
      <c r="C55" s="1">
        <v>7.2499999999999995E-2</v>
      </c>
    </row>
    <row r="56" spans="2:9">
      <c r="B56" s="1" t="s">
        <v>68</v>
      </c>
      <c r="C56" s="8">
        <f>AVERAGE(C57:C59)</f>
        <v>0.14020748983963346</v>
      </c>
      <c r="E56" t="s">
        <v>45</v>
      </c>
      <c r="F56" t="s">
        <v>69</v>
      </c>
      <c r="G56" s="1" t="s">
        <v>70</v>
      </c>
      <c r="H56" s="1">
        <f>AVERAGE(H57:H58)</f>
        <v>0.09</v>
      </c>
    </row>
    <row r="57" spans="2:9">
      <c r="B57" s="1" t="s">
        <v>71</v>
      </c>
      <c r="C57" s="10">
        <f>H63</f>
        <v>0.11724999999999999</v>
      </c>
      <c r="G57" s="1" t="s">
        <v>72</v>
      </c>
      <c r="H57" s="1">
        <f>72/(100*8)</f>
        <v>0.09</v>
      </c>
    </row>
    <row r="58" spans="2:9">
      <c r="B58" s="1" t="s">
        <v>73</v>
      </c>
      <c r="C58" s="10">
        <f>C36+(C35*C54)</f>
        <v>0.13125000000000001</v>
      </c>
      <c r="G58" s="1" t="s">
        <v>74</v>
      </c>
      <c r="H58" s="29" t="s">
        <v>75</v>
      </c>
    </row>
    <row r="59" spans="2:9">
      <c r="B59" s="1" t="s">
        <v>76</v>
      </c>
      <c r="C59" s="10">
        <f>MAX(C39,C27,C21,C13)+C55</f>
        <v>0.17212246951890037</v>
      </c>
      <c r="D59" s="9"/>
      <c r="G59" s="1" t="s">
        <v>77</v>
      </c>
      <c r="H59" s="1">
        <f>C48*(1+H57)</f>
        <v>1.6350000000000002</v>
      </c>
      <c r="I59" t="s">
        <v>8</v>
      </c>
    </row>
    <row r="60" spans="2:9">
      <c r="B60" s="1" t="s">
        <v>78</v>
      </c>
      <c r="C60" s="8">
        <f>C56+H64</f>
        <v>0.14290254478468842</v>
      </c>
      <c r="G60" s="1" t="s">
        <v>79</v>
      </c>
      <c r="H60" s="1">
        <f>C51</f>
        <v>60</v>
      </c>
      <c r="I60" t="s">
        <v>8</v>
      </c>
    </row>
    <row r="61" spans="2:9">
      <c r="B61" s="1" t="s">
        <v>80</v>
      </c>
      <c r="C61" s="13">
        <v>24000000</v>
      </c>
      <c r="G61" s="1" t="s">
        <v>81</v>
      </c>
      <c r="H61" s="1">
        <f>H60*(1-C53)</f>
        <v>54.6</v>
      </c>
      <c r="I61" t="s">
        <v>8</v>
      </c>
    </row>
    <row r="62" spans="2:9">
      <c r="B62" s="1"/>
      <c r="C62" s="1"/>
      <c r="G62" s="1" t="s">
        <v>82</v>
      </c>
      <c r="H62" s="10">
        <f>(H59/H61)+H56</f>
        <v>0.11994505494505495</v>
      </c>
    </row>
    <row r="63" spans="2:9">
      <c r="G63" s="1" t="s">
        <v>83</v>
      </c>
      <c r="H63" s="10">
        <f>(H59/H60)+H56</f>
        <v>0.11724999999999999</v>
      </c>
    </row>
    <row r="64" spans="2:9">
      <c r="G64" s="1" t="s">
        <v>84</v>
      </c>
      <c r="H64" s="10">
        <f>H62-H63</f>
        <v>2.6950549450549532E-3</v>
      </c>
    </row>
    <row r="65" spans="1:4" s="11" customFormat="1"/>
    <row r="66" spans="1:4">
      <c r="A66" t="s">
        <v>85</v>
      </c>
    </row>
    <row r="67" spans="1:4">
      <c r="B67" s="20"/>
      <c r="C67" s="22" t="s">
        <v>86</v>
      </c>
    </row>
    <row r="68" spans="1:4">
      <c r="B68" s="1" t="s">
        <v>3</v>
      </c>
      <c r="C68" s="1">
        <v>0.15</v>
      </c>
    </row>
    <row r="69" spans="1:4">
      <c r="B69" s="1" t="s">
        <v>4</v>
      </c>
      <c r="C69" s="1">
        <v>0.25</v>
      </c>
    </row>
    <row r="70" spans="1:4">
      <c r="B70" s="1" t="s">
        <v>5</v>
      </c>
      <c r="C70" s="12">
        <v>0.6</v>
      </c>
    </row>
    <row r="72" spans="1:4">
      <c r="A72" s="22"/>
      <c r="B72" s="22"/>
      <c r="C72" s="22" t="s">
        <v>87</v>
      </c>
    </row>
    <row r="73" spans="1:4">
      <c r="A73" s="17" t="s">
        <v>88</v>
      </c>
      <c r="B73" s="1" t="s">
        <v>89</v>
      </c>
      <c r="C73" s="1"/>
    </row>
    <row r="74" spans="1:4">
      <c r="B74" s="1" t="s">
        <v>90</v>
      </c>
      <c r="C74" s="18">
        <f>6000000/C68</f>
        <v>40000000</v>
      </c>
      <c r="D74" t="s">
        <v>8</v>
      </c>
    </row>
    <row r="75" spans="1:4">
      <c r="A75" s="17" t="s">
        <v>91</v>
      </c>
      <c r="B75" s="1" t="s">
        <v>92</v>
      </c>
      <c r="C75" s="1"/>
    </row>
    <row r="76" spans="1:4">
      <c r="B76" s="1" t="s">
        <v>93</v>
      </c>
      <c r="C76" s="18">
        <f>9000000/C69</f>
        <v>36000000</v>
      </c>
    </row>
    <row r="77" spans="1:4">
      <c r="A77" s="17" t="s">
        <v>94</v>
      </c>
      <c r="B77" s="30" t="s">
        <v>95</v>
      </c>
      <c r="C77" s="1"/>
    </row>
    <row r="78" spans="1:4">
      <c r="A78" s="14"/>
      <c r="B78" s="30" t="s">
        <v>96</v>
      </c>
      <c r="C78" s="18">
        <f>500000/C68</f>
        <v>3333333.3333333335</v>
      </c>
      <c r="D78" t="s">
        <v>8</v>
      </c>
    </row>
    <row r="79" spans="1:4">
      <c r="A79" s="17" t="s">
        <v>97</v>
      </c>
      <c r="B79" s="1" t="s">
        <v>98</v>
      </c>
      <c r="C79" s="1"/>
    </row>
    <row r="80" spans="1:4">
      <c r="B80" s="1" t="s">
        <v>99</v>
      </c>
      <c r="C80" s="18">
        <f>((1-C47)*C61)/C70</f>
        <v>28000000</v>
      </c>
      <c r="D80" t="s">
        <v>8</v>
      </c>
    </row>
    <row r="81" spans="1:3">
      <c r="A81" s="17"/>
      <c r="B81" s="1"/>
      <c r="C81" s="1"/>
    </row>
    <row r="82" spans="1:3">
      <c r="A82" s="14"/>
      <c r="C82" s="16"/>
    </row>
    <row r="83" spans="1:3">
      <c r="A83" s="23"/>
      <c r="B83" s="21" t="s">
        <v>100</v>
      </c>
      <c r="C83" s="21" t="s">
        <v>101</v>
      </c>
    </row>
    <row r="84" spans="1:3">
      <c r="B84" s="1" t="s">
        <v>102</v>
      </c>
      <c r="C84" s="26">
        <f>C21</f>
        <v>6.4840929731551131E-2</v>
      </c>
    </row>
    <row r="85" spans="1:3">
      <c r="B85" s="1" t="s">
        <v>103</v>
      </c>
      <c r="C85" s="26">
        <f>C13</f>
        <v>7.5000000000000011E-2</v>
      </c>
    </row>
    <row r="86" spans="1:3">
      <c r="B86" s="1" t="s">
        <v>104</v>
      </c>
      <c r="C86" s="26">
        <f>C27</f>
        <v>7.8500000000000014E-2</v>
      </c>
    </row>
    <row r="87" spans="1:3">
      <c r="B87" s="1" t="s">
        <v>105</v>
      </c>
      <c r="C87" s="26">
        <f>C39</f>
        <v>9.9622469518900358E-2</v>
      </c>
    </row>
    <row r="88" spans="1:3">
      <c r="B88" s="1" t="s">
        <v>106</v>
      </c>
      <c r="C88" s="26">
        <f>C56</f>
        <v>0.14020748983963346</v>
      </c>
    </row>
    <row r="89" spans="1:3">
      <c r="B89" s="1" t="s">
        <v>107</v>
      </c>
      <c r="C89" s="26">
        <f>C60</f>
        <v>0.14290254478468842</v>
      </c>
    </row>
    <row r="90" spans="1:3">
      <c r="A90" s="25"/>
      <c r="B90" s="21" t="s">
        <v>0</v>
      </c>
      <c r="C90" s="22" t="s">
        <v>108</v>
      </c>
    </row>
    <row r="91" spans="1:3">
      <c r="A91" s="14"/>
      <c r="B91" s="17" t="s">
        <v>109</v>
      </c>
      <c r="C91" s="26">
        <f xml:space="preserve"> (C68*C84*(1-C7))+(C69*C86*(1-C7))+(C70*C88)</f>
        <v>0.10760540547156622</v>
      </c>
    </row>
    <row r="92" spans="1:3">
      <c r="A92" s="14"/>
      <c r="B92" s="17" t="s">
        <v>110</v>
      </c>
      <c r="C92" s="26">
        <f xml:space="preserve"> (C68*C84*(1-C7))+(C69*C86*(1-C7))+(C70*C89)</f>
        <v>0.10922243843859919</v>
      </c>
    </row>
    <row r="93" spans="1:3">
      <c r="A93" s="14"/>
      <c r="B93" s="17" t="s">
        <v>111</v>
      </c>
      <c r="C93" s="26">
        <f xml:space="preserve"> (C68*C84*(1-C7))+(C69*C87*(1-C7))+(C70*C89)</f>
        <v>0.11344693234237925</v>
      </c>
    </row>
    <row r="94" spans="1:3">
      <c r="B94" s="27" t="s">
        <v>112</v>
      </c>
      <c r="C94" s="26">
        <f xml:space="preserve"> (C68*C85*(1-C7))+(C69*C87*(1-C7))+(C70*C89)</f>
        <v>0.11466602077459312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90B-A790-4DE4-AFBC-114C1DDFBE09}">
  <dimension ref="A1"/>
  <sheetViews>
    <sheetView workbookViewId="0"/>
  </sheetViews>
  <sheetFormatPr defaultRowHeight="13.9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thanaphol kongphalee</dc:creator>
  <cp:keywords/>
  <dc:description/>
  <cp:lastModifiedBy/>
  <cp:revision/>
  <dcterms:created xsi:type="dcterms:W3CDTF">2023-11-28T11:17:20Z</dcterms:created>
  <dcterms:modified xsi:type="dcterms:W3CDTF">2023-11-30T01:55:56Z</dcterms:modified>
  <cp:category/>
  <cp:contentStatus/>
</cp:coreProperties>
</file>