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fam_hcm24_cpl_net_02\Backend\SyllabusManagementAPI\Resources\Templates\"/>
    </mc:Choice>
  </mc:AlternateContent>
  <xr:revisionPtr revIDLastSave="0" documentId="13_ncr:1_{15B8DB5F-65D1-412B-ACBB-4F20993EA91A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ver" sheetId="12" r:id="rId1"/>
    <sheet name="&lt;Topic Code&gt;_Syllabus" sheetId="7" r:id="rId2"/>
    <sheet name="&lt;Topics Code&gt;_ScheduleDetail" sheetId="11" r:id="rId3"/>
    <sheet name="DV-IDENTITY-0" sheetId="10" state="veryHidden" r:id="rId4"/>
  </sheets>
  <definedNames>
    <definedName name="_xlnm._FilterDatabase" localSheetId="2" hidden="1">'&lt;Topics Code&gt;_ScheduleDetail'!$A$1:$I$2</definedName>
    <definedName name="_xlnm._FilterDatabase" localSheetId="0" hidden="1">#REF!</definedName>
    <definedName name="_xlnm._FilterDatabase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0" l="1"/>
  <c r="G47" i="11"/>
  <c r="G45" i="11"/>
  <c r="G44" i="11"/>
  <c r="G43" i="1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G46" i="11"/>
  <c r="CC1" i="10"/>
  <c r="A5" i="10" l="1"/>
  <c r="G48" i="11"/>
  <c r="H43" i="11" s="1"/>
  <c r="H45" i="11" l="1"/>
  <c r="DM1" i="10" s="1"/>
  <c r="H44" i="11"/>
  <c r="DE1" i="10" s="1"/>
  <c r="H46" i="11"/>
  <c r="DU1" i="10" s="1"/>
  <c r="H47" i="11"/>
  <c r="EC1" i="10" s="1"/>
  <c r="CW1" i="10"/>
  <c r="H48" i="11" l="1"/>
</calcChain>
</file>

<file path=xl/sharedStrings.xml><?xml version="1.0" encoding="utf-8"?>
<sst xmlns="http://schemas.openxmlformats.org/spreadsheetml/2006/main" count="277" uniqueCount="140">
  <si>
    <t>Template</t>
  </si>
  <si>
    <t>TRAINING TOPIC SYLLABUS</t>
  </si>
  <si>
    <t>Document Code</t>
  </si>
  <si>
    <t>26e-BM/HR/HDCV/FSOFT</t>
  </si>
  <si>
    <t>Version</t>
  </si>
  <si>
    <t>1.2</t>
  </si>
  <si>
    <t>Effective Date</t>
  </si>
  <si>
    <t>24/04/2020</t>
  </si>
  <si>
    <t>&lt;SQL for Developer Syllabus&gt;</t>
  </si>
  <si>
    <t>Topic Name</t>
  </si>
  <si>
    <t>Topic Code</t>
  </si>
  <si>
    <t>Course Objectives</t>
  </si>
  <si>
    <t>Name</t>
  </si>
  <si>
    <t>Code</t>
  </si>
  <si>
    <t>Description</t>
  </si>
  <si>
    <t>K4SD</t>
  </si>
  <si>
    <t>H5SD</t>
  </si>
  <si>
    <r>
      <rPr>
        <b/>
        <sz val="10"/>
        <rFont val="Aarial"/>
      </rPr>
      <t>In details, after completing the course, trainees will:</t>
    </r>
    <r>
      <rPr>
        <i/>
        <sz val="10"/>
        <rFont val="Aarial"/>
      </rPr>
      <t xml:space="preserve">
• Be able to write SQL commands for complex querying include: Sub-query, Join, CTE
• Understand basic concepts SQL program language
• Be able to read and write DB Objects (store procedures/functions)
• Be able to avoid common mistakes, apply easy tips to reduce the performance of SQL queries			</t>
    </r>
  </si>
  <si>
    <t>Concept/Lecture</t>
  </si>
  <si>
    <t>Assignment/Lab</t>
  </si>
  <si>
    <t>Guides/Review</t>
  </si>
  <si>
    <t>Test/Quiz</t>
  </si>
  <si>
    <t>Exam</t>
  </si>
  <si>
    <t>Training Materials &amp; Environments</t>
  </si>
  <si>
    <t>Text book</t>
  </si>
  <si>
    <t xml:space="preserve">1/ Database System Concepts, Seventh Edition
Slides: Ch1-Ch7, Ch14-Ch16
2/ Standard_T-SQL Coding Convention_v1.3 </t>
  </si>
  <si>
    <t>References</t>
  </si>
  <si>
    <t xml:space="preserve">1. https://docs.microsoft.com/en-us/sql/t-sql/language-reference?view=sql-server-2017		
2. http://w3schools.com/sql/default.asp		
3. http://www.sqlservertutorial.net/		</t>
  </si>
  <si>
    <t>Technical requirements</t>
  </si>
  <si>
    <r>
      <t xml:space="preserve">Trainees’ PCs need to have following software installed &amp; run without any issues:
</t>
    </r>
    <r>
      <rPr>
        <i/>
        <sz val="10"/>
        <rFont val="Aarial"/>
      </rPr>
      <t>• Microsoft SQL Server 2008 Express or up (in which the trainees can create &amp; manipulate on their own database
• Microsoft Office 2007 (Visio, Word, PowerPoint)&gt;</t>
    </r>
  </si>
  <si>
    <t>Assessment Scheme</t>
  </si>
  <si>
    <t>Quiz</t>
  </si>
  <si>
    <t>Assignments</t>
  </si>
  <si>
    <t>Final Theory Test</t>
  </si>
  <si>
    <t>Final Practice Test</t>
  </si>
  <si>
    <t>Training Delivery Principles</t>
  </si>
  <si>
    <t>Trainees</t>
  </si>
  <si>
    <t>Qualified entry test and passed interview of Fresher program
Less than or equals 20 students in the class</t>
  </si>
  <si>
    <t>Trainer</t>
  </si>
  <si>
    <t>- Trainer and mentor has a good knowledge of the SQL that has been evaluated by FA</t>
  </si>
  <si>
    <t>Training</t>
  </si>
  <si>
    <r>
      <t xml:space="preserve">- The trainees have to participate at least 80%  duration of the course
</t>
    </r>
    <r>
      <rPr>
        <i/>
        <sz val="10"/>
        <rFont val="Arial"/>
        <family val="2"/>
      </rPr>
      <t>- In the morning, students complete Daily Quiz for 30 minutes</t>
    </r>
    <r>
      <rPr>
        <i/>
        <sz val="10"/>
        <rFont val="Aarial"/>
      </rPr>
      <t xml:space="preserve">
- Trainer/Mentor supports answering questions, guiding exercises 1.5-2.0h/day
- Trainees complete two Assignments
- Trainees have 1 final test in 4 hours (1 hour theory + 3 hours of practice)</t>
    </r>
  </si>
  <si>
    <t>Re-Test</t>
  </si>
  <si>
    <t>Only allow each student to retake the test up to 2 times; Re-exam the same structure as the Final Test</t>
  </si>
  <si>
    <t>Marking</t>
  </si>
  <si>
    <t>- Trainer marks the Final Exam Practice
- If the trainees have to retake test, the score will be calculated:
+ The score &gt;=6, the score will be 6
+ The scroe &lt;6, the score will be that score</t>
  </si>
  <si>
    <t>Waiver Criteria</t>
  </si>
  <si>
    <t>Students pass the quick test
Trainer Audit: rank B</t>
  </si>
  <si>
    <t>Others</t>
  </si>
  <si>
    <t>Trainers can allow students to complete homework and submit the next day</t>
  </si>
  <si>
    <t>Training Unit/Chapter</t>
  </si>
  <si>
    <t>Day</t>
  </si>
  <si>
    <t>Content</t>
  </si>
  <si>
    <t>Learning Objectives</t>
  </si>
  <si>
    <t>Delivery Type</t>
  </si>
  <si>
    <t>Duration (mins)</t>
  </si>
  <si>
    <t>Training Format</t>
  </si>
  <si>
    <t>Training Materials / Logistics &amp; General Notes
(Required, For Reference, etc.)</t>
  </si>
  <si>
    <t>Relation DB</t>
  </si>
  <si>
    <t>Introduction of the course</t>
  </si>
  <si>
    <t>Offline</t>
  </si>
  <si>
    <t>SQL_Syllabus</t>
  </si>
  <si>
    <t>Lecture 1.1: Entity Relationship Modelling</t>
  </si>
  <si>
    <t>Lecture_1.1. Entity Relationship Modelling</t>
  </si>
  <si>
    <t>Lecture 1.2: SQL Data Types and Operations</t>
  </si>
  <si>
    <t>Lecture_1.2_SQL Data Types and Operations</t>
  </si>
  <si>
    <t>Lecture 1.3: DDL Statements</t>
  </si>
  <si>
    <t>Lecture_1.3_DDL Statements</t>
  </si>
  <si>
    <t>Assignment: Daily Assignment Giving</t>
  </si>
  <si>
    <t>Chọn 1 trong các options: SQL_Assignment1_Opt1.docx, SQL_Assignment1_Opt2.docx, SQL_Assignment1_Opt3.docx, SQL_Assignment1_Opt4.docx</t>
  </si>
  <si>
    <t>Assignment: Practice Time: Assignment</t>
  </si>
  <si>
    <t>Assignment 01</t>
  </si>
  <si>
    <t>Assignment: Daily Assignment Review &amp; Guides</t>
  </si>
  <si>
    <t>Thực hiện sau khi học viên bắt đầu làm bài được 1-2h (để học viên có đủ thời gian tự tìm hiểu kỹ trước khi hỏi hoặc nhờ hỗ trợ); Inputs gồm: 
- Đánh giá bài Assignment ngày hôm trước 
- DS các câu hỏi liên quan đến Assignment trong ngày
Khung giờ này, học viên có thể tham gia hoạt động Golden time or English club</t>
  </si>
  <si>
    <t>Indexes</t>
  </si>
  <si>
    <t>Quiz: Daily Quiz</t>
  </si>
  <si>
    <t>Quiz 01: 10-20 Questions/15-30 minutes (BSQL.Q1.Opt1)</t>
  </si>
  <si>
    <t>Daily Quiz Review</t>
  </si>
  <si>
    <t>If the quiz be completed offline, the trainee have to submit the answer sheet to class admin.</t>
  </si>
  <si>
    <t>Lecture 2.1: Table Indexes_Sequences_View</t>
  </si>
  <si>
    <t>Lecture_2.1._Table Indexes_Sequences_View</t>
  </si>
  <si>
    <t>Lecture 2.2: DML and Operator</t>
  </si>
  <si>
    <t>Lecture_2.2. DML and Operator</t>
  </si>
  <si>
    <t xml:space="preserve">Lecture 2.3: SQL Code Practice </t>
  </si>
  <si>
    <t>Lecture_2.3. SQL Code Practice</t>
  </si>
  <si>
    <t>Chọn 1 trong các options: SQL_Assignment2_Opt1.docx, SQL_Assignment2_Opt2.docx, SQL_Assignment2_Opt3.docx, SQL_Assignment2_Opt4.docx</t>
  </si>
  <si>
    <t>Assignment 02</t>
  </si>
  <si>
    <t>JOIN</t>
  </si>
  <si>
    <t>Quiz 02: 10-20 Questions/15-30 minutes (BSQL.Q1.Opt2)</t>
  </si>
  <si>
    <t>Lecture 3.1: SQL Join</t>
  </si>
  <si>
    <t>Lecture_3.1. SQL Join</t>
  </si>
  <si>
    <t>Lecture 3.2: Sub-Queries</t>
  </si>
  <si>
    <t>Lecture_3.2. Sub-Queries</t>
  </si>
  <si>
    <t>Lecture 3.3: CTE_Ranking Function</t>
  </si>
  <si>
    <t>Lecture_3.3. CTE_Ranking Function</t>
  </si>
  <si>
    <t>Chọn 1 trong các options: SQL_Assignment3_Opt1.docx, SQL_Assignment3_Opt2.docx, SQL_Assignment3_Opt3.docx, SQL_Assignment3_Opt4.docx,SQL_Assignment3_Opt5.docx</t>
  </si>
  <si>
    <t>Assignment 03</t>
  </si>
  <si>
    <t>Function</t>
  </si>
  <si>
    <t>Assignment: Daily Quiz Review</t>
  </si>
  <si>
    <t>Lecture 4.1: Built-in Functions</t>
  </si>
  <si>
    <t>Lecture_4.1_Built-in Functions</t>
  </si>
  <si>
    <t>Lecture 4.2: User Defined Functions</t>
  </si>
  <si>
    <t>Lecture_4.2. User Defined Functions</t>
  </si>
  <si>
    <t>Lecture 4.3: User Stored Procedure</t>
  </si>
  <si>
    <t>Lecture_4.3. User Stored Procedure</t>
  </si>
  <si>
    <t>Chọn 1 trong các options: SQL_Assignment4_Opt1.docx, SQL_Assignment4_Opt2.docx, SQL_Assignment4_Opt3.docx</t>
  </si>
  <si>
    <t>Assignment 04</t>
  </si>
  <si>
    <t>Transaction</t>
  </si>
  <si>
    <t>Quiz 03: 10-20 Questions/15-30 minutes (ASQL.Q1.Opt1)</t>
  </si>
  <si>
    <t>Lecture 5.1: SQL Transactions</t>
  </si>
  <si>
    <t>Lecture_5.1. SQL Transactions</t>
  </si>
  <si>
    <t>Lecture 5.2: SQL Injection</t>
  </si>
  <si>
    <t>Lecture_5.2. SQL Injection</t>
  </si>
  <si>
    <t>Lecture 5.3: SQL Server Profiler</t>
  </si>
  <si>
    <t>Lecture_5.3_SQL Server Profiler</t>
  </si>
  <si>
    <t>Daily Assignment Review &amp; Guides</t>
  </si>
  <si>
    <t>Topic revision and Final Test</t>
  </si>
  <si>
    <t>Topic revision: Topic revision</t>
  </si>
  <si>
    <t>Học viên ôn tập trước khi có bài final test, Trainer chữa bài</t>
  </si>
  <si>
    <t>Topic Exam: Theory Part</t>
  </si>
  <si>
    <t>Questions Bank: chọn 40 câu chia đều cho các ngày học
(SQL.Theory.T01, SQL.Theory.T02)</t>
  </si>
  <si>
    <t>Topic Exam: Practice Part</t>
  </si>
  <si>
    <t>Bài thi thực hành trên máy
Chọn một trong các options: SQL_Practice_T01.docx, SQL_Practice_T02.docx, SQL_Practice_T03.docx, SQL_Practice_T04.docx, SQL_Practice_T05.docx, SQL_Practice_T06.docx</t>
  </si>
  <si>
    <t>Total</t>
  </si>
  <si>
    <t>AAAAAH/rVCM=</t>
  </si>
  <si>
    <t>AAAAAH/rVCQ=</t>
  </si>
  <si>
    <t>AAAAAH/rVCU=</t>
  </si>
  <si>
    <t>Learn Objectives</t>
  </si>
  <si>
    <t>Attendee Number</t>
  </si>
  <si>
    <t>Level</t>
  </si>
  <si>
    <t>Gpa</t>
  </si>
  <si>
    <t>Final</t>
  </si>
  <si>
    <t>v1.1</t>
  </si>
  <si>
    <t>Begginer</t>
  </si>
  <si>
    <t>RDBMS</t>
  </si>
  <si>
    <t>Knowledge of relational database (RDBMS)</t>
  </si>
  <si>
    <t>SQL skills</t>
  </si>
  <si>
    <t xml:space="preserve">Writing skills and performing the SQL query intensive, optimization, writing objects for data manipulation. No basic mistakes </t>
  </si>
  <si>
    <t>SQL for Developer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</si>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</sst>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[$-409]d\-mmm\-yyyy;@"/>
  </numFmts>
  <fonts count="28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arial"/>
    </font>
    <font>
      <sz val="10"/>
      <name val="Aarial"/>
    </font>
    <font>
      <i/>
      <sz val="10"/>
      <name val="Aarial"/>
    </font>
    <font>
      <b/>
      <i/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b/>
      <i/>
      <sz val="18"/>
      <name val="Aarial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5" fillId="0" borderId="0"/>
    <xf numFmtId="0" fontId="14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3" fillId="0" borderId="0"/>
    <xf numFmtId="0" fontId="13" fillId="0" borderId="0"/>
  </cellStyleXfs>
  <cellXfs count="142">
    <xf numFmtId="0" fontId="0" fillId="0" borderId="0" xfId="0"/>
    <xf numFmtId="0" fontId="15" fillId="0" borderId="0" xfId="3"/>
    <xf numFmtId="9" fontId="4" fillId="0" borderId="0" xfId="5" applyFont="1"/>
    <xf numFmtId="0" fontId="13" fillId="2" borderId="1" xfId="3" applyFont="1" applyFill="1" applyBorder="1" applyAlignment="1">
      <alignment horizontal="left" vertical="top"/>
    </xf>
    <xf numFmtId="0" fontId="13" fillId="2" borderId="1" xfId="0" applyFont="1" applyFill="1" applyBorder="1" applyAlignment="1">
      <alignment vertical="top"/>
    </xf>
    <xf numFmtId="0" fontId="13" fillId="2" borderId="1" xfId="3" applyFont="1" applyFill="1" applyBorder="1" applyAlignment="1">
      <alignment vertical="top"/>
    </xf>
    <xf numFmtId="0" fontId="13" fillId="2" borderId="1" xfId="3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2" fontId="13" fillId="2" borderId="1" xfId="3" applyNumberFormat="1" applyFont="1" applyFill="1" applyBorder="1" applyAlignment="1">
      <alignment horizontal="center" vertical="top"/>
    </xf>
    <xf numFmtId="0" fontId="12" fillId="3" borderId="1" xfId="3" applyFont="1" applyFill="1" applyBorder="1"/>
    <xf numFmtId="0" fontId="13" fillId="3" borderId="0" xfId="3" applyFont="1" applyFill="1"/>
    <xf numFmtId="0" fontId="13" fillId="3" borderId="0" xfId="3" applyFont="1" applyFill="1" applyAlignment="1">
      <alignment horizontal="right"/>
    </xf>
    <xf numFmtId="2" fontId="13" fillId="3" borderId="1" xfId="3" applyNumberFormat="1" applyFont="1" applyFill="1" applyBorder="1" applyAlignment="1">
      <alignment horizontal="center"/>
    </xf>
    <xf numFmtId="9" fontId="13" fillId="3" borderId="1" xfId="5" applyFont="1" applyFill="1" applyBorder="1" applyAlignment="1">
      <alignment horizontal="left"/>
    </xf>
    <xf numFmtId="164" fontId="12" fillId="3" borderId="1" xfId="3" applyNumberFormat="1" applyFont="1" applyFill="1" applyBorder="1" applyAlignment="1">
      <alignment horizontal="center"/>
    </xf>
    <xf numFmtId="9" fontId="12" fillId="3" borderId="1" xfId="3" applyNumberFormat="1" applyFont="1" applyFill="1" applyBorder="1" applyAlignment="1">
      <alignment horizontal="left"/>
    </xf>
    <xf numFmtId="0" fontId="8" fillId="3" borderId="0" xfId="0" applyFont="1" applyFill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vertical="center" wrapText="1"/>
    </xf>
    <xf numFmtId="0" fontId="10" fillId="3" borderId="5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top" wrapText="1"/>
    </xf>
    <xf numFmtId="2" fontId="13" fillId="2" borderId="1" xfId="0" applyNumberFormat="1" applyFont="1" applyFill="1" applyBorder="1" applyAlignment="1">
      <alignment horizontal="center" vertical="top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1" fillId="4" borderId="22" xfId="9" applyFill="1" applyBorder="1"/>
    <xf numFmtId="0" fontId="1" fillId="4" borderId="25" xfId="9" applyFill="1" applyBorder="1"/>
    <xf numFmtId="0" fontId="1" fillId="4" borderId="15" xfId="9" applyFill="1" applyBorder="1"/>
    <xf numFmtId="0" fontId="13" fillId="0" borderId="0" xfId="10"/>
    <xf numFmtId="0" fontId="18" fillId="4" borderId="26" xfId="11" applyFont="1" applyFill="1" applyBorder="1"/>
    <xf numFmtId="0" fontId="1" fillId="4" borderId="0" xfId="9" applyFill="1"/>
    <xf numFmtId="0" fontId="1" fillId="4" borderId="14" xfId="9" applyFill="1" applyBorder="1"/>
    <xf numFmtId="0" fontId="19" fillId="4" borderId="0" xfId="9" applyFont="1" applyFill="1"/>
    <xf numFmtId="0" fontId="1" fillId="4" borderId="26" xfId="9" applyFill="1" applyBorder="1"/>
    <xf numFmtId="0" fontId="21" fillId="0" borderId="0" xfId="10" applyFont="1"/>
    <xf numFmtId="0" fontId="22" fillId="4" borderId="26" xfId="9" applyFont="1" applyFill="1" applyBorder="1"/>
    <xf numFmtId="0" fontId="22" fillId="4" borderId="0" xfId="9" applyFont="1" applyFill="1"/>
    <xf numFmtId="0" fontId="23" fillId="4" borderId="0" xfId="9" applyFont="1" applyFill="1" applyAlignment="1">
      <alignment horizontal="center"/>
    </xf>
    <xf numFmtId="0" fontId="22" fillId="4" borderId="14" xfId="9" applyFont="1" applyFill="1" applyBorder="1"/>
    <xf numFmtId="0" fontId="1" fillId="4" borderId="27" xfId="9" applyFill="1" applyBorder="1"/>
    <xf numFmtId="0" fontId="1" fillId="4" borderId="28" xfId="9" applyFill="1" applyBorder="1"/>
    <xf numFmtId="0" fontId="1" fillId="4" borderId="13" xfId="9" applyFill="1" applyBorder="1"/>
    <xf numFmtId="0" fontId="26" fillId="3" borderId="0" xfId="0" applyFont="1" applyFill="1" applyAlignment="1">
      <alignment vertical="center"/>
    </xf>
    <xf numFmtId="0" fontId="27" fillId="3" borderId="0" xfId="0" applyFont="1" applyFill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3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left" vertical="center" wrapText="1"/>
    </xf>
    <xf numFmtId="0" fontId="10" fillId="3" borderId="16" xfId="0" applyFont="1" applyFill="1" applyBorder="1" applyAlignment="1">
      <alignment horizontal="left" vertical="top" wrapText="1"/>
    </xf>
    <xf numFmtId="0" fontId="8" fillId="3" borderId="32" xfId="0" applyFont="1" applyFill="1" applyBorder="1" applyAlignment="1">
      <alignment vertical="center"/>
    </xf>
    <xf numFmtId="0" fontId="7" fillId="3" borderId="2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horizontal="left" vertical="top" wrapText="1"/>
    </xf>
    <xf numFmtId="0" fontId="9" fillId="6" borderId="35" xfId="0" applyFont="1" applyFill="1" applyBorder="1" applyAlignment="1">
      <alignment horizontal="left" vertical="top" wrapText="1"/>
    </xf>
    <xf numFmtId="0" fontId="9" fillId="6" borderId="19" xfId="0" applyFont="1" applyFill="1" applyBorder="1" applyAlignment="1">
      <alignment horizontal="left" vertical="top" wrapText="1"/>
    </xf>
    <xf numFmtId="0" fontId="9" fillId="6" borderId="37" xfId="0" applyFont="1" applyFill="1" applyBorder="1" applyAlignment="1">
      <alignment horizontal="left" vertical="top" wrapText="1"/>
    </xf>
    <xf numFmtId="0" fontId="25" fillId="5" borderId="15" xfId="9" applyFont="1" applyFill="1" applyBorder="1" applyAlignment="1">
      <alignment horizontal="left" vertical="center"/>
    </xf>
    <xf numFmtId="0" fontId="25" fillId="5" borderId="3" xfId="9" applyFont="1" applyFill="1" applyBorder="1" applyAlignment="1">
      <alignment horizontal="left" vertical="center"/>
    </xf>
    <xf numFmtId="165" fontId="12" fillId="5" borderId="3" xfId="9" quotePrefix="1" applyNumberFormat="1" applyFont="1" applyFill="1" applyBorder="1" applyAlignment="1">
      <alignment horizontal="center" vertical="center"/>
    </xf>
    <xf numFmtId="165" fontId="12" fillId="5" borderId="3" xfId="9" applyNumberFormat="1" applyFont="1" applyFill="1" applyBorder="1" applyAlignment="1">
      <alignment horizontal="center" vertical="center"/>
    </xf>
    <xf numFmtId="165" fontId="12" fillId="5" borderId="22" xfId="9" applyNumberFormat="1" applyFont="1" applyFill="1" applyBorder="1" applyAlignment="1">
      <alignment horizontal="center" vertical="center"/>
    </xf>
    <xf numFmtId="0" fontId="20" fillId="4" borderId="26" xfId="9" applyFont="1" applyFill="1" applyBorder="1" applyAlignment="1">
      <alignment horizontal="center"/>
    </xf>
    <xf numFmtId="0" fontId="20" fillId="4" borderId="0" xfId="9" applyFont="1" applyFill="1" applyAlignment="1">
      <alignment horizontal="center"/>
    </xf>
    <xf numFmtId="0" fontId="20" fillId="4" borderId="14" xfId="9" applyFont="1" applyFill="1" applyBorder="1" applyAlignment="1">
      <alignment horizontal="center"/>
    </xf>
    <xf numFmtId="0" fontId="24" fillId="4" borderId="26" xfId="9" applyFont="1" applyFill="1" applyBorder="1" applyAlignment="1">
      <alignment horizontal="center"/>
    </xf>
    <xf numFmtId="0" fontId="24" fillId="4" borderId="0" xfId="9" applyFont="1" applyFill="1" applyAlignment="1">
      <alignment horizontal="center"/>
    </xf>
    <xf numFmtId="0" fontId="24" fillId="4" borderId="14" xfId="9" applyFont="1" applyFill="1" applyBorder="1" applyAlignment="1">
      <alignment horizontal="center"/>
    </xf>
    <xf numFmtId="0" fontId="25" fillId="5" borderId="13" xfId="9" applyFont="1" applyFill="1" applyBorder="1" applyAlignment="1">
      <alignment horizontal="left" vertical="center"/>
    </xf>
    <xf numFmtId="0" fontId="25" fillId="5" borderId="12" xfId="9" applyFont="1" applyFill="1" applyBorder="1" applyAlignment="1">
      <alignment horizontal="left" vertical="center"/>
    </xf>
    <xf numFmtId="0" fontId="12" fillId="5" borderId="12" xfId="9" applyFont="1" applyFill="1" applyBorder="1" applyAlignment="1">
      <alignment horizontal="center" vertical="center"/>
    </xf>
    <xf numFmtId="0" fontId="12" fillId="5" borderId="27" xfId="9" applyFont="1" applyFill="1" applyBorder="1" applyAlignment="1">
      <alignment horizontal="center" vertical="center"/>
    </xf>
    <xf numFmtId="0" fontId="25" fillId="5" borderId="7" xfId="9" applyFont="1" applyFill="1" applyBorder="1" applyAlignment="1">
      <alignment horizontal="left" vertical="center"/>
    </xf>
    <xf numFmtId="0" fontId="25" fillId="5" borderId="1" xfId="9" applyFont="1" applyFill="1" applyBorder="1" applyAlignment="1">
      <alignment horizontal="left" vertical="center"/>
    </xf>
    <xf numFmtId="49" fontId="12" fillId="5" borderId="1" xfId="9" applyNumberFormat="1" applyFont="1" applyFill="1" applyBorder="1" applyAlignment="1">
      <alignment horizontal="center" vertical="center"/>
    </xf>
    <xf numFmtId="49" fontId="12" fillId="5" borderId="11" xfId="9" applyNumberFormat="1" applyFont="1" applyFill="1" applyBorder="1" applyAlignment="1">
      <alignment horizontal="center" vertical="center"/>
    </xf>
    <xf numFmtId="0" fontId="16" fillId="4" borderId="16" xfId="0" applyFont="1" applyFill="1" applyBorder="1" applyAlignment="1">
      <alignment horizontal="left" vertical="top" wrapText="1"/>
    </xf>
    <xf numFmtId="0" fontId="16" fillId="4" borderId="18" xfId="0" applyFont="1" applyFill="1" applyBorder="1" applyAlignment="1">
      <alignment horizontal="left" vertical="top" wrapText="1"/>
    </xf>
    <xf numFmtId="0" fontId="7" fillId="3" borderId="21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left" vertical="top" wrapText="1"/>
    </xf>
    <xf numFmtId="0" fontId="9" fillId="2" borderId="17" xfId="0" applyFont="1" applyFill="1" applyBorder="1" applyAlignment="1">
      <alignment horizontal="left" vertical="top" wrapText="1"/>
    </xf>
    <xf numFmtId="0" fontId="9" fillId="2" borderId="18" xfId="0" applyFont="1" applyFill="1" applyBorder="1" applyAlignment="1">
      <alignment horizontal="left" vertical="top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left" vertical="top" wrapText="1"/>
    </xf>
    <xf numFmtId="0" fontId="9" fillId="6" borderId="36" xfId="0" applyFont="1" applyFill="1" applyBorder="1" applyAlignment="1">
      <alignment horizontal="left" vertical="top" wrapText="1"/>
    </xf>
    <xf numFmtId="0" fontId="9" fillId="2" borderId="16" xfId="0" applyFont="1" applyFill="1" applyBorder="1" applyAlignment="1">
      <alignment vertical="top" wrapText="1"/>
    </xf>
    <xf numFmtId="0" fontId="9" fillId="2" borderId="17" xfId="0" applyFont="1" applyFill="1" applyBorder="1" applyAlignment="1">
      <alignment vertical="top"/>
    </xf>
    <xf numFmtId="0" fontId="9" fillId="2" borderId="18" xfId="0" applyFont="1" applyFill="1" applyBorder="1" applyAlignment="1">
      <alignment vertical="top"/>
    </xf>
    <xf numFmtId="0" fontId="17" fillId="3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10" fillId="3" borderId="16" xfId="0" applyFont="1" applyFill="1" applyBorder="1" applyAlignment="1">
      <alignment horizontal="left" vertical="center" wrapText="1"/>
    </xf>
    <xf numFmtId="0" fontId="10" fillId="3" borderId="18" xfId="0" applyFont="1" applyFill="1" applyBorder="1" applyAlignment="1">
      <alignment horizontal="left" vertical="center" wrapText="1"/>
    </xf>
    <xf numFmtId="0" fontId="9" fillId="2" borderId="30" xfId="0" applyFont="1" applyFill="1" applyBorder="1" applyAlignment="1">
      <alignment vertical="top" wrapText="1"/>
    </xf>
    <xf numFmtId="0" fontId="9" fillId="2" borderId="17" xfId="0" applyFont="1" applyFill="1" applyBorder="1" applyAlignment="1">
      <alignment vertical="top" wrapText="1"/>
    </xf>
    <xf numFmtId="0" fontId="9" fillId="2" borderId="18" xfId="0" applyFont="1" applyFill="1" applyBorder="1" applyAlignment="1">
      <alignment vertical="top" wrapText="1"/>
    </xf>
    <xf numFmtId="0" fontId="9" fillId="2" borderId="2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left" vertical="top" wrapText="1"/>
    </xf>
    <xf numFmtId="0" fontId="8" fillId="2" borderId="29" xfId="0" applyFont="1" applyFill="1" applyBorder="1" applyAlignment="1">
      <alignment vertical="top" wrapText="1"/>
    </xf>
    <xf numFmtId="0" fontId="8" fillId="2" borderId="32" xfId="0" applyFont="1" applyFill="1" applyBorder="1" applyAlignment="1">
      <alignment vertical="top" wrapText="1"/>
    </xf>
    <xf numFmtId="0" fontId="8" fillId="2" borderId="33" xfId="0" applyFont="1" applyFill="1" applyBorder="1" applyAlignment="1">
      <alignment vertical="top" wrapText="1"/>
    </xf>
    <xf numFmtId="0" fontId="9" fillId="2" borderId="29" xfId="0" applyFont="1" applyFill="1" applyBorder="1" applyAlignment="1">
      <alignment horizontal="left" vertical="center" wrapText="1"/>
    </xf>
    <xf numFmtId="0" fontId="9" fillId="2" borderId="32" xfId="0" applyFont="1" applyFill="1" applyBorder="1" applyAlignment="1">
      <alignment horizontal="left" vertical="center" wrapText="1"/>
    </xf>
    <xf numFmtId="0" fontId="9" fillId="2" borderId="33" xfId="0" applyFont="1" applyFill="1" applyBorder="1" applyAlignment="1">
      <alignment horizontal="left" vertical="center" wrapText="1"/>
    </xf>
    <xf numFmtId="0" fontId="16" fillId="6" borderId="16" xfId="0" applyFont="1" applyFill="1" applyBorder="1" applyAlignment="1">
      <alignment horizontal="left" vertical="top" wrapText="1"/>
    </xf>
    <xf numFmtId="0" fontId="16" fillId="6" borderId="36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2" xfId="0" quotePrefix="1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9" fillId="2" borderId="2" xfId="0" quotePrefix="1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11" fillId="3" borderId="0" xfId="3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34" xfId="0" applyNumberFormat="1" applyFont="1" applyFill="1" applyBorder="1" applyAlignment="1">
      <alignment horizontal="center" vertical="center" wrapText="1"/>
    </xf>
  </cellXfs>
  <cellStyles count="12">
    <cellStyle name="Comma 2" xfId="1" xr:uid="{00000000-0005-0000-0000-000000000000}"/>
    <cellStyle name="Comma 3" xfId="2" xr:uid="{00000000-0005-0000-0000-000001000000}"/>
    <cellStyle name="Normal" xfId="0" builtinId="0" customBuiltin="1"/>
    <cellStyle name="Normal 2" xfId="3" xr:uid="{00000000-0005-0000-0000-000003000000}"/>
    <cellStyle name="Normal 2 2" xfId="8" xr:uid="{00000000-0005-0000-0000-000004000000}"/>
    <cellStyle name="Normal 2 3" xfId="9" xr:uid="{00000000-0005-0000-0000-000005000000}"/>
    <cellStyle name="Normal 3" xfId="4" xr:uid="{00000000-0005-0000-0000-000006000000}"/>
    <cellStyle name="Normal 4" xfId="10" xr:uid="{00000000-0005-0000-0000-000007000000}"/>
    <cellStyle name="Normal_Guideline_Process tailoring" xfId="11" xr:uid="{00000000-0005-0000-0000-000008000000}"/>
    <cellStyle name="Percent" xfId="5" builtinId="5"/>
    <cellStyle name="Percent 2" xfId="6" xr:uid="{00000000-0005-0000-0000-00000A000000}"/>
    <cellStyle name="Percent 3" xfId="7" xr:uid="{00000000-0005-0000-0000-00000B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zoomScaleNormal="100" zoomScaleSheetLayoutView="100" workbookViewId="0"/>
  </sheetViews>
  <sheetFormatPr defaultColWidth="8.6640625" defaultRowHeight="13.2"/>
  <cols>
    <col min="1" max="1" width="3" style="30" customWidth="1"/>
    <col min="2" max="256" width="8.6640625" style="30"/>
    <col min="257" max="257" width="3" style="30" customWidth="1"/>
    <col min="258" max="512" width="8.6640625" style="30"/>
    <col min="513" max="513" width="3" style="30" customWidth="1"/>
    <col min="514" max="768" width="8.6640625" style="30"/>
    <col min="769" max="769" width="3" style="30" customWidth="1"/>
    <col min="770" max="1024" width="8.6640625" style="30"/>
    <col min="1025" max="1025" width="3" style="30" customWidth="1"/>
    <col min="1026" max="1280" width="8.6640625" style="30"/>
    <col min="1281" max="1281" width="3" style="30" customWidth="1"/>
    <col min="1282" max="1536" width="8.6640625" style="30"/>
    <col min="1537" max="1537" width="3" style="30" customWidth="1"/>
    <col min="1538" max="1792" width="8.6640625" style="30"/>
    <col min="1793" max="1793" width="3" style="30" customWidth="1"/>
    <col min="1794" max="2048" width="8.6640625" style="30"/>
    <col min="2049" max="2049" width="3" style="30" customWidth="1"/>
    <col min="2050" max="2304" width="8.6640625" style="30"/>
    <col min="2305" max="2305" width="3" style="30" customWidth="1"/>
    <col min="2306" max="2560" width="8.6640625" style="30"/>
    <col min="2561" max="2561" width="3" style="30" customWidth="1"/>
    <col min="2562" max="2816" width="8.6640625" style="30"/>
    <col min="2817" max="2817" width="3" style="30" customWidth="1"/>
    <col min="2818" max="3072" width="8.6640625" style="30"/>
    <col min="3073" max="3073" width="3" style="30" customWidth="1"/>
    <col min="3074" max="3328" width="8.6640625" style="30"/>
    <col min="3329" max="3329" width="3" style="30" customWidth="1"/>
    <col min="3330" max="3584" width="8.6640625" style="30"/>
    <col min="3585" max="3585" width="3" style="30" customWidth="1"/>
    <col min="3586" max="3840" width="8.6640625" style="30"/>
    <col min="3841" max="3841" width="3" style="30" customWidth="1"/>
    <col min="3842" max="4096" width="8.6640625" style="30"/>
    <col min="4097" max="4097" width="3" style="30" customWidth="1"/>
    <col min="4098" max="4352" width="8.6640625" style="30"/>
    <col min="4353" max="4353" width="3" style="30" customWidth="1"/>
    <col min="4354" max="4608" width="8.6640625" style="30"/>
    <col min="4609" max="4609" width="3" style="30" customWidth="1"/>
    <col min="4610" max="4864" width="8.6640625" style="30"/>
    <col min="4865" max="4865" width="3" style="30" customWidth="1"/>
    <col min="4866" max="5120" width="8.6640625" style="30"/>
    <col min="5121" max="5121" width="3" style="30" customWidth="1"/>
    <col min="5122" max="5376" width="8.6640625" style="30"/>
    <col min="5377" max="5377" width="3" style="30" customWidth="1"/>
    <col min="5378" max="5632" width="8.6640625" style="30"/>
    <col min="5633" max="5633" width="3" style="30" customWidth="1"/>
    <col min="5634" max="5888" width="8.6640625" style="30"/>
    <col min="5889" max="5889" width="3" style="30" customWidth="1"/>
    <col min="5890" max="6144" width="8.6640625" style="30"/>
    <col min="6145" max="6145" width="3" style="30" customWidth="1"/>
    <col min="6146" max="6400" width="8.6640625" style="30"/>
    <col min="6401" max="6401" width="3" style="30" customWidth="1"/>
    <col min="6402" max="6656" width="8.6640625" style="30"/>
    <col min="6657" max="6657" width="3" style="30" customWidth="1"/>
    <col min="6658" max="6912" width="8.6640625" style="30"/>
    <col min="6913" max="6913" width="3" style="30" customWidth="1"/>
    <col min="6914" max="7168" width="8.6640625" style="30"/>
    <col min="7169" max="7169" width="3" style="30" customWidth="1"/>
    <col min="7170" max="7424" width="8.6640625" style="30"/>
    <col min="7425" max="7425" width="3" style="30" customWidth="1"/>
    <col min="7426" max="7680" width="8.6640625" style="30"/>
    <col min="7681" max="7681" width="3" style="30" customWidth="1"/>
    <col min="7682" max="7936" width="8.6640625" style="30"/>
    <col min="7937" max="7937" width="3" style="30" customWidth="1"/>
    <col min="7938" max="8192" width="8.6640625" style="30"/>
    <col min="8193" max="8193" width="3" style="30" customWidth="1"/>
    <col min="8194" max="8448" width="8.6640625" style="30"/>
    <col min="8449" max="8449" width="3" style="30" customWidth="1"/>
    <col min="8450" max="8704" width="8.6640625" style="30"/>
    <col min="8705" max="8705" width="3" style="30" customWidth="1"/>
    <col min="8706" max="8960" width="8.6640625" style="30"/>
    <col min="8961" max="8961" width="3" style="30" customWidth="1"/>
    <col min="8962" max="9216" width="8.6640625" style="30"/>
    <col min="9217" max="9217" width="3" style="30" customWidth="1"/>
    <col min="9218" max="9472" width="8.6640625" style="30"/>
    <col min="9473" max="9473" width="3" style="30" customWidth="1"/>
    <col min="9474" max="9728" width="8.6640625" style="30"/>
    <col min="9729" max="9729" width="3" style="30" customWidth="1"/>
    <col min="9730" max="9984" width="8.6640625" style="30"/>
    <col min="9985" max="9985" width="3" style="30" customWidth="1"/>
    <col min="9986" max="10240" width="8.6640625" style="30"/>
    <col min="10241" max="10241" width="3" style="30" customWidth="1"/>
    <col min="10242" max="10496" width="8.6640625" style="30"/>
    <col min="10497" max="10497" width="3" style="30" customWidth="1"/>
    <col min="10498" max="10752" width="8.6640625" style="30"/>
    <col min="10753" max="10753" width="3" style="30" customWidth="1"/>
    <col min="10754" max="11008" width="8.6640625" style="30"/>
    <col min="11009" max="11009" width="3" style="30" customWidth="1"/>
    <col min="11010" max="11264" width="8.6640625" style="30"/>
    <col min="11265" max="11265" width="3" style="30" customWidth="1"/>
    <col min="11266" max="11520" width="8.6640625" style="30"/>
    <col min="11521" max="11521" width="3" style="30" customWidth="1"/>
    <col min="11522" max="11776" width="8.6640625" style="30"/>
    <col min="11777" max="11777" width="3" style="30" customWidth="1"/>
    <col min="11778" max="12032" width="8.6640625" style="30"/>
    <col min="12033" max="12033" width="3" style="30" customWidth="1"/>
    <col min="12034" max="12288" width="8.6640625" style="30"/>
    <col min="12289" max="12289" width="3" style="30" customWidth="1"/>
    <col min="12290" max="12544" width="8.6640625" style="30"/>
    <col min="12545" max="12545" width="3" style="30" customWidth="1"/>
    <col min="12546" max="12800" width="8.6640625" style="30"/>
    <col min="12801" max="12801" width="3" style="30" customWidth="1"/>
    <col min="12802" max="13056" width="8.6640625" style="30"/>
    <col min="13057" max="13057" width="3" style="30" customWidth="1"/>
    <col min="13058" max="13312" width="8.6640625" style="30"/>
    <col min="13313" max="13313" width="3" style="30" customWidth="1"/>
    <col min="13314" max="13568" width="8.6640625" style="30"/>
    <col min="13569" max="13569" width="3" style="30" customWidth="1"/>
    <col min="13570" max="13824" width="8.6640625" style="30"/>
    <col min="13825" max="13825" width="3" style="30" customWidth="1"/>
    <col min="13826" max="14080" width="8.6640625" style="30"/>
    <col min="14081" max="14081" width="3" style="30" customWidth="1"/>
    <col min="14082" max="14336" width="8.6640625" style="30"/>
    <col min="14337" max="14337" width="3" style="30" customWidth="1"/>
    <col min="14338" max="14592" width="8.6640625" style="30"/>
    <col min="14593" max="14593" width="3" style="30" customWidth="1"/>
    <col min="14594" max="14848" width="8.6640625" style="30"/>
    <col min="14849" max="14849" width="3" style="30" customWidth="1"/>
    <col min="14850" max="15104" width="8.6640625" style="30"/>
    <col min="15105" max="15105" width="3" style="30" customWidth="1"/>
    <col min="15106" max="15360" width="8.6640625" style="30"/>
    <col min="15361" max="15361" width="3" style="30" customWidth="1"/>
    <col min="15362" max="15616" width="8.6640625" style="30"/>
    <col min="15617" max="15617" width="3" style="30" customWidth="1"/>
    <col min="15618" max="15872" width="8.6640625" style="30"/>
    <col min="15873" max="15873" width="3" style="30" customWidth="1"/>
    <col min="15874" max="16128" width="8.6640625" style="30"/>
    <col min="16129" max="16129" width="3" style="30" customWidth="1"/>
    <col min="16130" max="16384" width="8.6640625" style="30"/>
  </cols>
  <sheetData>
    <row r="1" spans="2:15" ht="14.4">
      <c r="B1" s="27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2:15" ht="14.4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2:15" ht="14.4">
      <c r="B3" s="3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</row>
    <row r="4" spans="2:15" ht="15.6">
      <c r="B4" s="31"/>
      <c r="C4" s="32"/>
      <c r="D4" s="32"/>
      <c r="E4" s="32"/>
      <c r="F4" s="32"/>
      <c r="G4" s="32"/>
      <c r="H4" s="32"/>
      <c r="I4" s="34"/>
      <c r="J4" s="32"/>
      <c r="K4" s="32"/>
      <c r="L4" s="32"/>
      <c r="M4" s="32"/>
      <c r="N4" s="32"/>
      <c r="O4" s="33"/>
    </row>
    <row r="5" spans="2:15" ht="14.4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</row>
    <row r="6" spans="2:15" ht="14.4">
      <c r="B6" s="35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</row>
    <row r="7" spans="2:15" ht="14.4">
      <c r="B7" s="35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2:15" ht="14.4">
      <c r="B8" s="35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3"/>
    </row>
    <row r="9" spans="2:15" ht="14.4">
      <c r="B9" s="35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3"/>
    </row>
    <row r="10" spans="2:15" ht="14.4">
      <c r="B10" s="35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3"/>
    </row>
    <row r="11" spans="2:15" s="36" customFormat="1" ht="17.399999999999999">
      <c r="B11" s="65" t="s">
        <v>0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7"/>
    </row>
    <row r="12" spans="2:15" s="36" customFormat="1" ht="18">
      <c r="B12" s="37"/>
      <c r="C12" s="38"/>
      <c r="D12" s="38"/>
      <c r="E12" s="38"/>
      <c r="F12" s="39"/>
      <c r="G12" s="38"/>
      <c r="H12" s="38"/>
      <c r="I12" s="38"/>
      <c r="J12" s="38"/>
      <c r="K12" s="38"/>
      <c r="L12" s="38"/>
      <c r="M12" s="38"/>
      <c r="N12" s="38"/>
      <c r="O12" s="40"/>
    </row>
    <row r="13" spans="2:15" s="36" customFormat="1" ht="24.6">
      <c r="B13" s="68" t="s">
        <v>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70"/>
    </row>
    <row r="14" spans="2:15" ht="14.4">
      <c r="B14" s="35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3"/>
    </row>
    <row r="15" spans="2:15" ht="14.4">
      <c r="B15" s="35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3"/>
    </row>
    <row r="16" spans="2:15" ht="14.4">
      <c r="B16" s="35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/>
    </row>
    <row r="17" spans="2:15" ht="24" customHeight="1">
      <c r="B17" s="35"/>
      <c r="C17" s="32"/>
      <c r="D17" s="32"/>
      <c r="E17" s="32"/>
      <c r="F17" s="71" t="s">
        <v>2</v>
      </c>
      <c r="G17" s="72"/>
      <c r="H17" s="72"/>
      <c r="I17" s="73" t="s">
        <v>3</v>
      </c>
      <c r="J17" s="73"/>
      <c r="K17" s="74"/>
      <c r="L17" s="32"/>
      <c r="M17" s="32"/>
      <c r="N17" s="32"/>
      <c r="O17" s="33"/>
    </row>
    <row r="18" spans="2:15" ht="24" customHeight="1">
      <c r="B18" s="35"/>
      <c r="C18" s="32"/>
      <c r="D18" s="32"/>
      <c r="E18" s="32"/>
      <c r="F18" s="75" t="s">
        <v>4</v>
      </c>
      <c r="G18" s="76"/>
      <c r="H18" s="76"/>
      <c r="I18" s="77" t="s">
        <v>5</v>
      </c>
      <c r="J18" s="77"/>
      <c r="K18" s="78"/>
      <c r="L18" s="32"/>
      <c r="M18" s="32"/>
      <c r="N18" s="32"/>
      <c r="O18" s="33"/>
    </row>
    <row r="19" spans="2:15" ht="24" customHeight="1">
      <c r="B19" s="35"/>
      <c r="C19" s="32"/>
      <c r="D19" s="32"/>
      <c r="E19" s="32"/>
      <c r="F19" s="60" t="s">
        <v>6</v>
      </c>
      <c r="G19" s="61"/>
      <c r="H19" s="61"/>
      <c r="I19" s="62" t="s">
        <v>7</v>
      </c>
      <c r="J19" s="63"/>
      <c r="K19" s="64"/>
      <c r="L19" s="32"/>
      <c r="M19" s="32"/>
      <c r="N19" s="32"/>
      <c r="O19" s="33"/>
    </row>
    <row r="20" spans="2:15" ht="14.4">
      <c r="B20" s="35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  <row r="21" spans="2:15" ht="14.4">
      <c r="B21" s="35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3"/>
    </row>
    <row r="22" spans="2:15" ht="14.4">
      <c r="B22" s="35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3"/>
    </row>
    <row r="23" spans="2:15" ht="14.4">
      <c r="B23" s="35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3"/>
    </row>
    <row r="24" spans="2:15" ht="14.4">
      <c r="B24" s="35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</row>
    <row r="25" spans="2:15" ht="14.4">
      <c r="B25" s="35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3"/>
    </row>
    <row r="26" spans="2:15" ht="14.4">
      <c r="B26" s="35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</row>
    <row r="27" spans="2:15" ht="14.4">
      <c r="B27" s="41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4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I83"/>
  <sheetViews>
    <sheetView tabSelected="1" topLeftCell="A17" zoomScaleNormal="100" zoomScaleSheetLayoutView="100" workbookViewId="0">
      <selection activeCell="G22" sqref="G22"/>
    </sheetView>
  </sheetViews>
  <sheetFormatPr defaultColWidth="9.109375" defaultRowHeight="13.2"/>
  <cols>
    <col min="1" max="1" width="4.88671875" style="16" customWidth="1"/>
    <col min="2" max="2" width="17.44140625" style="16" customWidth="1"/>
    <col min="3" max="3" width="18.44140625" style="16" customWidth="1"/>
    <col min="4" max="4" width="7.5546875" style="16" customWidth="1"/>
    <col min="5" max="5" width="16.5546875" style="16" customWidth="1"/>
    <col min="6" max="6" width="41.6640625" style="16" customWidth="1"/>
    <col min="7" max="10" width="9.109375" style="16" customWidth="1"/>
    <col min="11" max="16" width="9.109375" style="16"/>
    <col min="17" max="17" width="9.109375" style="16" customWidth="1"/>
    <col min="18" max="16384" width="9.109375" style="16"/>
  </cols>
  <sheetData>
    <row r="1" spans="1:6" ht="36" customHeight="1">
      <c r="A1" s="95" t="s">
        <v>8</v>
      </c>
      <c r="B1" s="95"/>
      <c r="C1" s="95"/>
      <c r="D1" s="95"/>
      <c r="E1" s="95"/>
      <c r="F1" s="95"/>
    </row>
    <row r="2" spans="1:6" ht="15.6" customHeight="1">
      <c r="A2" s="17">
        <v>2</v>
      </c>
      <c r="B2" s="18" t="s">
        <v>9</v>
      </c>
      <c r="C2" s="109" t="s">
        <v>138</v>
      </c>
      <c r="D2" s="110"/>
      <c r="E2" s="110"/>
      <c r="F2" s="111"/>
    </row>
    <row r="3" spans="1:6" ht="15.6" customHeight="1">
      <c r="A3" s="17">
        <v>3</v>
      </c>
      <c r="B3" s="18" t="s">
        <v>10</v>
      </c>
      <c r="C3" s="109" t="s">
        <v>139</v>
      </c>
      <c r="D3" s="110"/>
      <c r="E3" s="110"/>
      <c r="F3" s="111"/>
    </row>
    <row r="4" spans="1:6" ht="18.600000000000001" customHeight="1">
      <c r="A4" s="17">
        <v>4</v>
      </c>
      <c r="B4" s="18" t="s">
        <v>4</v>
      </c>
      <c r="C4" s="109" t="s">
        <v>132</v>
      </c>
      <c r="D4" s="110"/>
      <c r="E4" s="110"/>
      <c r="F4" s="111"/>
    </row>
    <row r="5" spans="1:6" ht="15.6" customHeight="1">
      <c r="A5" s="17">
        <v>5</v>
      </c>
      <c r="B5" s="18" t="s">
        <v>128</v>
      </c>
      <c r="C5" s="109">
        <v>20</v>
      </c>
      <c r="D5" s="110"/>
      <c r="E5" s="110"/>
      <c r="F5" s="111"/>
    </row>
    <row r="6" spans="1:6">
      <c r="A6" s="53">
        <v>6</v>
      </c>
      <c r="B6" s="18" t="s">
        <v>129</v>
      </c>
      <c r="C6" s="109" t="s">
        <v>133</v>
      </c>
      <c r="D6" s="110"/>
      <c r="E6" s="110"/>
      <c r="F6" s="111"/>
    </row>
    <row r="7" spans="1:6" ht="15.6" customHeight="1">
      <c r="A7" s="87">
        <v>7</v>
      </c>
      <c r="B7" s="81" t="s">
        <v>127</v>
      </c>
      <c r="C7" s="24" t="s">
        <v>12</v>
      </c>
      <c r="D7" s="23" t="s">
        <v>13</v>
      </c>
      <c r="E7" s="98" t="s">
        <v>14</v>
      </c>
      <c r="F7" s="99"/>
    </row>
    <row r="8" spans="1:6" ht="15.6" customHeight="1">
      <c r="A8" s="88"/>
      <c r="B8" s="82"/>
      <c r="C8" s="56" t="s">
        <v>134</v>
      </c>
      <c r="D8" s="57" t="s">
        <v>15</v>
      </c>
      <c r="E8" s="112" t="s">
        <v>135</v>
      </c>
      <c r="F8" s="113"/>
    </row>
    <row r="9" spans="1:6" ht="26.4" customHeight="1">
      <c r="A9" s="88"/>
      <c r="B9" s="82"/>
      <c r="C9" s="58" t="s">
        <v>136</v>
      </c>
      <c r="D9" s="59" t="s">
        <v>16</v>
      </c>
      <c r="E9" s="90" t="s">
        <v>137</v>
      </c>
      <c r="F9" s="91"/>
    </row>
    <row r="10" spans="1:6" ht="15.6" customHeight="1">
      <c r="A10" s="88"/>
      <c r="B10" s="82"/>
      <c r="C10" s="25"/>
      <c r="D10" s="26"/>
      <c r="E10" s="84"/>
      <c r="F10" s="86"/>
    </row>
    <row r="11" spans="1:6" ht="15.6" customHeight="1">
      <c r="A11" s="88"/>
      <c r="B11" s="82"/>
      <c r="C11" s="25"/>
      <c r="D11" s="26"/>
      <c r="E11" s="84"/>
      <c r="F11" s="86"/>
    </row>
    <row r="12" spans="1:6" ht="15.6" customHeight="1">
      <c r="A12" s="88"/>
      <c r="B12" s="82"/>
      <c r="C12" s="25"/>
      <c r="D12" s="26"/>
      <c r="E12" s="79"/>
      <c r="F12" s="80"/>
    </row>
    <row r="13" spans="1:6" ht="15.6" customHeight="1">
      <c r="A13" s="88"/>
      <c r="B13" s="82"/>
      <c r="C13" s="25"/>
      <c r="D13" s="26"/>
      <c r="E13" s="79"/>
      <c r="F13" s="80"/>
    </row>
    <row r="14" spans="1:6" ht="15.6" customHeight="1">
      <c r="A14" s="89"/>
      <c r="B14" s="83"/>
      <c r="C14" s="25"/>
      <c r="D14" s="26"/>
      <c r="E14" s="79"/>
      <c r="F14" s="80"/>
    </row>
    <row r="15" spans="1:6" ht="87.6" customHeight="1">
      <c r="A15" s="54">
        <v>8</v>
      </c>
      <c r="B15" s="55" t="s">
        <v>11</v>
      </c>
      <c r="C15" s="100" t="s">
        <v>17</v>
      </c>
      <c r="D15" s="101"/>
      <c r="E15" s="101"/>
      <c r="F15" s="102"/>
    </row>
    <row r="16" spans="1:6" ht="56.4" customHeight="1">
      <c r="A16" s="96">
        <v>9</v>
      </c>
      <c r="B16" s="97" t="s">
        <v>23</v>
      </c>
      <c r="C16" s="19" t="s">
        <v>24</v>
      </c>
      <c r="D16" s="103" t="s">
        <v>25</v>
      </c>
      <c r="E16" s="104"/>
      <c r="F16" s="105"/>
    </row>
    <row r="17" spans="1:9" ht="76.2" customHeight="1">
      <c r="A17" s="96"/>
      <c r="B17" s="97"/>
      <c r="C17" s="19" t="s">
        <v>26</v>
      </c>
      <c r="D17" s="92" t="s">
        <v>27</v>
      </c>
      <c r="E17" s="93"/>
      <c r="F17" s="94"/>
    </row>
    <row r="18" spans="1:9" ht="75" customHeight="1">
      <c r="A18" s="96"/>
      <c r="B18" s="97"/>
      <c r="C18" s="19" t="s">
        <v>28</v>
      </c>
      <c r="D18" s="106" t="s">
        <v>29</v>
      </c>
      <c r="E18" s="107"/>
      <c r="F18" s="108"/>
    </row>
    <row r="19" spans="1:9" ht="32.4" customHeight="1">
      <c r="A19" s="96">
        <v>10</v>
      </c>
      <c r="B19" s="97" t="s">
        <v>30</v>
      </c>
      <c r="C19" s="50" t="s">
        <v>31</v>
      </c>
      <c r="D19" s="140">
        <v>11</v>
      </c>
      <c r="E19" s="141"/>
      <c r="F19" s="141"/>
    </row>
    <row r="20" spans="1:9" ht="22.2" customHeight="1">
      <c r="A20" s="96"/>
      <c r="B20" s="97"/>
      <c r="C20" s="50" t="s">
        <v>32</v>
      </c>
      <c r="D20" s="140">
        <v>22</v>
      </c>
      <c r="E20" s="141"/>
      <c r="F20" s="141"/>
    </row>
    <row r="21" spans="1:9" ht="27.6" customHeight="1">
      <c r="A21" s="96"/>
      <c r="B21" s="97"/>
      <c r="C21" s="50" t="s">
        <v>33</v>
      </c>
      <c r="D21" s="140">
        <v>33</v>
      </c>
      <c r="E21" s="141"/>
      <c r="F21" s="141"/>
    </row>
    <row r="22" spans="1:9" ht="27.6" customHeight="1">
      <c r="A22" s="96"/>
      <c r="B22" s="97"/>
      <c r="C22" s="23" t="s">
        <v>34</v>
      </c>
      <c r="D22" s="140">
        <v>22</v>
      </c>
      <c r="E22" s="141"/>
      <c r="F22" s="141"/>
      <c r="I22" s="52"/>
    </row>
    <row r="23" spans="1:9" ht="27.6" customHeight="1">
      <c r="A23" s="96"/>
      <c r="B23" s="97"/>
      <c r="C23" s="51" t="s">
        <v>130</v>
      </c>
      <c r="D23" s="140">
        <v>11</v>
      </c>
      <c r="E23" s="141"/>
      <c r="F23" s="141"/>
    </row>
    <row r="24" spans="1:9" ht="30.6" customHeight="1">
      <c r="A24" s="96"/>
      <c r="B24" s="97"/>
      <c r="C24" s="51" t="s">
        <v>131</v>
      </c>
      <c r="D24" s="140">
        <v>22</v>
      </c>
      <c r="E24" s="141"/>
      <c r="F24" s="141"/>
    </row>
    <row r="25" spans="1:9" ht="34.950000000000003" customHeight="1">
      <c r="A25" s="96">
        <v>11</v>
      </c>
      <c r="B25" s="118" t="s">
        <v>35</v>
      </c>
      <c r="C25" s="19" t="s">
        <v>36</v>
      </c>
      <c r="D25" s="121" t="s">
        <v>37</v>
      </c>
      <c r="E25" s="121"/>
      <c r="F25" s="122"/>
    </row>
    <row r="26" spans="1:9" ht="31.95" customHeight="1">
      <c r="A26" s="96"/>
      <c r="B26" s="118"/>
      <c r="C26" s="19" t="s">
        <v>38</v>
      </c>
      <c r="D26" s="120" t="s">
        <v>39</v>
      </c>
      <c r="E26" s="121"/>
      <c r="F26" s="122"/>
    </row>
    <row r="27" spans="1:9" ht="85.95" customHeight="1">
      <c r="A27" s="96"/>
      <c r="B27" s="118"/>
      <c r="C27" s="19" t="s">
        <v>40</v>
      </c>
      <c r="D27" s="116" t="s">
        <v>41</v>
      </c>
      <c r="E27" s="104"/>
      <c r="F27" s="105"/>
    </row>
    <row r="28" spans="1:9" ht="30.6" customHeight="1">
      <c r="A28" s="96"/>
      <c r="B28" s="118"/>
      <c r="C28" s="19" t="s">
        <v>42</v>
      </c>
      <c r="D28" s="84" t="s">
        <v>43</v>
      </c>
      <c r="E28" s="85"/>
      <c r="F28" s="86"/>
    </row>
    <row r="29" spans="1:9" ht="55.2" customHeight="1">
      <c r="A29" s="96"/>
      <c r="B29" s="118"/>
      <c r="C29" s="19" t="s">
        <v>44</v>
      </c>
      <c r="D29" s="116" t="s">
        <v>45</v>
      </c>
      <c r="E29" s="104"/>
      <c r="F29" s="105"/>
    </row>
    <row r="30" spans="1:9" ht="33" customHeight="1">
      <c r="A30" s="96"/>
      <c r="B30" s="118"/>
      <c r="C30" s="19" t="s">
        <v>46</v>
      </c>
      <c r="D30" s="114" t="s">
        <v>47</v>
      </c>
      <c r="E30" s="114"/>
      <c r="F30" s="115"/>
    </row>
    <row r="31" spans="1:9" ht="33" customHeight="1">
      <c r="A31" s="117"/>
      <c r="B31" s="119"/>
      <c r="C31" s="20" t="s">
        <v>48</v>
      </c>
      <c r="D31" s="114" t="s">
        <v>49</v>
      </c>
      <c r="E31" s="114"/>
      <c r="F31" s="115"/>
    </row>
    <row r="34" spans="2:2">
      <c r="B34" s="44"/>
    </row>
    <row r="35" spans="2:2">
      <c r="B35" s="45"/>
    </row>
    <row r="36" spans="2:2">
      <c r="B36" s="45"/>
    </row>
    <row r="37" spans="2:2">
      <c r="B37" s="45"/>
    </row>
    <row r="38" spans="2:2">
      <c r="B38" s="45"/>
    </row>
    <row r="39" spans="2:2">
      <c r="B39" s="45"/>
    </row>
    <row r="40" spans="2:2">
      <c r="B40" s="45"/>
    </row>
    <row r="41" spans="2:2">
      <c r="B41" s="45"/>
    </row>
    <row r="42" spans="2:2">
      <c r="B42" s="45"/>
    </row>
    <row r="43" spans="2:2">
      <c r="B43" s="45"/>
    </row>
    <row r="44" spans="2:2">
      <c r="B44" s="45"/>
    </row>
    <row r="45" spans="2:2">
      <c r="B45" s="45"/>
    </row>
    <row r="46" spans="2:2">
      <c r="B46" s="45"/>
    </row>
    <row r="47" spans="2:2">
      <c r="B47" s="45"/>
    </row>
    <row r="48" spans="2:2">
      <c r="B48" s="45"/>
    </row>
    <row r="49" spans="2:2">
      <c r="B49" s="45"/>
    </row>
    <row r="50" spans="2:2">
      <c r="B50" s="45"/>
    </row>
    <row r="51" spans="2:2">
      <c r="B51" s="45"/>
    </row>
    <row r="52" spans="2:2">
      <c r="B52" s="45"/>
    </row>
    <row r="53" spans="2:2">
      <c r="B53" s="45"/>
    </row>
    <row r="54" spans="2:2">
      <c r="B54" s="45"/>
    </row>
    <row r="55" spans="2:2">
      <c r="B55" s="45"/>
    </row>
    <row r="56" spans="2:2">
      <c r="B56" s="45"/>
    </row>
    <row r="57" spans="2:2">
      <c r="B57" s="45"/>
    </row>
    <row r="58" spans="2:2">
      <c r="B58" s="45"/>
    </row>
    <row r="59" spans="2:2">
      <c r="B59" s="45"/>
    </row>
    <row r="60" spans="2:2">
      <c r="B60" s="45"/>
    </row>
    <row r="61" spans="2:2">
      <c r="B61" s="45"/>
    </row>
    <row r="62" spans="2:2">
      <c r="B62" s="45"/>
    </row>
    <row r="63" spans="2:2">
      <c r="B63" s="45"/>
    </row>
    <row r="64" spans="2:2">
      <c r="B64" s="45"/>
    </row>
    <row r="65" spans="2:2">
      <c r="B65" s="45"/>
    </row>
    <row r="66" spans="2:2">
      <c r="B66" s="45"/>
    </row>
    <row r="67" spans="2:2">
      <c r="B67" s="45"/>
    </row>
    <row r="68" spans="2:2">
      <c r="B68" s="45"/>
    </row>
    <row r="69" spans="2:2">
      <c r="B69" s="45"/>
    </row>
    <row r="70" spans="2:2">
      <c r="B70" s="45"/>
    </row>
    <row r="71" spans="2:2">
      <c r="B71" s="45"/>
    </row>
    <row r="72" spans="2:2">
      <c r="B72" s="45"/>
    </row>
    <row r="73" spans="2:2">
      <c r="B73" s="45"/>
    </row>
    <row r="74" spans="2:2">
      <c r="B74" s="45"/>
    </row>
    <row r="75" spans="2:2">
      <c r="B75" s="45"/>
    </row>
    <row r="76" spans="2:2">
      <c r="B76" s="45"/>
    </row>
    <row r="77" spans="2:2">
      <c r="B77" s="45"/>
    </row>
    <row r="78" spans="2:2">
      <c r="B78" s="45"/>
    </row>
    <row r="79" spans="2:2">
      <c r="B79" s="45"/>
    </row>
    <row r="80" spans="2:2">
      <c r="B80" s="45"/>
    </row>
    <row r="81" spans="2:2">
      <c r="B81" s="45"/>
    </row>
    <row r="82" spans="2:2">
      <c r="B82" s="45"/>
    </row>
    <row r="83" spans="2:2">
      <c r="B83" s="45"/>
    </row>
  </sheetData>
  <mergeCells count="39">
    <mergeCell ref="D31:F31"/>
    <mergeCell ref="D29:F29"/>
    <mergeCell ref="A25:A31"/>
    <mergeCell ref="B25:B31"/>
    <mergeCell ref="D26:F26"/>
    <mergeCell ref="D25:F25"/>
    <mergeCell ref="D27:F27"/>
    <mergeCell ref="D30:F30"/>
    <mergeCell ref="A1:F1"/>
    <mergeCell ref="A19:A24"/>
    <mergeCell ref="B19:B24"/>
    <mergeCell ref="E7:F7"/>
    <mergeCell ref="C15:F15"/>
    <mergeCell ref="D16:F16"/>
    <mergeCell ref="B16:B18"/>
    <mergeCell ref="A16:A18"/>
    <mergeCell ref="D18:F18"/>
    <mergeCell ref="C2:F2"/>
    <mergeCell ref="C3:F3"/>
    <mergeCell ref="C4:F4"/>
    <mergeCell ref="C5:F5"/>
    <mergeCell ref="E8:F8"/>
    <mergeCell ref="E10:F10"/>
    <mergeCell ref="C6:F6"/>
    <mergeCell ref="E13:F13"/>
    <mergeCell ref="B7:B14"/>
    <mergeCell ref="D28:F28"/>
    <mergeCell ref="A7:A14"/>
    <mergeCell ref="D19:F19"/>
    <mergeCell ref="D20:F20"/>
    <mergeCell ref="D21:F21"/>
    <mergeCell ref="D22:F22"/>
    <mergeCell ref="D23:F23"/>
    <mergeCell ref="E11:F11"/>
    <mergeCell ref="E9:F9"/>
    <mergeCell ref="E12:F12"/>
    <mergeCell ref="E14:F14"/>
    <mergeCell ref="D17:F17"/>
    <mergeCell ref="D24:F24"/>
  </mergeCells>
  <phoneticPr fontId="6" type="noConversion"/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48"/>
  <sheetViews>
    <sheetView zoomScale="90" zoomScaleNormal="70" zoomScaleSheetLayoutView="100" workbookViewId="0">
      <pane ySplit="2" topLeftCell="A3" activePane="bottomLeft" state="frozen"/>
      <selection pane="bottomLeft" activeCell="I11" sqref="I11"/>
    </sheetView>
  </sheetViews>
  <sheetFormatPr defaultColWidth="9" defaultRowHeight="13.2"/>
  <cols>
    <col min="1" max="1" width="8.88671875" style="10" customWidth="1"/>
    <col min="2" max="2" width="26.44140625" style="10" customWidth="1"/>
    <col min="3" max="3" width="7.44140625" style="10" customWidth="1"/>
    <col min="4" max="4" width="43.109375" style="10" customWidth="1"/>
    <col min="5" max="5" width="10.44140625" style="10" customWidth="1"/>
    <col min="6" max="6" width="18.44140625" style="10" customWidth="1"/>
    <col min="7" max="8" width="9.109375" style="11" customWidth="1"/>
    <col min="9" max="9" width="51.5546875" style="11" customWidth="1"/>
    <col min="10" max="16384" width="9" style="10"/>
  </cols>
  <sheetData>
    <row r="1" spans="1:9" ht="36.75" customHeight="1">
      <c r="A1" s="123" t="str">
        <f>'&lt;Topic Code&gt;_Syllabus'!C2 &amp; " - Training Schedule"</f>
        <v>SQL for Developer - Training Schedule</v>
      </c>
      <c r="B1" s="123"/>
      <c r="C1" s="123"/>
      <c r="D1" s="123"/>
      <c r="E1" s="123"/>
      <c r="F1" s="123"/>
      <c r="G1" s="123"/>
      <c r="H1" s="123"/>
      <c r="I1" s="123"/>
    </row>
    <row r="2" spans="1:9" ht="39" customHeight="1">
      <c r="A2" s="124" t="s">
        <v>50</v>
      </c>
      <c r="B2" s="125"/>
      <c r="C2" s="46" t="s">
        <v>51</v>
      </c>
      <c r="D2" s="47" t="s">
        <v>52</v>
      </c>
      <c r="E2" s="48" t="s">
        <v>53</v>
      </c>
      <c r="F2" s="49" t="s">
        <v>54</v>
      </c>
      <c r="G2" s="49" t="s">
        <v>55</v>
      </c>
      <c r="H2" s="49" t="s">
        <v>56</v>
      </c>
      <c r="I2" s="49" t="s">
        <v>57</v>
      </c>
    </row>
    <row r="3" spans="1:9" ht="20.100000000000001" customHeight="1">
      <c r="A3" s="127">
        <v>1</v>
      </c>
      <c r="B3" s="126" t="s">
        <v>58</v>
      </c>
      <c r="C3" s="128">
        <v>1</v>
      </c>
      <c r="D3" s="3" t="s">
        <v>59</v>
      </c>
      <c r="E3" s="21" t="s">
        <v>15</v>
      </c>
      <c r="F3" s="4" t="s">
        <v>18</v>
      </c>
      <c r="G3" s="22">
        <v>15</v>
      </c>
      <c r="H3" s="8" t="s">
        <v>60</v>
      </c>
      <c r="I3" s="7" t="s">
        <v>61</v>
      </c>
    </row>
    <row r="4" spans="1:9">
      <c r="A4" s="127"/>
      <c r="B4" s="126"/>
      <c r="C4" s="129"/>
      <c r="D4" s="3" t="s">
        <v>62</v>
      </c>
      <c r="E4" s="21" t="s">
        <v>15</v>
      </c>
      <c r="F4" s="4" t="s">
        <v>18</v>
      </c>
      <c r="G4" s="22">
        <v>60</v>
      </c>
      <c r="H4" s="8" t="s">
        <v>60</v>
      </c>
      <c r="I4" s="7" t="s">
        <v>63</v>
      </c>
    </row>
    <row r="5" spans="1:9">
      <c r="A5" s="127"/>
      <c r="B5" s="126"/>
      <c r="C5" s="129"/>
      <c r="D5" s="3" t="s">
        <v>64</v>
      </c>
      <c r="E5" s="21" t="s">
        <v>15</v>
      </c>
      <c r="F5" s="4" t="s">
        <v>18</v>
      </c>
      <c r="G5" s="22">
        <v>60</v>
      </c>
      <c r="H5" s="8" t="s">
        <v>60</v>
      </c>
      <c r="I5" s="7" t="s">
        <v>65</v>
      </c>
    </row>
    <row r="6" spans="1:9">
      <c r="A6" s="127"/>
      <c r="B6" s="126"/>
      <c r="C6" s="129"/>
      <c r="D6" s="3" t="s">
        <v>66</v>
      </c>
      <c r="E6" s="21" t="s">
        <v>15</v>
      </c>
      <c r="F6" s="4" t="s">
        <v>18</v>
      </c>
      <c r="G6" s="22">
        <v>30</v>
      </c>
      <c r="H6" s="8" t="s">
        <v>60</v>
      </c>
      <c r="I6" s="7" t="s">
        <v>67</v>
      </c>
    </row>
    <row r="7" spans="1:9" ht="39.6">
      <c r="A7" s="127"/>
      <c r="B7" s="126"/>
      <c r="C7" s="129"/>
      <c r="D7" s="3" t="s">
        <v>68</v>
      </c>
      <c r="E7" s="21" t="s">
        <v>16</v>
      </c>
      <c r="F7" s="4" t="s">
        <v>20</v>
      </c>
      <c r="G7" s="22">
        <v>15</v>
      </c>
      <c r="H7" s="8" t="s">
        <v>60</v>
      </c>
      <c r="I7" s="6" t="s">
        <v>69</v>
      </c>
    </row>
    <row r="8" spans="1:9">
      <c r="A8" s="127"/>
      <c r="B8" s="126"/>
      <c r="C8" s="129"/>
      <c r="D8" s="3" t="s">
        <v>70</v>
      </c>
      <c r="E8" s="21" t="s">
        <v>16</v>
      </c>
      <c r="F8" s="4" t="s">
        <v>19</v>
      </c>
      <c r="G8" s="22">
        <v>210</v>
      </c>
      <c r="H8" s="8" t="s">
        <v>60</v>
      </c>
      <c r="I8" s="5" t="s">
        <v>71</v>
      </c>
    </row>
    <row r="9" spans="1:9" ht="105.6">
      <c r="A9" s="127"/>
      <c r="B9" s="126"/>
      <c r="C9" s="130"/>
      <c r="D9" s="3" t="s">
        <v>72</v>
      </c>
      <c r="E9" s="21" t="s">
        <v>16</v>
      </c>
      <c r="F9" s="4" t="s">
        <v>20</v>
      </c>
      <c r="G9" s="22">
        <v>90</v>
      </c>
      <c r="H9" s="8" t="s">
        <v>60</v>
      </c>
      <c r="I9" s="6" t="s">
        <v>73</v>
      </c>
    </row>
    <row r="10" spans="1:9">
      <c r="A10" s="131">
        <v>2</v>
      </c>
      <c r="B10" s="128" t="s">
        <v>74</v>
      </c>
      <c r="C10" s="128">
        <v>2</v>
      </c>
      <c r="D10" s="3" t="s">
        <v>75</v>
      </c>
      <c r="E10" s="21" t="s">
        <v>15</v>
      </c>
      <c r="F10" s="4" t="s">
        <v>21</v>
      </c>
      <c r="G10" s="22">
        <v>30</v>
      </c>
      <c r="H10" s="8" t="s">
        <v>60</v>
      </c>
      <c r="I10" s="6" t="s">
        <v>76</v>
      </c>
    </row>
    <row r="11" spans="1:9" ht="26.4">
      <c r="A11" s="132"/>
      <c r="B11" s="129"/>
      <c r="C11" s="129"/>
      <c r="D11" s="3" t="s">
        <v>77</v>
      </c>
      <c r="E11" s="21" t="s">
        <v>16</v>
      </c>
      <c r="F11" s="4" t="s">
        <v>20</v>
      </c>
      <c r="G11" s="22">
        <v>15</v>
      </c>
      <c r="H11" s="8" t="s">
        <v>60</v>
      </c>
      <c r="I11" s="6" t="s">
        <v>78</v>
      </c>
    </row>
    <row r="12" spans="1:9">
      <c r="A12" s="132"/>
      <c r="B12" s="129"/>
      <c r="C12" s="129"/>
      <c r="D12" s="3" t="s">
        <v>79</v>
      </c>
      <c r="E12" s="21" t="s">
        <v>15</v>
      </c>
      <c r="F12" s="4" t="s">
        <v>18</v>
      </c>
      <c r="G12" s="22">
        <v>60</v>
      </c>
      <c r="H12" s="8" t="s">
        <v>60</v>
      </c>
      <c r="I12" s="7" t="s">
        <v>80</v>
      </c>
    </row>
    <row r="13" spans="1:9">
      <c r="A13" s="132"/>
      <c r="B13" s="129"/>
      <c r="C13" s="129"/>
      <c r="D13" s="3" t="s">
        <v>81</v>
      </c>
      <c r="E13" s="21" t="s">
        <v>15</v>
      </c>
      <c r="F13" s="4" t="s">
        <v>18</v>
      </c>
      <c r="G13" s="22">
        <v>60</v>
      </c>
      <c r="H13" s="8" t="s">
        <v>60</v>
      </c>
      <c r="I13" s="7" t="s">
        <v>82</v>
      </c>
    </row>
    <row r="14" spans="1:9">
      <c r="A14" s="132"/>
      <c r="B14" s="129"/>
      <c r="C14" s="129"/>
      <c r="D14" s="3" t="s">
        <v>83</v>
      </c>
      <c r="E14" s="21" t="s">
        <v>15</v>
      </c>
      <c r="F14" s="4" t="s">
        <v>18</v>
      </c>
      <c r="G14" s="22">
        <v>30</v>
      </c>
      <c r="H14" s="8" t="s">
        <v>60</v>
      </c>
      <c r="I14" s="7" t="s">
        <v>84</v>
      </c>
    </row>
    <row r="15" spans="1:9" ht="39.6">
      <c r="A15" s="132"/>
      <c r="B15" s="129"/>
      <c r="C15" s="129"/>
      <c r="D15" s="3" t="s">
        <v>68</v>
      </c>
      <c r="E15" s="21" t="s">
        <v>16</v>
      </c>
      <c r="F15" s="4" t="s">
        <v>20</v>
      </c>
      <c r="G15" s="22">
        <v>15</v>
      </c>
      <c r="H15" s="8" t="s">
        <v>60</v>
      </c>
      <c r="I15" s="6" t="s">
        <v>85</v>
      </c>
    </row>
    <row r="16" spans="1:9">
      <c r="A16" s="132"/>
      <c r="B16" s="129"/>
      <c r="C16" s="129"/>
      <c r="D16" s="3" t="s">
        <v>70</v>
      </c>
      <c r="E16" s="21" t="s">
        <v>16</v>
      </c>
      <c r="F16" s="4" t="s">
        <v>19</v>
      </c>
      <c r="G16" s="22">
        <v>180</v>
      </c>
      <c r="H16" s="8" t="s">
        <v>60</v>
      </c>
      <c r="I16" s="5" t="s">
        <v>86</v>
      </c>
    </row>
    <row r="17" spans="1:9" ht="105.6">
      <c r="A17" s="133"/>
      <c r="B17" s="130"/>
      <c r="C17" s="130"/>
      <c r="D17" s="3" t="s">
        <v>72</v>
      </c>
      <c r="E17" s="21" t="s">
        <v>16</v>
      </c>
      <c r="F17" s="4" t="s">
        <v>20</v>
      </c>
      <c r="G17" s="22">
        <v>90</v>
      </c>
      <c r="H17" s="8" t="s">
        <v>60</v>
      </c>
      <c r="I17" s="6" t="s">
        <v>73</v>
      </c>
    </row>
    <row r="18" spans="1:9">
      <c r="A18" s="128">
        <v>3</v>
      </c>
      <c r="B18" s="128" t="s">
        <v>87</v>
      </c>
      <c r="C18" s="128">
        <v>3</v>
      </c>
      <c r="D18" s="3" t="s">
        <v>75</v>
      </c>
      <c r="E18" s="21" t="s">
        <v>15</v>
      </c>
      <c r="F18" s="4" t="s">
        <v>21</v>
      </c>
      <c r="G18" s="22">
        <v>30</v>
      </c>
      <c r="H18" s="8" t="s">
        <v>60</v>
      </c>
      <c r="I18" s="6" t="s">
        <v>88</v>
      </c>
    </row>
    <row r="19" spans="1:9" ht="26.4">
      <c r="A19" s="129"/>
      <c r="B19" s="129"/>
      <c r="C19" s="129"/>
      <c r="D19" s="3" t="s">
        <v>77</v>
      </c>
      <c r="E19" s="21" t="s">
        <v>16</v>
      </c>
      <c r="F19" s="4" t="s">
        <v>20</v>
      </c>
      <c r="G19" s="22">
        <v>15</v>
      </c>
      <c r="H19" s="8" t="s">
        <v>60</v>
      </c>
      <c r="I19" s="6" t="s">
        <v>78</v>
      </c>
    </row>
    <row r="20" spans="1:9">
      <c r="A20" s="129"/>
      <c r="B20" s="129"/>
      <c r="C20" s="129"/>
      <c r="D20" s="3" t="s">
        <v>89</v>
      </c>
      <c r="E20" s="21" t="s">
        <v>15</v>
      </c>
      <c r="F20" s="4" t="s">
        <v>18</v>
      </c>
      <c r="G20" s="22">
        <v>60</v>
      </c>
      <c r="H20" s="8" t="s">
        <v>60</v>
      </c>
      <c r="I20" s="7" t="s">
        <v>90</v>
      </c>
    </row>
    <row r="21" spans="1:9">
      <c r="A21" s="129"/>
      <c r="B21" s="129"/>
      <c r="C21" s="129"/>
      <c r="D21" s="3" t="s">
        <v>91</v>
      </c>
      <c r="E21" s="21" t="s">
        <v>15</v>
      </c>
      <c r="F21" s="4" t="s">
        <v>18</v>
      </c>
      <c r="G21" s="22">
        <v>60</v>
      </c>
      <c r="H21" s="8" t="s">
        <v>60</v>
      </c>
      <c r="I21" s="7" t="s">
        <v>92</v>
      </c>
    </row>
    <row r="22" spans="1:9">
      <c r="A22" s="129"/>
      <c r="B22" s="129"/>
      <c r="C22" s="129"/>
      <c r="D22" s="3" t="s">
        <v>93</v>
      </c>
      <c r="E22" s="21" t="s">
        <v>15</v>
      </c>
      <c r="F22" s="4" t="s">
        <v>18</v>
      </c>
      <c r="G22" s="22">
        <v>30</v>
      </c>
      <c r="H22" s="8" t="s">
        <v>60</v>
      </c>
      <c r="I22" s="7" t="s">
        <v>94</v>
      </c>
    </row>
    <row r="23" spans="1:9" ht="52.8">
      <c r="A23" s="129"/>
      <c r="B23" s="129"/>
      <c r="C23" s="129"/>
      <c r="D23" s="3" t="s">
        <v>68</v>
      </c>
      <c r="E23" s="21" t="s">
        <v>16</v>
      </c>
      <c r="F23" s="4" t="s">
        <v>20</v>
      </c>
      <c r="G23" s="22">
        <v>15</v>
      </c>
      <c r="H23" s="8" t="s">
        <v>60</v>
      </c>
      <c r="I23" s="6" t="s">
        <v>95</v>
      </c>
    </row>
    <row r="24" spans="1:9">
      <c r="A24" s="129"/>
      <c r="B24" s="129"/>
      <c r="C24" s="129"/>
      <c r="D24" s="3" t="s">
        <v>70</v>
      </c>
      <c r="E24" s="21" t="s">
        <v>16</v>
      </c>
      <c r="F24" s="4" t="s">
        <v>19</v>
      </c>
      <c r="G24" s="22">
        <v>180</v>
      </c>
      <c r="H24" s="8" t="s">
        <v>60</v>
      </c>
      <c r="I24" s="5" t="s">
        <v>96</v>
      </c>
    </row>
    <row r="25" spans="1:9" ht="105.6">
      <c r="A25" s="130"/>
      <c r="B25" s="130"/>
      <c r="C25" s="130"/>
      <c r="D25" s="3" t="s">
        <v>72</v>
      </c>
      <c r="E25" s="21" t="s">
        <v>16</v>
      </c>
      <c r="F25" s="4" t="s">
        <v>20</v>
      </c>
      <c r="G25" s="22">
        <v>90</v>
      </c>
      <c r="H25" s="8" t="s">
        <v>60</v>
      </c>
      <c r="I25" s="6" t="s">
        <v>73</v>
      </c>
    </row>
    <row r="26" spans="1:9" ht="26.4">
      <c r="A26" s="126">
        <v>4</v>
      </c>
      <c r="B26" s="129" t="s">
        <v>97</v>
      </c>
      <c r="C26" s="129">
        <v>4</v>
      </c>
      <c r="D26" s="3" t="s">
        <v>98</v>
      </c>
      <c r="E26" s="21" t="s">
        <v>16</v>
      </c>
      <c r="F26" s="4" t="s">
        <v>20</v>
      </c>
      <c r="G26" s="22">
        <v>15</v>
      </c>
      <c r="H26" s="8" t="s">
        <v>60</v>
      </c>
      <c r="I26" s="6" t="s">
        <v>78</v>
      </c>
    </row>
    <row r="27" spans="1:9">
      <c r="A27" s="126"/>
      <c r="B27" s="129"/>
      <c r="C27" s="129"/>
      <c r="D27" s="3" t="s">
        <v>99</v>
      </c>
      <c r="E27" s="21" t="s">
        <v>15</v>
      </c>
      <c r="F27" s="4" t="s">
        <v>18</v>
      </c>
      <c r="G27" s="22">
        <v>60</v>
      </c>
      <c r="H27" s="8" t="s">
        <v>60</v>
      </c>
      <c r="I27" s="7" t="s">
        <v>100</v>
      </c>
    </row>
    <row r="28" spans="1:9">
      <c r="A28" s="126"/>
      <c r="B28" s="129"/>
      <c r="C28" s="129"/>
      <c r="D28" s="3" t="s">
        <v>101</v>
      </c>
      <c r="E28" s="21" t="s">
        <v>15</v>
      </c>
      <c r="F28" s="4" t="s">
        <v>18</v>
      </c>
      <c r="G28" s="22">
        <v>60</v>
      </c>
      <c r="H28" s="8" t="s">
        <v>60</v>
      </c>
      <c r="I28" s="7" t="s">
        <v>102</v>
      </c>
    </row>
    <row r="29" spans="1:9">
      <c r="A29" s="126"/>
      <c r="B29" s="129"/>
      <c r="C29" s="129"/>
      <c r="D29" s="3" t="s">
        <v>103</v>
      </c>
      <c r="E29" s="21" t="s">
        <v>15</v>
      </c>
      <c r="F29" s="4" t="s">
        <v>18</v>
      </c>
      <c r="G29" s="22">
        <v>60</v>
      </c>
      <c r="H29" s="8" t="s">
        <v>60</v>
      </c>
      <c r="I29" s="7" t="s">
        <v>104</v>
      </c>
    </row>
    <row r="30" spans="1:9" ht="26.4">
      <c r="A30" s="126"/>
      <c r="B30" s="129"/>
      <c r="C30" s="129"/>
      <c r="D30" s="3" t="s">
        <v>68</v>
      </c>
      <c r="E30" s="21" t="s">
        <v>16</v>
      </c>
      <c r="F30" s="4" t="s">
        <v>20</v>
      </c>
      <c r="G30" s="22">
        <v>15</v>
      </c>
      <c r="H30" s="8" t="s">
        <v>60</v>
      </c>
      <c r="I30" s="6" t="s">
        <v>105</v>
      </c>
    </row>
    <row r="31" spans="1:9">
      <c r="A31" s="126"/>
      <c r="B31" s="129"/>
      <c r="C31" s="129"/>
      <c r="D31" s="3" t="s">
        <v>70</v>
      </c>
      <c r="E31" s="21" t="s">
        <v>16</v>
      </c>
      <c r="F31" s="4" t="s">
        <v>19</v>
      </c>
      <c r="G31" s="22">
        <v>180</v>
      </c>
      <c r="H31" s="8" t="s">
        <v>60</v>
      </c>
      <c r="I31" s="5" t="s">
        <v>106</v>
      </c>
    </row>
    <row r="32" spans="1:9" ht="105.6">
      <c r="A32" s="126"/>
      <c r="B32" s="130"/>
      <c r="C32" s="130"/>
      <c r="D32" s="3" t="s">
        <v>72</v>
      </c>
      <c r="E32" s="21" t="s">
        <v>16</v>
      </c>
      <c r="F32" s="4" t="s">
        <v>20</v>
      </c>
      <c r="G32" s="22">
        <v>90</v>
      </c>
      <c r="H32" s="8" t="s">
        <v>60</v>
      </c>
      <c r="I32" s="6" t="s">
        <v>73</v>
      </c>
    </row>
    <row r="33" spans="1:9">
      <c r="A33" s="137">
        <v>5</v>
      </c>
      <c r="B33" s="128" t="s">
        <v>107</v>
      </c>
      <c r="C33" s="128">
        <v>5</v>
      </c>
      <c r="D33" s="3" t="s">
        <v>75</v>
      </c>
      <c r="E33" s="21" t="s">
        <v>15</v>
      </c>
      <c r="F33" s="4" t="s">
        <v>21</v>
      </c>
      <c r="G33" s="22">
        <v>30</v>
      </c>
      <c r="H33" s="8" t="s">
        <v>60</v>
      </c>
      <c r="I33" s="6" t="s">
        <v>108</v>
      </c>
    </row>
    <row r="34" spans="1:9" ht="26.4">
      <c r="A34" s="138"/>
      <c r="B34" s="129"/>
      <c r="C34" s="129"/>
      <c r="D34" s="3" t="s">
        <v>77</v>
      </c>
      <c r="E34" s="21" t="s">
        <v>16</v>
      </c>
      <c r="F34" s="4" t="s">
        <v>20</v>
      </c>
      <c r="G34" s="22">
        <v>30</v>
      </c>
      <c r="H34" s="8" t="s">
        <v>60</v>
      </c>
      <c r="I34" s="6" t="s">
        <v>78</v>
      </c>
    </row>
    <row r="35" spans="1:9" ht="15" customHeight="1">
      <c r="A35" s="138"/>
      <c r="B35" s="129"/>
      <c r="C35" s="129"/>
      <c r="D35" s="3" t="s">
        <v>109</v>
      </c>
      <c r="E35" s="21" t="s">
        <v>15</v>
      </c>
      <c r="F35" s="4" t="s">
        <v>18</v>
      </c>
      <c r="G35" s="22">
        <v>60</v>
      </c>
      <c r="H35" s="8" t="s">
        <v>60</v>
      </c>
      <c r="I35" s="6" t="s">
        <v>110</v>
      </c>
    </row>
    <row r="36" spans="1:9">
      <c r="A36" s="138"/>
      <c r="B36" s="129"/>
      <c r="C36" s="129"/>
      <c r="D36" s="3" t="s">
        <v>111</v>
      </c>
      <c r="E36" s="21" t="s">
        <v>15</v>
      </c>
      <c r="F36" s="4" t="s">
        <v>18</v>
      </c>
      <c r="G36" s="22">
        <v>60</v>
      </c>
      <c r="H36" s="8" t="s">
        <v>60</v>
      </c>
      <c r="I36" s="6" t="s">
        <v>112</v>
      </c>
    </row>
    <row r="37" spans="1:9">
      <c r="A37" s="138"/>
      <c r="B37" s="129"/>
      <c r="C37" s="129"/>
      <c r="D37" s="3" t="s">
        <v>113</v>
      </c>
      <c r="E37" s="21" t="s">
        <v>15</v>
      </c>
      <c r="F37" s="4" t="s">
        <v>18</v>
      </c>
      <c r="G37" s="22">
        <v>60</v>
      </c>
      <c r="H37" s="8" t="s">
        <v>60</v>
      </c>
      <c r="I37" s="6" t="s">
        <v>114</v>
      </c>
    </row>
    <row r="38" spans="1:9" ht="105.6">
      <c r="A38" s="138"/>
      <c r="B38" s="130"/>
      <c r="C38" s="130"/>
      <c r="D38" s="3" t="s">
        <v>115</v>
      </c>
      <c r="E38" s="21" t="s">
        <v>16</v>
      </c>
      <c r="F38" s="4" t="s">
        <v>20</v>
      </c>
      <c r="G38" s="22">
        <v>240</v>
      </c>
      <c r="H38" s="8" t="s">
        <v>60</v>
      </c>
      <c r="I38" s="6" t="s">
        <v>73</v>
      </c>
    </row>
    <row r="39" spans="1:9">
      <c r="A39" s="138">
        <v>6</v>
      </c>
      <c r="B39" s="134" t="s">
        <v>116</v>
      </c>
      <c r="C39" s="126">
        <v>6</v>
      </c>
      <c r="D39" s="3" t="s">
        <v>117</v>
      </c>
      <c r="E39" s="21" t="s">
        <v>16</v>
      </c>
      <c r="F39" s="4" t="s">
        <v>20</v>
      </c>
      <c r="G39" s="22">
        <v>240</v>
      </c>
      <c r="H39" s="8" t="s">
        <v>60</v>
      </c>
      <c r="I39" s="6" t="s">
        <v>118</v>
      </c>
    </row>
    <row r="40" spans="1:9" ht="26.4">
      <c r="A40" s="138"/>
      <c r="B40" s="135"/>
      <c r="C40" s="126"/>
      <c r="D40" s="3" t="s">
        <v>119</v>
      </c>
      <c r="E40" s="21" t="s">
        <v>16</v>
      </c>
      <c r="F40" s="4" t="s">
        <v>22</v>
      </c>
      <c r="G40" s="22">
        <v>60</v>
      </c>
      <c r="H40" s="8" t="s">
        <v>60</v>
      </c>
      <c r="I40" s="6" t="s">
        <v>120</v>
      </c>
    </row>
    <row r="41" spans="1:9" ht="66">
      <c r="A41" s="139"/>
      <c r="B41" s="136"/>
      <c r="C41" s="126"/>
      <c r="D41" s="3" t="s">
        <v>121</v>
      </c>
      <c r="E41" s="21" t="s">
        <v>16</v>
      </c>
      <c r="F41" s="4" t="s">
        <v>22</v>
      </c>
      <c r="G41" s="22">
        <v>180</v>
      </c>
      <c r="H41" s="8" t="s">
        <v>60</v>
      </c>
      <c r="I41" s="6" t="s">
        <v>122</v>
      </c>
    </row>
    <row r="43" spans="1:9">
      <c r="F43" s="9" t="s">
        <v>18</v>
      </c>
      <c r="G43" s="12">
        <f>SUMIF(F$4:F$41,F43,G$4:G$41)</f>
        <v>810</v>
      </c>
      <c r="H43" s="13">
        <f>G43/$G$48</f>
        <v>0.28272251308900526</v>
      </c>
    </row>
    <row r="44" spans="1:9">
      <c r="F44" s="9" t="s">
        <v>19</v>
      </c>
      <c r="G44" s="12">
        <f>SUMIF(F$4:F$41,F44,G$4:G$41)</f>
        <v>750</v>
      </c>
      <c r="H44" s="13">
        <f>G44/$G$48</f>
        <v>0.26178010471204188</v>
      </c>
    </row>
    <row r="45" spans="1:9">
      <c r="F45" s="9" t="s">
        <v>20</v>
      </c>
      <c r="G45" s="12">
        <f>SUMIF(F$4:F$41,F45,G$4:G$41)</f>
        <v>975</v>
      </c>
      <c r="H45" s="13">
        <f>G45/$G$48</f>
        <v>0.34031413612565448</v>
      </c>
    </row>
    <row r="46" spans="1:9">
      <c r="F46" s="9" t="s">
        <v>21</v>
      </c>
      <c r="G46" s="12">
        <f>SUMIF(F$4:F$41,F46,G$4:G$41)</f>
        <v>90</v>
      </c>
      <c r="H46" s="13">
        <f>G46/$G$48</f>
        <v>3.1413612565445025E-2</v>
      </c>
    </row>
    <row r="47" spans="1:9">
      <c r="F47" s="9" t="s">
        <v>22</v>
      </c>
      <c r="G47" s="12">
        <f>SUMIF(F$4:F$41,F47,G$4:G$41)</f>
        <v>240</v>
      </c>
      <c r="H47" s="13">
        <f>G47/$G$48</f>
        <v>8.3769633507853408E-2</v>
      </c>
    </row>
    <row r="48" spans="1:9">
      <c r="F48" s="9" t="s">
        <v>123</v>
      </c>
      <c r="G48" s="14">
        <f>SUM(G43:G47)</f>
        <v>2865</v>
      </c>
      <c r="H48" s="15">
        <f>SUM(H43:H47)</f>
        <v>1</v>
      </c>
    </row>
  </sheetData>
  <dataConsolidate/>
  <mergeCells count="20">
    <mergeCell ref="C39:C41"/>
    <mergeCell ref="B33:B38"/>
    <mergeCell ref="C33:C38"/>
    <mergeCell ref="B39:B41"/>
    <mergeCell ref="A33:A38"/>
    <mergeCell ref="A39:A41"/>
    <mergeCell ref="A18:A25"/>
    <mergeCell ref="B18:B25"/>
    <mergeCell ref="C18:C25"/>
    <mergeCell ref="C3:C9"/>
    <mergeCell ref="C26:C32"/>
    <mergeCell ref="B26:B32"/>
    <mergeCell ref="A26:A32"/>
    <mergeCell ref="A1:I1"/>
    <mergeCell ref="A2:B2"/>
    <mergeCell ref="B3:B9"/>
    <mergeCell ref="A3:A9"/>
    <mergeCell ref="C10:C17"/>
    <mergeCell ref="B10:B17"/>
    <mergeCell ref="A10:A17"/>
  </mergeCells>
  <conditionalFormatting sqref="H1:H9 H29:H32 H35 H26:H27 H37:H1048576">
    <cfRule type="cellIs" dxfId="7" priority="14" operator="equal">
      <formula>"Online"</formula>
    </cfRule>
  </conditionalFormatting>
  <conditionalFormatting sqref="H12:H17">
    <cfRule type="cellIs" dxfId="6" priority="10" operator="equal">
      <formula>"Online"</formula>
    </cfRule>
  </conditionalFormatting>
  <conditionalFormatting sqref="H20:H25">
    <cfRule type="cellIs" dxfId="5" priority="9" operator="equal">
      <formula>"Online"</formula>
    </cfRule>
  </conditionalFormatting>
  <conditionalFormatting sqref="H10:H11">
    <cfRule type="cellIs" dxfId="4" priority="6" operator="equal">
      <formula>"Online"</formula>
    </cfRule>
  </conditionalFormatting>
  <conditionalFormatting sqref="H18:H19">
    <cfRule type="cellIs" dxfId="3" priority="5" operator="equal">
      <formula>"Online"</formula>
    </cfRule>
  </conditionalFormatting>
  <conditionalFormatting sqref="H33:H34">
    <cfRule type="cellIs" dxfId="2" priority="3" operator="equal">
      <formula>"Online"</formula>
    </cfRule>
  </conditionalFormatting>
  <conditionalFormatting sqref="H28">
    <cfRule type="cellIs" dxfId="1" priority="2" operator="equal">
      <formula>"Online"</formula>
    </cfRule>
  </conditionalFormatting>
  <conditionalFormatting sqref="H36">
    <cfRule type="cellIs" dxfId="0" priority="1" operator="equal">
      <formula>"Online"</formula>
    </cfRule>
  </conditionalFormatting>
  <dataValidations count="2">
    <dataValidation type="list" allowBlank="1" showInputMessage="1" showErrorMessage="1" sqref="H3:H41" xr:uid="{00000000-0002-0000-0200-000000000000}">
      <formula1>"Online,Offline,Blended,Virtual training,Hybrid "</formula1>
    </dataValidation>
    <dataValidation type="list" allowBlank="1" showErrorMessage="1" sqref="F3:F41" xr:uid="{00000000-0002-0000-0200-000001000000}">
      <formula1>"Concept/Lecture, Assignment/Lab, Test/Quiz, Exam, Guides/Review, Seminar/Workshop, Class Meeting"</formula1>
    </dataValidation>
  </dataValidations>
  <pageMargins left="0.44" right="0.70866141732283505" top="0.47" bottom="0.55000000000000004" header="0.31496062992126" footer="0.31496062992126"/>
  <pageSetup paperSize="9" fitToHeight="2" orientation="landscape" r:id="rId1"/>
  <headerFooter>
    <oddFooter>&amp;L18e-BM/DT/FSOFT v1/1&amp;CInternal use&amp;R&amp;P/&amp;N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IF('&lt;Topic Code&gt;_Syllabus'!1:1,"AAAAAH7b/wA=",0)</f>
        <v>#VALUE!</v>
      </c>
      <c r="B1" t="e">
        <f>AND('&lt;Topic Code&gt;_Syllabus'!#REF!,"AAAAAH7b/wE=")</f>
        <v>#REF!</v>
      </c>
      <c r="C1" t="e">
        <f>AND('&lt;Topic Code&gt;_Syllabus'!B1,"AAAAAH7b/wI=")</f>
        <v>#VALUE!</v>
      </c>
      <c r="D1" t="e">
        <f>AND('&lt;Topic Code&gt;_Syllabus'!C1,"AAAAAH7b/wM=")</f>
        <v>#VALUE!</v>
      </c>
      <c r="E1" t="e">
        <f>AND('&lt;Topic Code&gt;_Syllabus'!D1,"AAAAAH7b/wQ=")</f>
        <v>#VALUE!</v>
      </c>
      <c r="F1" t="e">
        <f>AND('&lt;Topic Code&gt;_Syllabus'!E1,"AAAAAH7b/wU=")</f>
        <v>#VALUE!</v>
      </c>
      <c r="G1" t="e">
        <f>AND('&lt;Topic Code&gt;_Syllabus'!F1,"AAAAAH7b/wY=")</f>
        <v>#VALUE!</v>
      </c>
      <c r="H1" t="e">
        <f>AND('&lt;Topic Code&gt;_Syllabus'!G1,"AAAAAH7b/wc=")</f>
        <v>#VALUE!</v>
      </c>
      <c r="I1" t="e">
        <f>IF('&lt;Topic Code&gt;_Syllabus'!#REF!,"AAAAAH7b/wg=",0)</f>
        <v>#REF!</v>
      </c>
      <c r="J1" t="e">
        <f>AND('&lt;Topic Code&gt;_Syllabus'!#REF!,"AAAAAH7b/wk=")</f>
        <v>#REF!</v>
      </c>
      <c r="K1" t="e">
        <f>AND('&lt;Topic Code&gt;_Syllabus'!#REF!,"AAAAAH7b/wo=")</f>
        <v>#REF!</v>
      </c>
      <c r="L1" t="e">
        <f>AND('&lt;Topic Code&gt;_Syllabus'!#REF!,"AAAAAH7b/ws=")</f>
        <v>#REF!</v>
      </c>
      <c r="M1" t="e">
        <f>AND('&lt;Topic Code&gt;_Syllabus'!#REF!,"AAAAAH7b/ww=")</f>
        <v>#REF!</v>
      </c>
      <c r="N1" t="e">
        <f>AND('&lt;Topic Code&gt;_Syllabus'!#REF!,"AAAAAH7b/w0=")</f>
        <v>#REF!</v>
      </c>
      <c r="O1" t="e">
        <f>AND('&lt;Topic Code&gt;_Syllabus'!#REF!,"AAAAAH7b/w4=")</f>
        <v>#REF!</v>
      </c>
      <c r="P1" t="e">
        <f>AND('&lt;Topic Code&gt;_Syllabus'!#REF!,"AAAAAH7b/w8=")</f>
        <v>#REF!</v>
      </c>
      <c r="Q1" t="e">
        <f>IF(_xlfn.SINGLE('&lt;Topic Code&gt;_Syllabus'!#REF!),"AAAAAH7b/xA=",0)</f>
        <v>#REF!</v>
      </c>
      <c r="R1" t="e">
        <f>AND('&lt;Topic Code&gt;_Syllabus'!#REF!,"AAAAAH7b/xE=")</f>
        <v>#REF!</v>
      </c>
      <c r="S1" t="e">
        <f>AND('&lt;Topic Code&gt;_Syllabus'!#REF!,"AAAAAH7b/xI=")</f>
        <v>#REF!</v>
      </c>
      <c r="T1" t="e">
        <f>AND('&lt;Topic Code&gt;_Syllabus'!#REF!,"AAAAAH7b/xM=")</f>
        <v>#REF!</v>
      </c>
      <c r="U1" t="e">
        <f>AND('&lt;Topic Code&gt;_Syllabus'!#REF!,"AAAAAH7b/xQ=")</f>
        <v>#REF!</v>
      </c>
      <c r="V1" t="e">
        <f>AND('&lt;Topic Code&gt;_Syllabus'!#REF!,"AAAAAH7b/xU=")</f>
        <v>#REF!</v>
      </c>
      <c r="W1" t="e">
        <f>AND('&lt;Topic Code&gt;_Syllabus'!#REF!,"AAAAAH7b/xY=")</f>
        <v>#REF!</v>
      </c>
      <c r="X1" t="e">
        <f>AND('&lt;Topic Code&gt;_Syllabus'!#REF!,"AAAAAH7b/xc=")</f>
        <v>#REF!</v>
      </c>
      <c r="Y1">
        <f>IF('&lt;Topic Code&gt;_Syllabus'!3:3,"AAAAAH7b/xg=",0)</f>
        <v>0</v>
      </c>
      <c r="Z1" t="b">
        <f>AND('&lt;Topic Code&gt;_Syllabus'!A3,"AAAAAH7b/xk=")</f>
        <v>1</v>
      </c>
      <c r="AA1" t="e">
        <f>AND('&lt;Topic Code&gt;_Syllabus'!B3,"AAAAAH7b/xo=")</f>
        <v>#VALUE!</v>
      </c>
      <c r="AB1" t="e">
        <f>AND('&lt;Topic Code&gt;_Syllabus'!C3,"AAAAAH7b/xs=")</f>
        <v>#VALUE!</v>
      </c>
      <c r="AC1" t="e">
        <f>AND('&lt;Topic Code&gt;_Syllabus'!D3,"AAAAAH7b/xw=")</f>
        <v>#VALUE!</v>
      </c>
      <c r="AD1" t="e">
        <f>AND('&lt;Topic Code&gt;_Syllabus'!E3,"AAAAAH7b/x0=")</f>
        <v>#VALUE!</v>
      </c>
      <c r="AE1" t="e">
        <f>AND('&lt;Topic Code&gt;_Syllabus'!F3,"AAAAAH7b/x4=")</f>
        <v>#VALUE!</v>
      </c>
      <c r="AF1" t="e">
        <f>AND('&lt;Topic Code&gt;_Syllabus'!G3,"AAAAAH7b/x8=")</f>
        <v>#VALUE!</v>
      </c>
      <c r="AG1">
        <f>IF('&lt;Topic Code&gt;_Syllabus'!4:4,"AAAAAH7b/yA=",0)</f>
        <v>0</v>
      </c>
      <c r="AH1" t="b">
        <f>AND('&lt;Topic Code&gt;_Syllabus'!A4,"AAAAAH7b/yE=")</f>
        <v>1</v>
      </c>
      <c r="AI1" t="e">
        <f>AND('&lt;Topic Code&gt;_Syllabus'!B4,"AAAAAH7b/yI=")</f>
        <v>#VALUE!</v>
      </c>
      <c r="AJ1" t="e">
        <f>AND('&lt;Topic Code&gt;_Syllabus'!C4,"AAAAAH7b/yM=")</f>
        <v>#VALUE!</v>
      </c>
      <c r="AK1" t="e">
        <f>AND('&lt;Topic Code&gt;_Syllabus'!D4,"AAAAAH7b/yQ=")</f>
        <v>#VALUE!</v>
      </c>
      <c r="AL1" t="e">
        <f>AND('&lt;Topic Code&gt;_Syllabus'!E4,"AAAAAH7b/yU=")</f>
        <v>#VALUE!</v>
      </c>
      <c r="AM1" t="e">
        <f>AND('&lt;Topic Code&gt;_Syllabus'!F4,"AAAAAH7b/yY=")</f>
        <v>#VALUE!</v>
      </c>
      <c r="AN1" t="e">
        <f>AND('&lt;Topic Code&gt;_Syllabus'!G4,"AAAAAH7b/yc=")</f>
        <v>#VALUE!</v>
      </c>
      <c r="AO1">
        <f>IF('&lt;Topic Code&gt;_Syllabus'!5:5,"AAAAAH7b/yg=",0)</f>
        <v>0</v>
      </c>
      <c r="AP1" t="b">
        <f>AND('&lt;Topic Code&gt;_Syllabus'!A5,"AAAAAH7b/yk=")</f>
        <v>1</v>
      </c>
      <c r="AQ1" t="e">
        <f>AND('&lt;Topic Code&gt;_Syllabus'!B5,"AAAAAH7b/yo=")</f>
        <v>#VALUE!</v>
      </c>
      <c r="AR1" t="b">
        <f>AND('&lt;Topic Code&gt;_Syllabus'!C5,"AAAAAH7b/ys=")</f>
        <v>1</v>
      </c>
      <c r="AS1" t="e">
        <f>AND('&lt;Topic Code&gt;_Syllabus'!D5,"AAAAAH7b/yw=")</f>
        <v>#VALUE!</v>
      </c>
      <c r="AT1" t="e">
        <f>AND('&lt;Topic Code&gt;_Syllabus'!E5,"AAAAAH7b/y0=")</f>
        <v>#VALUE!</v>
      </c>
      <c r="AU1" t="e">
        <f>AND('&lt;Topic Code&gt;_Syllabus'!F5,"AAAAAH7b/y4=")</f>
        <v>#VALUE!</v>
      </c>
      <c r="AV1" t="e">
        <f>AND('&lt;Topic Code&gt;_Syllabus'!G5,"AAAAAH7b/y8=")</f>
        <v>#VALUE!</v>
      </c>
      <c r="AW1" t="e">
        <f>IF(_xlfn.SINGLE('&lt;Topic Code&gt;_Syllabus'!#REF!),"AAAAAH7b/zA=",0)</f>
        <v>#REF!</v>
      </c>
      <c r="AX1" t="e">
        <f>AND('&lt;Topic Code&gt;_Syllabus'!#REF!,"AAAAAH7b/zE=")</f>
        <v>#REF!</v>
      </c>
      <c r="AY1" t="e">
        <f>AND('&lt;Topic Code&gt;_Syllabus'!#REF!,"AAAAAH7b/zI=")</f>
        <v>#REF!</v>
      </c>
      <c r="AZ1" t="e">
        <f>AND('&lt;Topic Code&gt;_Syllabus'!#REF!,"AAAAAH7b/zM=")</f>
        <v>#REF!</v>
      </c>
      <c r="BA1" t="e">
        <f>AND('&lt;Topic Code&gt;_Syllabus'!#REF!,"AAAAAH7b/zQ=")</f>
        <v>#REF!</v>
      </c>
      <c r="BB1" t="e">
        <f>AND('&lt;Topic Code&gt;_Syllabus'!#REF!,"AAAAAH7b/zU=")</f>
        <v>#REF!</v>
      </c>
      <c r="BC1" t="e">
        <f>AND('&lt;Topic Code&gt;_Syllabus'!#REF!,"AAAAAH7b/zY=")</f>
        <v>#REF!</v>
      </c>
      <c r="BD1" t="e">
        <f>AND('&lt;Topic Code&gt;_Syllabus'!#REF!,"AAAAAH7b/zc=")</f>
        <v>#REF!</v>
      </c>
      <c r="BE1">
        <f>IF('&lt;Topic Code&gt;_Syllabus'!7:7,"AAAAAH7b/zg=",0)</f>
        <v>0</v>
      </c>
      <c r="BF1" t="b">
        <f>AND('&lt;Topic Code&gt;_Syllabus'!A7,"AAAAAH7b/zk=")</f>
        <v>1</v>
      </c>
      <c r="BG1" t="e">
        <f>AND('&lt;Topic Code&gt;_Syllabus'!B7,"AAAAAH7b/zo=")</f>
        <v>#VALUE!</v>
      </c>
      <c r="BH1" t="e">
        <f>AND('&lt;Topic Code&gt;_Syllabus'!C7,"AAAAAH7b/zs=")</f>
        <v>#VALUE!</v>
      </c>
      <c r="BI1" t="e">
        <f>AND('&lt;Topic Code&gt;_Syllabus'!D7,"AAAAAH7b/zw=")</f>
        <v>#VALUE!</v>
      </c>
      <c r="BJ1" t="e">
        <f>AND('&lt;Topic Code&gt;_Syllabus'!E7,"AAAAAH7b/z0=")</f>
        <v>#VALUE!</v>
      </c>
      <c r="BK1" t="e">
        <f>AND('&lt;Topic Code&gt;_Syllabus'!F7,"AAAAAH7b/z4=")</f>
        <v>#VALUE!</v>
      </c>
      <c r="BL1" t="e">
        <f>AND('&lt;Topic Code&gt;_Syllabus'!G7,"AAAAAH7b/z8=")</f>
        <v>#VALUE!</v>
      </c>
      <c r="BM1">
        <f>IF('&lt;Topic Code&gt;_Syllabus'!8:8,"AAAAAH7b/0A=",0)</f>
        <v>0</v>
      </c>
      <c r="BN1" t="e">
        <f>AND('&lt;Topic Code&gt;_Syllabus'!A8,"AAAAAH7b/0E=")</f>
        <v>#VALUE!</v>
      </c>
      <c r="BO1" t="e">
        <f>AND('&lt;Topic Code&gt;_Syllabus'!B8,"AAAAAH7b/0I=")</f>
        <v>#VALUE!</v>
      </c>
      <c r="BP1" t="e">
        <f>AND('&lt;Topic Code&gt;_Syllabus'!C8,"AAAAAH7b/0M=")</f>
        <v>#VALUE!</v>
      </c>
      <c r="BQ1" t="e">
        <f>AND('&lt;Topic Code&gt;_Syllabus'!D8,"AAAAAH7b/0Q=")</f>
        <v>#VALUE!</v>
      </c>
      <c r="BR1" t="e">
        <f>AND('&lt;Topic Code&gt;_Syllabus'!E8,"AAAAAH7b/0U=")</f>
        <v>#VALUE!</v>
      </c>
      <c r="BS1" t="e">
        <f>AND('&lt;Topic Code&gt;_Syllabus'!F8,"AAAAAH7b/0Y=")</f>
        <v>#VALUE!</v>
      </c>
      <c r="BT1" t="e">
        <f>AND('&lt;Topic Code&gt;_Syllabus'!G8,"AAAAAH7b/0c=")</f>
        <v>#VALUE!</v>
      </c>
      <c r="BU1">
        <f>IF('&lt;Topic Code&gt;_Syllabus'!14:14,"AAAAAH7b/0g=",0)</f>
        <v>0</v>
      </c>
      <c r="BV1" t="e">
        <f>AND('&lt;Topic Code&gt;_Syllabus'!A14,"AAAAAH7b/0k=")</f>
        <v>#VALUE!</v>
      </c>
      <c r="BW1" t="e">
        <f>AND('&lt;Topic Code&gt;_Syllabus'!#REF!,"AAAAAH7b/0o=")</f>
        <v>#REF!</v>
      </c>
      <c r="BX1" t="e">
        <f>AND('&lt;Topic Code&gt;_Syllabus'!C14,"AAAAAH7b/0s=")</f>
        <v>#VALUE!</v>
      </c>
      <c r="BY1" t="e">
        <f>AND('&lt;Topic Code&gt;_Syllabus'!D14,"AAAAAH7b/0w=")</f>
        <v>#VALUE!</v>
      </c>
      <c r="BZ1" t="e">
        <f>AND('&lt;Topic Code&gt;_Syllabus'!#REF!,"AAAAAH7b/00=")</f>
        <v>#REF!</v>
      </c>
      <c r="CA1" t="e">
        <f>AND('&lt;Topic Code&gt;_Syllabus'!#REF!,"AAAAAH7b/04=")</f>
        <v>#REF!</v>
      </c>
      <c r="CB1" t="e">
        <f>AND('&lt;Topic Code&gt;_Syllabus'!G14,"AAAAAH7b/08=")</f>
        <v>#VALUE!</v>
      </c>
      <c r="CC1" t="e">
        <f>IF(_xlfn.SINGLE('&lt;Topic Code&gt;_Syllabus'!#REF!),"AAAAAH7b/1A=",0)</f>
        <v>#REF!</v>
      </c>
      <c r="CD1" t="e">
        <f>AND('&lt;Topic Code&gt;_Syllabus'!#REF!,"AAAAAH7b/1E=")</f>
        <v>#REF!</v>
      </c>
      <c r="CE1" t="e">
        <f>AND('&lt;Topic Code&gt;_Syllabus'!#REF!,"AAAAAH7b/1I=")</f>
        <v>#REF!</v>
      </c>
      <c r="CF1" t="e">
        <f>AND('&lt;Topic Code&gt;_Syllabus'!#REF!,"AAAAAH7b/1M=")</f>
        <v>#REF!</v>
      </c>
      <c r="CG1" t="e">
        <f>AND('&lt;Topic Code&gt;_Syllabus'!#REF!,"AAAAAH7b/1Q=")</f>
        <v>#REF!</v>
      </c>
      <c r="CH1" t="e">
        <f>AND('&lt;Topic Code&gt;_Syllabus'!#REF!,"AAAAAH7b/1U=")</f>
        <v>#REF!</v>
      </c>
      <c r="CI1" t="e">
        <f>AND('&lt;Topic Code&gt;_Syllabus'!#REF!,"AAAAAH7b/1Y=")</f>
        <v>#REF!</v>
      </c>
      <c r="CJ1" t="e">
        <f>AND('&lt;Topic Code&gt;_Syllabus'!#REF!,"AAAAAH7b/1c=")</f>
        <v>#REF!</v>
      </c>
      <c r="CK1" t="e">
        <f>IF(_xlfn.SINGLE('&lt;Topic Code&gt;_Syllabus'!#REF!),"AAAAAH7b/1g=",0)</f>
        <v>#REF!</v>
      </c>
      <c r="CL1" t="e">
        <f>AND('&lt;Topic Code&gt;_Syllabus'!#REF!,"AAAAAH7b/1k=")</f>
        <v>#REF!</v>
      </c>
      <c r="CM1" t="e">
        <f>AND('&lt;Topic Code&gt;_Syllabus'!#REF!,"AAAAAH7b/1o=")</f>
        <v>#REF!</v>
      </c>
      <c r="CN1" t="e">
        <f>AND('&lt;Topic Code&gt;_Syllabus'!#REF!,"AAAAAH7b/1s=")</f>
        <v>#REF!</v>
      </c>
      <c r="CO1" t="e">
        <f>AND('&lt;Topic Code&gt;_Syllabus'!#REF!,"AAAAAH7b/1w=")</f>
        <v>#REF!</v>
      </c>
      <c r="CP1" t="e">
        <f>AND('&lt;Topic Code&gt;_Syllabus'!#REF!,"AAAAAH7b/10=")</f>
        <v>#REF!</v>
      </c>
      <c r="CQ1" t="e">
        <f>AND('&lt;Topic Code&gt;_Syllabus'!#REF!,"AAAAAH7b/14=")</f>
        <v>#REF!</v>
      </c>
      <c r="CR1" t="e">
        <f>AND('&lt;Topic Code&gt;_Syllabus'!#REF!,"AAAAAH7b/18=")</f>
        <v>#REF!</v>
      </c>
      <c r="CS1" t="e">
        <f>IF(_xlfn.SINGLE('&lt;Topic Code&gt;_Syllabus'!#REF!),"AAAAAH7b/2A=",0)</f>
        <v>#REF!</v>
      </c>
      <c r="CT1" t="e">
        <f>AND('&lt;Topic Code&gt;_Syllabus'!#REF!,"AAAAAH7b/2E=")</f>
        <v>#REF!</v>
      </c>
      <c r="CU1" t="e">
        <f>AND('&lt;Topic Code&gt;_Syllabus'!#REF!,"AAAAAH7b/2I=")</f>
        <v>#REF!</v>
      </c>
      <c r="CV1" t="e">
        <f>AND('&lt;Topic Code&gt;_Syllabus'!#REF!,"AAAAAH7b/2M=")</f>
        <v>#REF!</v>
      </c>
      <c r="CW1" t="e">
        <f>AND('&lt;Topic Code&gt;_Syllabus'!#REF!,"AAAAAH7b/2Q=")</f>
        <v>#REF!</v>
      </c>
      <c r="CX1" t="e">
        <f>AND('&lt;Topic Code&gt;_Syllabus'!#REF!,"AAAAAH7b/2U=")</f>
        <v>#REF!</v>
      </c>
      <c r="CY1" t="e">
        <f>AND('&lt;Topic Code&gt;_Syllabus'!#REF!,"AAAAAH7b/2Y=")</f>
        <v>#REF!</v>
      </c>
      <c r="CZ1" t="e">
        <f>AND('&lt;Topic Code&gt;_Syllabus'!#REF!,"AAAAAH7b/2c=")</f>
        <v>#REF!</v>
      </c>
      <c r="DA1" t="e">
        <f>IF(_xlfn.SINGLE('&lt;Topic Code&gt;_Syllabus'!#REF!),"AAAAAH7b/2g=",0)</f>
        <v>#REF!</v>
      </c>
      <c r="DB1" t="e">
        <f>AND('&lt;Topic Code&gt;_Syllabus'!#REF!,"AAAAAH7b/2k=")</f>
        <v>#REF!</v>
      </c>
      <c r="DC1" t="e">
        <f>AND('&lt;Topic Code&gt;_Syllabus'!#REF!,"AAAAAH7b/2o=")</f>
        <v>#REF!</v>
      </c>
      <c r="DD1" t="e">
        <f>AND('&lt;Topic Code&gt;_Syllabus'!#REF!,"AAAAAH7b/2s=")</f>
        <v>#REF!</v>
      </c>
      <c r="DE1" t="e">
        <f>AND('&lt;Topic Code&gt;_Syllabus'!#REF!,"AAAAAH7b/2w=")</f>
        <v>#REF!</v>
      </c>
      <c r="DF1" t="e">
        <f>AND('&lt;Topic Code&gt;_Syllabus'!#REF!,"AAAAAH7b/20=")</f>
        <v>#REF!</v>
      </c>
      <c r="DG1" t="e">
        <f>AND('&lt;Topic Code&gt;_Syllabus'!#REF!,"AAAAAH7b/24=")</f>
        <v>#REF!</v>
      </c>
      <c r="DH1" t="e">
        <f>AND('&lt;Topic Code&gt;_Syllabus'!#REF!,"AAAAAH7b/28=")</f>
        <v>#REF!</v>
      </c>
      <c r="DI1" t="e">
        <f>IF(_xlfn.SINGLE('&lt;Topic Code&gt;_Syllabus'!#REF!),"AAAAAH7b/3A=",0)</f>
        <v>#REF!</v>
      </c>
      <c r="DJ1" t="e">
        <f>AND('&lt;Topic Code&gt;_Syllabus'!#REF!,"AAAAAH7b/3E=")</f>
        <v>#REF!</v>
      </c>
      <c r="DK1" t="e">
        <f>AND('&lt;Topic Code&gt;_Syllabus'!#REF!,"AAAAAH7b/3I=")</f>
        <v>#REF!</v>
      </c>
      <c r="DL1" t="e">
        <f>AND('&lt;Topic Code&gt;_Syllabus'!#REF!,"AAAAAH7b/3M=")</f>
        <v>#REF!</v>
      </c>
      <c r="DM1" t="e">
        <f>AND('&lt;Topic Code&gt;_Syllabus'!#REF!,"AAAAAH7b/3Q=")</f>
        <v>#REF!</v>
      </c>
      <c r="DN1" t="e">
        <f>AND('&lt;Topic Code&gt;_Syllabus'!#REF!,"AAAAAH7b/3U=")</f>
        <v>#REF!</v>
      </c>
      <c r="DO1" t="e">
        <f>AND('&lt;Topic Code&gt;_Syllabus'!#REF!,"AAAAAH7b/3Y=")</f>
        <v>#REF!</v>
      </c>
      <c r="DP1" t="e">
        <f>AND('&lt;Topic Code&gt;_Syllabus'!#REF!,"AAAAAH7b/3c=")</f>
        <v>#REF!</v>
      </c>
      <c r="DQ1" t="e">
        <f>IF(_xlfn.SINGLE('&lt;Topic Code&gt;_Syllabus'!#REF!),"AAAAAH7b/3g=",0)</f>
        <v>#REF!</v>
      </c>
      <c r="DR1" t="e">
        <f>AND('&lt;Topic Code&gt;_Syllabus'!#REF!,"AAAAAH7b/3k=")</f>
        <v>#REF!</v>
      </c>
      <c r="DS1" t="e">
        <f>AND('&lt;Topic Code&gt;_Syllabus'!#REF!,"AAAAAH7b/3o=")</f>
        <v>#REF!</v>
      </c>
      <c r="DT1" t="e">
        <f>AND('&lt;Topic Code&gt;_Syllabus'!#REF!,"AAAAAH7b/3s=")</f>
        <v>#REF!</v>
      </c>
      <c r="DU1" t="e">
        <f>AND('&lt;Topic Code&gt;_Syllabus'!#REF!,"AAAAAH7b/3w=")</f>
        <v>#REF!</v>
      </c>
      <c r="DV1" t="e">
        <f>AND('&lt;Topic Code&gt;_Syllabus'!#REF!,"AAAAAH7b/30=")</f>
        <v>#REF!</v>
      </c>
      <c r="DW1" t="e">
        <f>AND('&lt;Topic Code&gt;_Syllabus'!#REF!,"AAAAAH7b/34=")</f>
        <v>#REF!</v>
      </c>
      <c r="DX1" t="e">
        <f>AND('&lt;Topic Code&gt;_Syllabus'!#REF!,"AAAAAH7b/38=")</f>
        <v>#REF!</v>
      </c>
      <c r="DY1" t="e">
        <f>IF(_xlfn.SINGLE('&lt;Topic Code&gt;_Syllabus'!#REF!),"AAAAAH7b/4A=",0)</f>
        <v>#REF!</v>
      </c>
      <c r="DZ1" t="e">
        <f>AND('&lt;Topic Code&gt;_Syllabus'!#REF!,"AAAAAH7b/4E=")</f>
        <v>#REF!</v>
      </c>
      <c r="EA1" t="e">
        <f>AND('&lt;Topic Code&gt;_Syllabus'!#REF!,"AAAAAH7b/4I=")</f>
        <v>#REF!</v>
      </c>
      <c r="EB1" t="e">
        <f>AND('&lt;Topic Code&gt;_Syllabus'!#REF!,"AAAAAH7b/4M=")</f>
        <v>#REF!</v>
      </c>
      <c r="EC1" t="e">
        <f>AND('&lt;Topic Code&gt;_Syllabus'!#REF!,"AAAAAH7b/4Q=")</f>
        <v>#REF!</v>
      </c>
      <c r="ED1" t="e">
        <f>AND('&lt;Topic Code&gt;_Syllabus'!#REF!,"AAAAAH7b/4U=")</f>
        <v>#REF!</v>
      </c>
      <c r="EE1" t="e">
        <f>AND('&lt;Topic Code&gt;_Syllabus'!#REF!,"AAAAAH7b/4Y=")</f>
        <v>#REF!</v>
      </c>
      <c r="EF1" t="e">
        <f>AND('&lt;Topic Code&gt;_Syllabus'!#REF!,"AAAAAH7b/4c=")</f>
        <v>#REF!</v>
      </c>
      <c r="EG1">
        <f>IF('&lt;Topic Code&gt;_Syllabus'!16:16,"AAAAAH7b/4g=",0)</f>
        <v>0</v>
      </c>
      <c r="EH1" t="b">
        <f>AND('&lt;Topic Code&gt;_Syllabus'!A16,"AAAAAH7b/4k=")</f>
        <v>1</v>
      </c>
      <c r="EI1" t="e">
        <f>AND('&lt;Topic Code&gt;_Syllabus'!B16,"AAAAAH7b/4o=")</f>
        <v>#VALUE!</v>
      </c>
      <c r="EJ1" t="e">
        <f>AND('&lt;Topic Code&gt;_Syllabus'!C16,"AAAAAH7b/4s=")</f>
        <v>#VALUE!</v>
      </c>
      <c r="EK1" t="e">
        <f>AND('&lt;Topic Code&gt;_Syllabus'!D16,"AAAAAH7b/4w=")</f>
        <v>#VALUE!</v>
      </c>
      <c r="EL1" t="e">
        <f>AND('&lt;Topic Code&gt;_Syllabus'!E16,"AAAAAH7b/40=")</f>
        <v>#VALUE!</v>
      </c>
      <c r="EM1" t="e">
        <f>AND('&lt;Topic Code&gt;_Syllabus'!F16,"AAAAAH7b/44=")</f>
        <v>#VALUE!</v>
      </c>
      <c r="EN1" t="e">
        <f>AND('&lt;Topic Code&gt;_Syllabus'!G16,"AAAAAH7b/48=")</f>
        <v>#VALUE!</v>
      </c>
      <c r="EO1" t="e">
        <f>IF('&lt;Topic Code&gt;_Syllabus'!#REF!,"AAAAAH7b/5A=",0)</f>
        <v>#REF!</v>
      </c>
      <c r="EP1" t="e">
        <f>AND('&lt;Topic Code&gt;_Syllabus'!#REF!,"AAAAAH7b/5E=")</f>
        <v>#REF!</v>
      </c>
      <c r="EQ1" t="e">
        <f>AND('&lt;Topic Code&gt;_Syllabus'!#REF!,"AAAAAH7b/5I=")</f>
        <v>#REF!</v>
      </c>
      <c r="ER1" t="e">
        <f>AND('&lt;Topic Code&gt;_Syllabus'!#REF!,"AAAAAH7b/5M=")</f>
        <v>#REF!</v>
      </c>
      <c r="ES1" t="e">
        <f>AND('&lt;Topic Code&gt;_Syllabus'!#REF!,"AAAAAH7b/5Q=")</f>
        <v>#REF!</v>
      </c>
      <c r="ET1" t="e">
        <f>AND('&lt;Topic Code&gt;_Syllabus'!#REF!,"AAAAAH7b/5U=")</f>
        <v>#REF!</v>
      </c>
      <c r="EU1" t="e">
        <f>AND('&lt;Topic Code&gt;_Syllabus'!#REF!,"AAAAAH7b/5Y=")</f>
        <v>#REF!</v>
      </c>
      <c r="EV1" t="e">
        <f>AND('&lt;Topic Code&gt;_Syllabus'!#REF!,"AAAAAH7b/5c=")</f>
        <v>#REF!</v>
      </c>
      <c r="EW1">
        <f>IF('&lt;Topic Code&gt;_Syllabus'!17:17,"AAAAAH7b/5g=",0)</f>
        <v>0</v>
      </c>
      <c r="EX1" t="e">
        <f>AND('&lt;Topic Code&gt;_Syllabus'!A17,"AAAAAH7b/5k=")</f>
        <v>#VALUE!</v>
      </c>
      <c r="EY1" t="e">
        <f>AND('&lt;Topic Code&gt;_Syllabus'!B17,"AAAAAH7b/5o=")</f>
        <v>#VALUE!</v>
      </c>
      <c r="EZ1" t="e">
        <f>AND('&lt;Topic Code&gt;_Syllabus'!C17,"AAAAAH7b/5s=")</f>
        <v>#VALUE!</v>
      </c>
      <c r="FA1" t="e">
        <f>AND('&lt;Topic Code&gt;_Syllabus'!D17,"AAAAAH7b/5w=")</f>
        <v>#VALUE!</v>
      </c>
      <c r="FB1" t="e">
        <f>AND('&lt;Topic Code&gt;_Syllabus'!E17,"AAAAAH7b/50=")</f>
        <v>#VALUE!</v>
      </c>
      <c r="FC1" t="e">
        <f>AND('&lt;Topic Code&gt;_Syllabus'!F17,"AAAAAH7b/54=")</f>
        <v>#VALUE!</v>
      </c>
      <c r="FD1" t="e">
        <f>AND('&lt;Topic Code&gt;_Syllabus'!G17,"AAAAAH7b/58=")</f>
        <v>#VALUE!</v>
      </c>
      <c r="FE1" t="e">
        <f>IF('&lt;Topic Code&gt;_Syllabus'!#REF!,"AAAAAH7b/6A=",0)</f>
        <v>#REF!</v>
      </c>
      <c r="FF1" t="e">
        <f>AND('&lt;Topic Code&gt;_Syllabus'!#REF!,"AAAAAH7b/6E=")</f>
        <v>#REF!</v>
      </c>
      <c r="FG1" t="e">
        <f>AND('&lt;Topic Code&gt;_Syllabus'!#REF!,"AAAAAH7b/6I=")</f>
        <v>#REF!</v>
      </c>
      <c r="FH1" t="e">
        <f>AND('&lt;Topic Code&gt;_Syllabus'!#REF!,"AAAAAH7b/6M=")</f>
        <v>#REF!</v>
      </c>
      <c r="FI1" t="e">
        <f>AND('&lt;Topic Code&gt;_Syllabus'!#REF!,"AAAAAH7b/6Q=")</f>
        <v>#REF!</v>
      </c>
      <c r="FJ1" t="e">
        <f>AND('&lt;Topic Code&gt;_Syllabus'!#REF!,"AAAAAH7b/6U=")</f>
        <v>#REF!</v>
      </c>
      <c r="FK1" t="e">
        <f>AND('&lt;Topic Code&gt;_Syllabus'!#REF!,"AAAAAH7b/6Y=")</f>
        <v>#REF!</v>
      </c>
      <c r="FL1" t="e">
        <f>AND('&lt;Topic Code&gt;_Syllabus'!#REF!,"AAAAAH7b/6c=")</f>
        <v>#REF!</v>
      </c>
      <c r="FM1" t="e">
        <f>IF('&lt;Topic Code&gt;_Syllabus'!#REF!,"AAAAAH7b/6g=",0)</f>
        <v>#REF!</v>
      </c>
      <c r="FN1" t="e">
        <f>AND('&lt;Topic Code&gt;_Syllabus'!#REF!,"AAAAAH7b/6k=")</f>
        <v>#REF!</v>
      </c>
      <c r="FO1" t="e">
        <f>AND('&lt;Topic Code&gt;_Syllabus'!#REF!,"AAAAAH7b/6o=")</f>
        <v>#REF!</v>
      </c>
      <c r="FP1" t="e">
        <f>AND('&lt;Topic Code&gt;_Syllabus'!#REF!,"AAAAAH7b/6s=")</f>
        <v>#REF!</v>
      </c>
      <c r="FQ1" t="e">
        <f>AND('&lt;Topic Code&gt;_Syllabus'!#REF!,"AAAAAH7b/6w=")</f>
        <v>#REF!</v>
      </c>
      <c r="FR1" t="e">
        <f>AND('&lt;Topic Code&gt;_Syllabus'!#REF!,"AAAAAH7b/60=")</f>
        <v>#REF!</v>
      </c>
      <c r="FS1" t="e">
        <f>AND('&lt;Topic Code&gt;_Syllabus'!#REF!,"AAAAAH7b/64=")</f>
        <v>#REF!</v>
      </c>
      <c r="FT1" t="e">
        <f>AND('&lt;Topic Code&gt;_Syllabus'!#REF!,"AAAAAH7b/68=")</f>
        <v>#REF!</v>
      </c>
      <c r="FU1">
        <f>IF('&lt;Topic Code&gt;_Syllabus'!18:18,"AAAAAH7b/7A=",0)</f>
        <v>0</v>
      </c>
      <c r="FV1" t="e">
        <f>AND('&lt;Topic Code&gt;_Syllabus'!A18,"AAAAAH7b/7E=")</f>
        <v>#VALUE!</v>
      </c>
      <c r="FW1" t="e">
        <f>AND('&lt;Topic Code&gt;_Syllabus'!B18,"AAAAAH7b/7I=")</f>
        <v>#VALUE!</v>
      </c>
      <c r="FX1" t="e">
        <f>AND('&lt;Topic Code&gt;_Syllabus'!C18,"AAAAAH7b/7M=")</f>
        <v>#VALUE!</v>
      </c>
      <c r="FY1" t="e">
        <f>AND('&lt;Topic Code&gt;_Syllabus'!D18,"AAAAAH7b/7Q=")</f>
        <v>#VALUE!</v>
      </c>
      <c r="FZ1" t="e">
        <f>AND('&lt;Topic Code&gt;_Syllabus'!E18,"AAAAAH7b/7U=")</f>
        <v>#VALUE!</v>
      </c>
      <c r="GA1" t="e">
        <f>AND('&lt;Topic Code&gt;_Syllabus'!F18,"AAAAAH7b/7Y=")</f>
        <v>#VALUE!</v>
      </c>
      <c r="GB1" t="e">
        <f>AND('&lt;Topic Code&gt;_Syllabus'!G18,"AAAAAH7b/7c=")</f>
        <v>#VALUE!</v>
      </c>
      <c r="GC1">
        <f>IF('&lt;Topic Code&gt;_Syllabus'!19:19,"AAAAAH7b/7g=",0)</f>
        <v>0</v>
      </c>
      <c r="GD1" t="b">
        <f>AND('&lt;Topic Code&gt;_Syllabus'!A19,"AAAAAH7b/7k=")</f>
        <v>1</v>
      </c>
      <c r="GE1" t="e">
        <f>AND('&lt;Topic Code&gt;_Syllabus'!B19,"AAAAAH7b/7o=")</f>
        <v>#VALUE!</v>
      </c>
      <c r="GF1" t="e">
        <f>AND('&lt;Topic Code&gt;_Syllabus'!C19,"AAAAAH7b/7s=")</f>
        <v>#VALUE!</v>
      </c>
      <c r="GG1" t="e">
        <f>AND('&lt;Topic Code&gt;_Syllabus'!#REF!,"AAAAAH7b/7w=")</f>
        <v>#REF!</v>
      </c>
      <c r="GH1" t="b">
        <f>AND('&lt;Topic Code&gt;_Syllabus'!D19,"AAAAAH7b/70=")</f>
        <v>1</v>
      </c>
      <c r="GI1" t="e">
        <f>AND('&lt;Topic Code&gt;_Syllabus'!#REF!,"AAAAAH7b/74=")</f>
        <v>#REF!</v>
      </c>
      <c r="GJ1" t="e">
        <f>AND('&lt;Topic Code&gt;_Syllabus'!E19,"AAAAAH7b/78=")</f>
        <v>#VALUE!</v>
      </c>
      <c r="GK1">
        <f>IF('&lt;Topic Code&gt;_Syllabus'!20:20,"AAAAAH7b/8A=",0)</f>
        <v>0</v>
      </c>
      <c r="GL1" t="e">
        <f>AND('&lt;Topic Code&gt;_Syllabus'!A20,"AAAAAH7b/8E=")</f>
        <v>#VALUE!</v>
      </c>
      <c r="GM1" t="e">
        <f>AND('&lt;Topic Code&gt;_Syllabus'!B20,"AAAAAH7b/8I=")</f>
        <v>#VALUE!</v>
      </c>
      <c r="GN1" t="e">
        <f>AND('&lt;Topic Code&gt;_Syllabus'!C20,"AAAAAH7b/8M=")</f>
        <v>#VALUE!</v>
      </c>
      <c r="GO1" t="e">
        <f>AND('&lt;Topic Code&gt;_Syllabus'!#REF!,"AAAAAH7b/8Q=")</f>
        <v>#REF!</v>
      </c>
      <c r="GP1" t="b">
        <f>AND('&lt;Topic Code&gt;_Syllabus'!D20,"AAAAAH7b/8U=")</f>
        <v>1</v>
      </c>
      <c r="GQ1" t="e">
        <f>AND('&lt;Topic Code&gt;_Syllabus'!#REF!,"AAAAAH7b/8Y=")</f>
        <v>#REF!</v>
      </c>
      <c r="GR1" t="e">
        <f>AND('&lt;Topic Code&gt;_Syllabus'!E20,"AAAAAH7b/8c=")</f>
        <v>#VALUE!</v>
      </c>
      <c r="GS1">
        <f>IF('&lt;Topic Code&gt;_Syllabus'!22:22,"AAAAAH7b/8g=",0)</f>
        <v>0</v>
      </c>
      <c r="GT1" t="e">
        <f>AND('&lt;Topic Code&gt;_Syllabus'!A22,"AAAAAH7b/8k=")</f>
        <v>#VALUE!</v>
      </c>
      <c r="GU1" t="e">
        <f>AND('&lt;Topic Code&gt;_Syllabus'!B22,"AAAAAH7b/8o=")</f>
        <v>#VALUE!</v>
      </c>
      <c r="GV1" t="e">
        <f>AND('&lt;Topic Code&gt;_Syllabus'!C22,"AAAAAH7b/8s=")</f>
        <v>#VALUE!</v>
      </c>
      <c r="GW1" t="e">
        <f>AND('&lt;Topic Code&gt;_Syllabus'!#REF!,"AAAAAH7b/8w=")</f>
        <v>#REF!</v>
      </c>
      <c r="GX1" t="b">
        <f>AND('&lt;Topic Code&gt;_Syllabus'!D22,"AAAAAH7b/80=")</f>
        <v>1</v>
      </c>
      <c r="GY1" t="e">
        <f>AND('&lt;Topic Code&gt;_Syllabus'!#REF!,"AAAAAH7b/84=")</f>
        <v>#REF!</v>
      </c>
      <c r="GZ1" t="e">
        <f>AND('&lt;Topic Code&gt;_Syllabus'!E22,"AAAAAH7b/88=")</f>
        <v>#VALUE!</v>
      </c>
      <c r="HA1">
        <f>IF('&lt;Topic Code&gt;_Syllabus'!24:24,"AAAAAH7b/9A=",0)</f>
        <v>0</v>
      </c>
      <c r="HB1" t="e">
        <f>AND('&lt;Topic Code&gt;_Syllabus'!A24,"AAAAAH7b/9E=")</f>
        <v>#VALUE!</v>
      </c>
      <c r="HC1" t="e">
        <f>AND('&lt;Topic Code&gt;_Syllabus'!B24,"AAAAAH7b/9I=")</f>
        <v>#VALUE!</v>
      </c>
      <c r="HD1" t="e">
        <f>AND('&lt;Topic Code&gt;_Syllabus'!C23,"AAAAAH7b/9M=")</f>
        <v>#VALUE!</v>
      </c>
      <c r="HE1" t="e">
        <f>AND('&lt;Topic Code&gt;_Syllabus'!#REF!,"AAAAAH7b/9Q=")</f>
        <v>#REF!</v>
      </c>
      <c r="HF1" t="b">
        <f>AND('&lt;Topic Code&gt;_Syllabus'!D23,"AAAAAH7b/9U=")</f>
        <v>1</v>
      </c>
      <c r="HG1" t="e">
        <f>AND('&lt;Topic Code&gt;_Syllabus'!#REF!,"AAAAAH7b/9Y=")</f>
        <v>#REF!</v>
      </c>
      <c r="HH1" t="e">
        <f>AND('&lt;Topic Code&gt;_Syllabus'!E23,"AAAAAH7b/9c=")</f>
        <v>#VALUE!</v>
      </c>
      <c r="HI1">
        <f>IF('&lt;Topic Code&gt;_Syllabus'!25:25,"AAAAAH7b/9g=",0)</f>
        <v>0</v>
      </c>
      <c r="HJ1" t="b">
        <f>AND('&lt;Topic Code&gt;_Syllabus'!A25,"AAAAAH7b/9k=")</f>
        <v>1</v>
      </c>
      <c r="HK1" t="e">
        <f>AND('&lt;Topic Code&gt;_Syllabus'!B25,"AAAAAH7b/9o=")</f>
        <v>#VALUE!</v>
      </c>
      <c r="HL1" t="e">
        <f>AND('&lt;Topic Code&gt;_Syllabus'!C25,"AAAAAH7b/9s=")</f>
        <v>#VALUE!</v>
      </c>
      <c r="HM1" t="e">
        <f>AND('&lt;Topic Code&gt;_Syllabus'!D25,"AAAAAH7b/9w=")</f>
        <v>#VALUE!</v>
      </c>
      <c r="HN1" t="e">
        <f>AND('&lt;Topic Code&gt;_Syllabus'!E25,"AAAAAH7b/90=")</f>
        <v>#VALUE!</v>
      </c>
      <c r="HO1" t="e">
        <f>AND('&lt;Topic Code&gt;_Syllabus'!F25,"AAAAAH7b/94=")</f>
        <v>#VALUE!</v>
      </c>
      <c r="HP1" t="e">
        <f>AND('&lt;Topic Code&gt;_Syllabus'!G25,"AAAAAH7b/98=")</f>
        <v>#VALUE!</v>
      </c>
      <c r="HQ1">
        <f>IF('&lt;Topic Code&gt;_Syllabus'!26:26,"AAAAAH7b/+A=",0)</f>
        <v>0</v>
      </c>
      <c r="HR1" t="e">
        <f>AND('&lt;Topic Code&gt;_Syllabus'!A26,"AAAAAH7b/+E=")</f>
        <v>#VALUE!</v>
      </c>
      <c r="HS1" t="e">
        <f>AND('&lt;Topic Code&gt;_Syllabus'!B26,"AAAAAH7b/+I=")</f>
        <v>#VALUE!</v>
      </c>
      <c r="HT1" t="e">
        <f>AND('&lt;Topic Code&gt;_Syllabus'!C26,"AAAAAH7b/+M=")</f>
        <v>#VALUE!</v>
      </c>
      <c r="HU1" t="e">
        <f>AND('&lt;Topic Code&gt;_Syllabus'!D26,"AAAAAH7b/+Q=")</f>
        <v>#VALUE!</v>
      </c>
      <c r="HV1" t="e">
        <f>AND('&lt;Topic Code&gt;_Syllabus'!E26,"AAAAAH7b/+U=")</f>
        <v>#VALUE!</v>
      </c>
      <c r="HW1" t="e">
        <f>AND('&lt;Topic Code&gt;_Syllabus'!F26,"AAAAAH7b/+Y=")</f>
        <v>#VALUE!</v>
      </c>
      <c r="HX1" t="e">
        <f>AND('&lt;Topic Code&gt;_Syllabus'!G26,"AAAAAH7b/+c=")</f>
        <v>#VALUE!</v>
      </c>
      <c r="HY1">
        <f>IF('&lt;Topic Code&gt;_Syllabus'!27:27,"AAAAAH7b/+g=",0)</f>
        <v>0</v>
      </c>
      <c r="HZ1" t="e">
        <f>AND('&lt;Topic Code&gt;_Syllabus'!A27,"AAAAAH7b/+k=")</f>
        <v>#VALUE!</v>
      </c>
      <c r="IA1" t="e">
        <f>AND('&lt;Topic Code&gt;_Syllabus'!B27,"AAAAAH7b/+o=")</f>
        <v>#VALUE!</v>
      </c>
      <c r="IB1" t="e">
        <f>AND('&lt;Topic Code&gt;_Syllabus'!C27,"AAAAAH7b/+s=")</f>
        <v>#VALUE!</v>
      </c>
      <c r="IC1" t="e">
        <f>AND('&lt;Topic Code&gt;_Syllabus'!D27,"AAAAAH7b/+w=")</f>
        <v>#VALUE!</v>
      </c>
      <c r="ID1" t="e">
        <f>AND('&lt;Topic Code&gt;_Syllabus'!E27,"AAAAAH7b/+0=")</f>
        <v>#VALUE!</v>
      </c>
      <c r="IE1" t="e">
        <f>AND('&lt;Topic Code&gt;_Syllabus'!F27,"AAAAAH7b/+4=")</f>
        <v>#VALUE!</v>
      </c>
      <c r="IF1" t="e">
        <f>AND('&lt;Topic Code&gt;_Syllabus'!G27,"AAAAAH7b/+8=")</f>
        <v>#VALUE!</v>
      </c>
      <c r="IG1">
        <f>IF('&lt;Topic Code&gt;_Syllabus'!28:28,"AAAAAH7b//A=",0)</f>
        <v>0</v>
      </c>
      <c r="IH1" t="e">
        <f>AND('&lt;Topic Code&gt;_Syllabus'!A28,"AAAAAH7b//E=")</f>
        <v>#VALUE!</v>
      </c>
      <c r="II1" t="e">
        <f>AND('&lt;Topic Code&gt;_Syllabus'!B28,"AAAAAH7b//I=")</f>
        <v>#VALUE!</v>
      </c>
      <c r="IJ1" t="e">
        <f>AND('&lt;Topic Code&gt;_Syllabus'!C28,"AAAAAH7b//M=")</f>
        <v>#VALUE!</v>
      </c>
      <c r="IK1" t="e">
        <f>AND('&lt;Topic Code&gt;_Syllabus'!#REF!,"AAAAAH7b//Q=")</f>
        <v>#REF!</v>
      </c>
      <c r="IL1" t="e">
        <f>AND('&lt;Topic Code&gt;_Syllabus'!D28,"AAAAAH7b//U=")</f>
        <v>#VALUE!</v>
      </c>
      <c r="IM1" t="e">
        <f>AND('&lt;Topic Code&gt;_Syllabus'!F28,"AAAAAH7b//Y=")</f>
        <v>#VALUE!</v>
      </c>
      <c r="IN1" t="e">
        <f>AND('&lt;Topic Code&gt;_Syllabus'!G28,"AAAAAH7b//c=")</f>
        <v>#VALUE!</v>
      </c>
      <c r="IO1">
        <f>IF('&lt;Topic Code&gt;_Syllabus'!29:29,"AAAAAH7b//g=",0)</f>
        <v>0</v>
      </c>
      <c r="IP1" t="e">
        <f>AND('&lt;Topic Code&gt;_Syllabus'!A29,"AAAAAH7b//k=")</f>
        <v>#VALUE!</v>
      </c>
      <c r="IQ1" t="e">
        <f>AND('&lt;Topic Code&gt;_Syllabus'!B29,"AAAAAH7b//o=")</f>
        <v>#VALUE!</v>
      </c>
      <c r="IR1" t="e">
        <f>AND('&lt;Topic Code&gt;_Syllabus'!C29,"AAAAAH7b//s=")</f>
        <v>#VALUE!</v>
      </c>
      <c r="IS1" t="e">
        <f>AND('&lt;Topic Code&gt;_Syllabus'!D29,"AAAAAH7b//w=")</f>
        <v>#VALUE!</v>
      </c>
      <c r="IT1" t="e">
        <f>AND('&lt;Topic Code&gt;_Syllabus'!E29,"AAAAAH7b//0=")</f>
        <v>#VALUE!</v>
      </c>
      <c r="IU1" t="e">
        <f>AND('&lt;Topic Code&gt;_Syllabus'!F29,"AAAAAH7b//4=")</f>
        <v>#VALUE!</v>
      </c>
      <c r="IV1" t="e">
        <f>AND('&lt;Topic Code&gt;_Syllabus'!G29,"AAAAAH7b//8=")</f>
        <v>#VALUE!</v>
      </c>
    </row>
    <row r="2" spans="1:256">
      <c r="A2">
        <f>IF('&lt;Topic Code&gt;_Syllabus'!30:30,"AAAAAH/vfwA=",0)</f>
        <v>0</v>
      </c>
      <c r="B2" t="e">
        <f>AND('&lt;Topic Code&gt;_Syllabus'!A30,"AAAAAH/vfwE=")</f>
        <v>#VALUE!</v>
      </c>
      <c r="C2" t="e">
        <f>AND('&lt;Topic Code&gt;_Syllabus'!B30,"AAAAAH/vfwI=")</f>
        <v>#VALUE!</v>
      </c>
      <c r="D2" t="e">
        <f>AND('&lt;Topic Code&gt;_Syllabus'!C30,"AAAAAH/vfwM=")</f>
        <v>#VALUE!</v>
      </c>
      <c r="E2" t="e">
        <f>AND('&lt;Topic Code&gt;_Syllabus'!D30,"AAAAAH/vfwQ=")</f>
        <v>#VALUE!</v>
      </c>
      <c r="F2" t="e">
        <f>AND('&lt;Topic Code&gt;_Syllabus'!E30,"AAAAAH/vfwU=")</f>
        <v>#VALUE!</v>
      </c>
      <c r="G2" t="e">
        <f>AND('&lt;Topic Code&gt;_Syllabus'!F30,"AAAAAH/vfwY=")</f>
        <v>#VALUE!</v>
      </c>
      <c r="H2" t="e">
        <f>AND('&lt;Topic Code&gt;_Syllabus'!G30,"AAAAAH/vfwc=")</f>
        <v>#VALUE!</v>
      </c>
      <c r="I2">
        <f>IF('&lt;Topic Code&gt;_Syllabus'!31:31,"AAAAAH/vfwg=",0)</f>
        <v>0</v>
      </c>
      <c r="J2" t="e">
        <f>AND('&lt;Topic Code&gt;_Syllabus'!A31,"AAAAAH/vfwk=")</f>
        <v>#VALUE!</v>
      </c>
      <c r="K2" t="e">
        <f>AND('&lt;Topic Code&gt;_Syllabus'!B31,"AAAAAH/vfwo=")</f>
        <v>#VALUE!</v>
      </c>
      <c r="L2" t="e">
        <f>AND('&lt;Topic Code&gt;_Syllabus'!C31,"AAAAAH/vfws=")</f>
        <v>#VALUE!</v>
      </c>
      <c r="M2" t="e">
        <f>AND('&lt;Topic Code&gt;_Syllabus'!D31,"AAAAAH/vfww=")</f>
        <v>#VALUE!</v>
      </c>
      <c r="N2" t="e">
        <f>AND('&lt;Topic Code&gt;_Syllabus'!E31,"AAAAAH/vfw0=")</f>
        <v>#VALUE!</v>
      </c>
      <c r="O2" t="e">
        <f>AND('&lt;Topic Code&gt;_Syllabus'!F31,"AAAAAH/vfw4=")</f>
        <v>#VALUE!</v>
      </c>
      <c r="P2" t="e">
        <f>AND('&lt;Topic Code&gt;_Syllabus'!G31,"AAAAAH/vfw8=")</f>
        <v>#VALUE!</v>
      </c>
      <c r="Q2" t="e">
        <f>IF('&lt;Topic Code&gt;_Syllabus'!#REF!,"AAAAAH/vfxA=",0)</f>
        <v>#REF!</v>
      </c>
      <c r="R2" t="str">
        <f>IF('&lt;Topic Code&gt;_Syllabus'!A:A,"AAAAAH/vfxE=",0)</f>
        <v>AAAAAH/vfxE=</v>
      </c>
      <c r="S2" t="e">
        <f>IF('&lt;Topic Code&gt;_Syllabus'!B:B,"AAAAAH/vfxI=",0)</f>
        <v>#VALUE!</v>
      </c>
      <c r="T2" t="e">
        <f>IF('&lt;Topic Code&gt;_Syllabus'!C:C,"AAAAAH/vfxM=",0)</f>
        <v>#VALUE!</v>
      </c>
      <c r="U2">
        <f>IF('&lt;Topic Code&gt;_Syllabus'!D:D,"AAAAAH/vfxQ=",0)</f>
        <v>0</v>
      </c>
      <c r="V2">
        <f>IF('&lt;Topic Code&gt;_Syllabus'!E:E,"AAAAAH/vfxU=",0)</f>
        <v>0</v>
      </c>
      <c r="W2">
        <f>IF('&lt;Topic Code&gt;_Syllabus'!F:F,"AAAAAH/vfxY=",0)</f>
        <v>0</v>
      </c>
      <c r="X2">
        <f>IF('&lt;Topic Code&gt;_Syllabus'!G:G,"AAAAAH/vfxc=",0)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124</v>
      </c>
      <c r="AK4" s="1" t="s">
        <v>125</v>
      </c>
      <c r="AL4" s="2" t="s">
        <v>126</v>
      </c>
      <c r="AM4" t="e">
        <f>IF("N",[0]!_xlnm._FilterDatabase,"AAAAAH/rVCY=")</f>
        <v>#VALUE!</v>
      </c>
    </row>
    <row r="5" spans="1:256">
      <c r="A5" t="e">
        <f>AND('&lt;Topic Code&gt;_Syllabus'!A1,"AAAAACvx+wA=")</f>
        <v>#VALUE!</v>
      </c>
      <c r="B5" t="e">
        <f>IF('&lt;Topic Code&gt;_Syllabus'!#REF!,"AAAAACvx+wE=",0)</f>
        <v>#REF!</v>
      </c>
      <c r="C5" t="e">
        <f>AND('&lt;Topic Code&gt;_Syllabus'!#REF!,"AAAAACvx+wI=")</f>
        <v>#REF!</v>
      </c>
      <c r="D5" t="e">
        <f>AND('&lt;Topic Code&gt;_Syllabus'!#REF!,"AAAAACvx+wM=")</f>
        <v>#REF!</v>
      </c>
      <c r="E5" t="e">
        <f>AND('&lt;Topic Code&gt;_Syllabus'!#REF!,"AAAAACvx+wQ=")</f>
        <v>#REF!</v>
      </c>
      <c r="F5" t="e">
        <f>AND('&lt;Topic Code&gt;_Syllabus'!#REF!,"AAAAACvx+wU=")</f>
        <v>#REF!</v>
      </c>
      <c r="G5" t="e">
        <f>AND('&lt;Topic Code&gt;_Syllabus'!#REF!,"AAAAACvx+wY=")</f>
        <v>#REF!</v>
      </c>
      <c r="H5" t="e">
        <f>AND('&lt;Topic Code&gt;_Syllabus'!#REF!,"AAAAACvx+wc=")</f>
        <v>#REF!</v>
      </c>
      <c r="I5" t="e">
        <f>AND('&lt;Topic Code&gt;_Syllabus'!#REF!,"AAAAACvx+wg=")</f>
        <v>#REF!</v>
      </c>
      <c r="J5" t="e">
        <f>IF('&lt;Topic Code&gt;_Syllabus'!#REF!,"AAAAACvx+wk=",0)</f>
        <v>#REF!</v>
      </c>
      <c r="K5" t="e">
        <f>AND('&lt;Topic Code&gt;_Syllabus'!#REF!,"AAAAACvx+wo=")</f>
        <v>#REF!</v>
      </c>
      <c r="L5" t="e">
        <f>AND('&lt;Topic Code&gt;_Syllabus'!#REF!,"AAAAACvx+ws=")</f>
        <v>#REF!</v>
      </c>
      <c r="M5" t="e">
        <f>AND('&lt;Topic Code&gt;_Syllabus'!#REF!,"AAAAACvx+ww=")</f>
        <v>#REF!</v>
      </c>
      <c r="N5" t="e">
        <f>AND('&lt;Topic Code&gt;_Syllabus'!#REF!,"AAAAACvx+w0=")</f>
        <v>#REF!</v>
      </c>
      <c r="O5" t="e">
        <f>AND('&lt;Topic Code&gt;_Syllabus'!#REF!,"AAAAACvx+w4=")</f>
        <v>#REF!</v>
      </c>
      <c r="P5" t="e">
        <f>AND('&lt;Topic Code&gt;_Syllabus'!#REF!,"AAAAACvx+w8=")</f>
        <v>#REF!</v>
      </c>
      <c r="Q5" t="e">
        <f>AND('&lt;Topic Code&gt;_Syllabus'!#REF!,"AAAAACvx+xA=")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47DC6746C624DA076054CC14B56BE" ma:contentTypeVersion="14" ma:contentTypeDescription="Create a new document." ma:contentTypeScope="" ma:versionID="a9d28830f92cb7c4210a83efcb330198">
  <xsd:schema xmlns:xsd="http://www.w3.org/2001/XMLSchema" xmlns:xs="http://www.w3.org/2001/XMLSchema" xmlns:p="http://schemas.microsoft.com/office/2006/metadata/properties" xmlns:ns2="3fb232fd-8e72-43c7-b876-2e7a665041d4" xmlns:ns3="d6b8b58b-189a-48e8-8fd2-2265e728ba2b" targetNamespace="http://schemas.microsoft.com/office/2006/metadata/properties" ma:root="true" ma:fieldsID="279f5a22203d399e6241235e61ba8c4d" ns2:_="" ns3:_="">
    <xsd:import namespace="3fb232fd-8e72-43c7-b876-2e7a665041d4"/>
    <xsd:import namespace="d6b8b58b-189a-48e8-8fd2-2265e728ba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_Flow_Signoff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232fd-8e72-43c7-b876-2e7a665041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c97e1a9-fa82-4965-b735-0e061acf9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b8b58b-189a-48e8-8fd2-2265e728ba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995e293-7f00-477c-9c84-8f5465f1dab2}" ma:internalName="TaxCatchAll" ma:showField="CatchAllData" ma:web="d6b8b58b-189a-48e8-8fd2-2265e728ba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fb232fd-8e72-43c7-b876-2e7a665041d4" xsi:nil="true"/>
    <lcf76f155ced4ddcb4097134ff3c332f xmlns="3fb232fd-8e72-43c7-b876-2e7a665041d4">
      <Terms xmlns="http://schemas.microsoft.com/office/infopath/2007/PartnerControls"/>
    </lcf76f155ced4ddcb4097134ff3c332f>
    <TaxCatchAll xmlns="d6b8b58b-189a-48e8-8fd2-2265e728ba2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7F30A4-A601-4BE2-8021-452132C92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b232fd-8e72-43c7-b876-2e7a665041d4"/>
    <ds:schemaRef ds:uri="d6b8b58b-189a-48e8-8fd2-2265e728ba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2668A6-B9B9-4A0C-8145-04733E8CAC1A}">
  <ds:schemaRefs>
    <ds:schemaRef ds:uri="http://schemas.microsoft.com/office/2006/metadata/properties"/>
    <ds:schemaRef ds:uri="http://schemas.microsoft.com/office/infopath/2007/PartnerControls"/>
    <ds:schemaRef ds:uri="3fb232fd-8e72-43c7-b876-2e7a665041d4"/>
    <ds:schemaRef ds:uri="d6b8b58b-189a-48e8-8fd2-2265e728ba2b"/>
  </ds:schemaRefs>
</ds:datastoreItem>
</file>

<file path=customXml/itemProps3.xml><?xml version="1.0" encoding="utf-8"?>
<ds:datastoreItem xmlns:ds="http://schemas.openxmlformats.org/officeDocument/2006/customXml" ds:itemID="{7B49D54E-CD76-4224-8763-DF059F4929F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&lt;Topic Code&gt;_Syllabus</vt:lpstr>
      <vt:lpstr>&lt;Topics Code&gt;_ScheduleDetail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Acer</cp:lastModifiedBy>
  <cp:revision/>
  <dcterms:created xsi:type="dcterms:W3CDTF">2010-11-19T03:46:05Z</dcterms:created>
  <dcterms:modified xsi:type="dcterms:W3CDTF">2024-04-15T08:57:24Z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0x010100C2847DC6746C624DA076054CC14B56BE</vt:lpwstr>
  </property>
</Properties>
</file>