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agram_banggai" sheetId="1" r:id="rId4"/>
    <sheet state="visible" name="kamus luwuk" sheetId="2" r:id="rId5"/>
    <sheet state="visible" name="Sheet2" sheetId="3" r:id="rId6"/>
    <sheet state="visible" name="Sheet3" sheetId="4" r:id="rId7"/>
    <sheet state="visible" name="Sheet4" sheetId="5" r:id="rId8"/>
  </sheets>
  <definedNames/>
  <calcPr/>
</workbook>
</file>

<file path=xl/sharedStrings.xml><?xml version="1.0" encoding="utf-8"?>
<sst xmlns="http://schemas.openxmlformats.org/spreadsheetml/2006/main" count="5714" uniqueCount="1175">
  <si>
    <t>target</t>
  </si>
  <si>
    <t>source</t>
  </si>
  <si>
    <t>sender</t>
  </si>
  <si>
    <t>sender_profile_pic</t>
  </si>
  <si>
    <t>text</t>
  </si>
  <si>
    <t>lw_text</t>
  </si>
  <si>
    <t>de_text</t>
  </si>
  <si>
    <t>de-id_text</t>
  </si>
  <si>
    <t>de-in_text</t>
  </si>
  <si>
    <t>de-in-id_text</t>
  </si>
  <si>
    <t>en_text</t>
  </si>
  <si>
    <t>en_text1</t>
  </si>
  <si>
    <t>en-de_text</t>
  </si>
  <si>
    <t>en-de_text1</t>
  </si>
  <si>
    <t>en-de-in_text</t>
  </si>
  <si>
    <t>kata</t>
  </si>
  <si>
    <t>arti</t>
  </si>
  <si>
    <t>banggai</t>
  </si>
  <si>
    <t>@layananplnluwuk</t>
  </si>
  <si>
    <t>layananplnluwuk</t>
  </si>
  <si>
    <t>https://www.instagram.com/p/Cg31IcduHeb/</t>
  </si>
  <si>
    <t>Mohon maaf atas ketidaknyamanannya 🙏</t>
  </si>
  <si>
    <t>Sorry for the inconvenience 🙏</t>
  </si>
  <si>
    <t>Entschuldigung für die Unannehmlichkeiten 🙏</t>
  </si>
  <si>
    <t>so</t>
  </si>
  <si>
    <t>sudah</t>
  </si>
  <si>
    <t>bintangrabbie</t>
  </si>
  <si>
    <t>rusak kmu ini ee ksian pe panas tong drumah kmu kse mati subuh"</t>
  </si>
  <si>
    <t>It's broken for you, it's so bad that the heat in your house will die at dawn"</t>
  </si>
  <si>
    <t>Bei dir ist es kaputt, es ist so schlimm, dass die Hitze in deinem Haus im Morgengrauen vergeht.</t>
  </si>
  <si>
    <t>ebeh</t>
  </si>
  <si>
    <t>ah</t>
  </si>
  <si>
    <t>udin_luwuk</t>
  </si>
  <si>
    <t>Tai Memang Kamu Tinggal Mo mati turus kamu bikin luwuk tedek nanti bulan puasa baru mo mati manyala apalgi dekat buka sementara buka dekat sahur abis sahur bagitu turus kamu banya alasan ada gangguan tede lanya' kamu TELAT BAYAR MATI BAGITU SO DI BAYAR SEENAAKNYA BAKASE MATI syukur di Luwuk di luar sulawesi kamu pe kalakuan bagini abis kamu di togor</t>
  </si>
  <si>
    <t>It's true that you're left with Mo dead and then you'll make luwuk tedek later in the new fasting month, you'll be dead a lot, especially when you're close to open, while you're open, close to sahur, after sahur, then you're going to have a lot of excuses, there's a disturbance, tede lanya', you're LATE TO PAY, YOU'RE DEAD, SO PAY AS YOU WILL, BAKASE DEAD, thank God in Luwuk is outside Sulawesi, you did this after you were in Togor</t>
  </si>
  <si>
    <t>Es ist wahr, dass Mo tot zurückbleibt und man dann später im neuen Fastenmonat Luwuk Tedek macht, man wird oft tot sein, besonders wenn man kurz vor der Öffnung steht, während man offen ist, kurz davor Sahur, nach Sahur, dann wirst du viele Ausreden haben, es gibt eine Störung, tede lanya', du bist SPÄT ZUM ZAHLEN, DU BIST TOT, ALSO BEZAHLE WIE DU WILLST, BAKASE DEAD, Gott sei Dank in Luwuk liegt außerhalb von Sulawesi, das haben Sie getan, nachdem Sie in Togor waren</t>
  </si>
  <si>
    <t>sa</t>
  </si>
  <si>
    <t>saya</t>
  </si>
  <si>
    <t>budhy_kaget</t>
  </si>
  <si>
    <t>@layananplnluwuk ini mau berbuka Puasa Lampunya Mati🙈🙈🙈🙈🙄🙄🙄ada apa ini...Selama bulan ramadhan SDH lebih dari 10 X Mati LAMPUUU</t>
  </si>
  <si>
    <t>@ jasaplnluwuk is about to break the fast, the lights are off🙈🙈🙈🙈🙄🙄🙄 what's going on...During the month of Ramadhan SDH the lights went out more than 10 times</t>
  </si>
  <si>
    <t>@jasaplnluwuk steht kurz vor dem Fastenbrechen, die Lichter sind aus🙈🙈🙈🙈🙄🙄🙄 was ist los...Während des Ramadan (SDH) gingen die Lichter mehr als 10 Mal aus</t>
  </si>
  <si>
    <t>ngana</t>
  </si>
  <si>
    <t>anda</t>
  </si>
  <si>
    <t>regardean</t>
  </si>
  <si>
    <t>Adoh..</t>
  </si>
  <si>
    <t>Ouch..</t>
  </si>
  <si>
    <t>Autsch..</t>
  </si>
  <si>
    <t>nga</t>
  </si>
  <si>
    <t>kamu</t>
  </si>
  <si>
    <t>artikawibawa</t>
  </si>
  <si>
    <t>https://www.instagram.com/p/Cg0UzeFBegI/</t>
  </si>
  <si>
    <t>Terbaik</t>
  </si>
  <si>
    <t>Best</t>
  </si>
  <si>
    <t>Am besten</t>
  </si>
  <si>
    <t>de</t>
  </si>
  <si>
    <t>dia</t>
  </si>
  <si>
    <t>https://www.instagram.com/p/Cgv7Zl_OdtM/</t>
  </si>
  <si>
    <t>@layananplnluwuk Min...kalau bisa Update juga terkait kondisi di lapangan setiap adanya Pemadaman...giliran urusan tagihan PLN dan sangsi baru update</t>
  </si>
  <si>
    <t>@ jasaplnluwuk Min... if possible also update regarding conditions in the field every time there is a blackout... it's your turn to deal with PLN bills and sanctions then update</t>
  </si>
  <si>
    <t>@jasaplnluwuk Min... wenn möglich, aktualisieren Sie auch die Bedingungen vor Ort bei jedem Stromausfall... Sie sind an der Reihe, sich um PLN-Rechnungen und Sanktionen zu kümmern und dann zu aktualisieren</t>
  </si>
  <si>
    <t>pe</t>
  </si>
  <si>
    <t>punya</t>
  </si>
  <si>
    <t>@budhy_kaget Baik Pak, kami akan update terkait pemadaman juga. Terima kasih masukannya 🙏</t>
  </si>
  <si>
    <t>@budhy_kaget OK sir, we will update regarding the outage too. Thank you for your input 🙏</t>
  </si>
  <si>
    <t>@budhy_kaget OK, Sir, wir werden auch bezüglich des Ausfalls auf dem Laufenden bleiben. Vielen Dank für deinen Beitrag 🙏</t>
  </si>
  <si>
    <t>tek</t>
  </si>
  <si>
    <t>tidak</t>
  </si>
  <si>
    <t>verrinar</t>
  </si>
  <si>
    <t>https://www.instagram.com/p/Cc4PuNoJe6C/</t>
  </si>
  <si>
    <t>Terima kasih infonya 🙏🏻</t>
  </si>
  <si>
    <t>Thank you for the info 🙏🏻</t>
  </si>
  <si>
    <t>Vielen Dank für die Info 🙏🏻</t>
  </si>
  <si>
    <t>duik</t>
  </si>
  <si>
    <t>duit</t>
  </si>
  <si>
    <t>Siap..terimakasih infonya</t>
  </si>
  <si>
    <t>Ready..thanks for the info</t>
  </si>
  <si>
    <t>Fertig. Danke für die Info</t>
  </si>
  <si>
    <t>godik</t>
  </si>
  <si>
    <t>besar</t>
  </si>
  <si>
    <t>https://www.instagram.com/p/Cce3puErki3/</t>
  </si>
  <si>
    <t>Siap</t>
  </si>
  <si>
    <t>Ready</t>
  </si>
  <si>
    <t>Bereit</t>
  </si>
  <si>
    <t>bangkak</t>
  </si>
  <si>
    <t>bengkak</t>
  </si>
  <si>
    <t>fredi_yana09</t>
  </si>
  <si>
    <t>https://www.instagram.com/p/CHeSJ1BBp5T/</t>
  </si>
  <si>
    <t>Saya mau nanya min,apakah daftar pasang baru lewat online sendiri itu lama,beda lewat orang atau kantor ulp terdekat? Saya daftar online blm di proses printah kerja,sedngkan lewat orang 1 hari sudah di proses ? Mksh min ... @plnsuluttenggo @pln_id</t>
  </si>
  <si>
    <t>I want to ask, min, does registering for new pairs online take a long time, different from going through a person or the nearest ulp office? I registered online before the work order was processed, while it was processed in person in 1 day? Thanks min... @plnsuluttenggo @pln_id</t>
  </si>
  <si>
    <t>Ich möchte fragen: Dauert die Online-Registrierung für neue Paare länger, als wenn man sich an eine Person oder das nächstgelegene ulp-Büro wendet? Ich habe mich online registriert, bevor der Arbeitsauftrag bearbeitet wurde, während er persönlich innerhalb eines Tages bearbeitet wurde? Danke min... @plnsuluttenggo @pln_id</t>
  </si>
  <si>
    <t>bamakan</t>
  </si>
  <si>
    <t>makan</t>
  </si>
  <si>
    <t>DM MIN</t>
  </si>
  <si>
    <t>balekos</t>
  </si>
  <si>
    <t>bohong</t>
  </si>
  <si>
    <t>@mediakominfobanggai</t>
  </si>
  <si>
    <t>mediakominfobanggai</t>
  </si>
  <si>
    <t>https://www.instagram.com/p/C5xgy6ML5ud/</t>
  </si>
  <si>
    <t>HAI SOBATKOM!
INILAH SALAH SATU TEMPAT WISATA TERFAVORIT MASYARAKAT KAB. BANGGAI "PANTAI KILO 5" KECAMATAN LUWUK SELATAN.
#pemkabbanggai
#wonderfulbanggai</t>
  </si>
  <si>
    <t>HEY SOBATCOM!
THIS IS ONE OF THE MOST FAVORITE TOURISM PLACES OF THE REGENCY PEOPLE. BANGGAI "KILO 5 BEACH" SOUTH LUWUK DISTRICT.
#district government
#wonderfulbanggai</t>
  </si>
  <si>
    <t>HEY SOBATCOM!
Dies ist einer der beliebtesten Touristenorte der Regentschaft. BANGGAI „KILO 5 BEACH“ SÜD-LUWUK-BEZIRK.
#Bezirksregierung
#wundervollbanggai</t>
  </si>
  <si>
    <t>ee</t>
  </si>
  <si>
    <t>mu</t>
  </si>
  <si>
    <t>prdnabintang</t>
  </si>
  <si>
    <t>Wonderful banggai🔥</t>
  </si>
  <si>
    <t>Wonderful to be proud of🔥</t>
  </si>
  <si>
    <t>Wunderbar, darauf stolz zu sein🔥</t>
  </si>
  <si>
    <t>iyo</t>
  </si>
  <si>
    <t>iya</t>
  </si>
  <si>
    <t>indarpujianti14</t>
  </si>
  <si>
    <t>Kerennnn😍😍😍</t>
  </si>
  <si>
    <t>Cool😍😍😍</t>
  </si>
  <si>
    <t>iye</t>
  </si>
  <si>
    <t>ichayhuna75</t>
  </si>
  <si>
    <t>Menyala kota kuuuuuu 🔥🔥🔥❤️❤️</t>
  </si>
  <si>
    <t>Light up my city 🔥🔥🔥❤️❤️</t>
  </si>
  <si>
    <t>Erleuchte meine Stadt 🔥🔥🔥❤️❤️</t>
  </si>
  <si>
    <t>marshalinwahyuni_</t>
  </si>
  <si>
    <t>🔥🔥🔥🔥</t>
  </si>
  <si>
    <t>britaniaoroh</t>
  </si>
  <si>
    <t>😍😍</t>
  </si>
  <si>
    <t>imanuelskatili</t>
  </si>
  <si>
    <t>menyalaa🔥</t>
  </si>
  <si>
    <t>lit🔥</t>
  </si>
  <si>
    <t>gisela.mourent</t>
  </si>
  <si>
    <t>BEST!! 👏🏻😍🔥</t>
  </si>
  <si>
    <t>AM BESTEN!! 👏🏻😍🔥</t>
  </si>
  <si>
    <t>zyy.ciaa</t>
  </si>
  <si>
    <t>😻😻</t>
  </si>
  <si>
    <t>adrian.asral</t>
  </si>
  <si>
    <t>MELEDAK🔥</t>
  </si>
  <si>
    <t>EXPLOD🔥</t>
  </si>
  <si>
    <t>EXPLODIEREN🔥</t>
  </si>
  <si>
    <t>stvfordd_</t>
  </si>
  <si>
    <t>🔥🔥🔥</t>
  </si>
  <si>
    <t>fadilaasari</t>
  </si>
  <si>
    <t>MANTAP🔥🔥</t>
  </si>
  <si>
    <t>GREAT🔥🔥</t>
  </si>
  <si>
    <t>TOLL🔥🔥</t>
  </si>
  <si>
    <t>thatxx_98</t>
  </si>
  <si>
    <t>👏👏👏</t>
  </si>
  <si>
    <t>dindadeviraa_</t>
  </si>
  <si>
    <t>chntlgabriela_</t>
  </si>
  <si>
    <t>Kereenn😍🔥🔥</t>
  </si>
  <si>
    <t>Cool😍🔥🔥</t>
  </si>
  <si>
    <t>lasmeyafnie</t>
  </si>
  <si>
    <t>Keren</t>
  </si>
  <si>
    <t>Cool</t>
  </si>
  <si>
    <t>alfianahmad068</t>
  </si>
  <si>
    <t>https://www.instagram.com/p/C5tTf2OS1Vo/</t>
  </si>
  <si>
    <t>Semoga Husnul khatimah</t>
  </si>
  <si>
    <t>Hopefully Husnul khatimah</t>
  </si>
  <si>
    <t>Hoffentlich Husnul Khatimah</t>
  </si>
  <si>
    <t>Turut B'duka cita</t>
  </si>
  <si>
    <t>My condolences</t>
  </si>
  <si>
    <t>Mein Beileid</t>
  </si>
  <si>
    <t>moelhy_matorang</t>
  </si>
  <si>
    <t>Innalillaahi wainna ilaihi Rooji’uun
Semoga diterima amal ibadahnya, diampuni dosa2nya, dilapangkan kuburannya dan keluarga yg ditinggalkan selalu ikhlas dan tabah
Aamiin</t>
  </si>
  <si>
    <t>Innalillaahi wainna ilaihi Rooji'uun
Hopefully his deeds of worship will be accepted, his sins will be forgiven, his grave will be widened and the family left behind will always be sincere and steadfast.
Amen!</t>
  </si>
  <si>
    <t>Innalillaahi wainna ilaihi Rooji'uun
Hoffentlich werden seine Gottesdienste angenommen, seine Sünden vergeben, sein Grab erweitert und die zurückgelassene Familie wird immer aufrichtig und standhaft sein.
Amen!</t>
  </si>
  <si>
    <t>nikita_kristelia02</t>
  </si>
  <si>
    <t>Turut Berduka cita🙏🏻</t>
  </si>
  <si>
    <t>My condolences 🙏🏻</t>
  </si>
  <si>
    <t>Mein Beileid 🙏🏻</t>
  </si>
  <si>
    <t>inyomanardika3</t>
  </si>
  <si>
    <t>Turut berdukacita</t>
  </si>
  <si>
    <t>Please accept my condolences</t>
  </si>
  <si>
    <t>Bitte nehmen Sie mein Beileid entgegen</t>
  </si>
  <si>
    <t>fitrajayapermana</t>
  </si>
  <si>
    <t>😭😭😭😇</t>
  </si>
  <si>
    <t>satomydungga</t>
  </si>
  <si>
    <t>Innalillahi wainna illaihi rojiun</t>
  </si>
  <si>
    <t>ladydianakhartiono</t>
  </si>
  <si>
    <t>https://www.instagram.com/p/C5aQFmMLb2A/</t>
  </si>
  <si>
    <t>🔥🔥❤️❤️</t>
  </si>
  <si>
    <t>reksarindra</t>
  </si>
  <si>
    <t>yg penting so dtau</t>
  </si>
  <si>
    <t>what's important is that you know</t>
  </si>
  <si>
    <t>Wichtig ist, dass Sie es wissen</t>
  </si>
  <si>
    <t>nuryanahuna</t>
  </si>
  <si>
    <t>Kereeen 😍😍😍</t>
  </si>
  <si>
    <t>febrie_bukamo</t>
  </si>
  <si>
    <t>😢😢😢😢😢</t>
  </si>
  <si>
    <t>_lsyamustpa</t>
  </si>
  <si>
    <t>❤️</t>
  </si>
  <si>
    <t>salwalagalima</t>
  </si>
  <si>
    <t>😢😍</t>
  </si>
  <si>
    <t>ecaa_dtuadm</t>
  </si>
  <si>
    <t>😢👏🏻</t>
  </si>
  <si>
    <t>ariesspam.13</t>
  </si>
  <si>
    <t>😍😍😍</t>
  </si>
  <si>
    <t>chel.ova</t>
  </si>
  <si>
    <t>nlhfrita_</t>
  </si>
  <si>
    <t>😍</t>
  </si>
  <si>
    <t>jjomngdil_</t>
  </si>
  <si>
    <t>🔥😍</t>
  </si>
  <si>
    <t>mutiaahmdd_</t>
  </si>
  <si>
    <t>❤️❤️</t>
  </si>
  <si>
    <t>ttthiyoo</t>
  </si>
  <si>
    <t>ini amanah anak smea??</t>
  </si>
  <si>
    <t>Is this a trust for all your children??</t>
  </si>
  <si>
    <t>Ist das ein Treuhandfonds für alle Ihre Kinder?</t>
  </si>
  <si>
    <t>restu_amaliaaa</t>
  </si>
  <si>
    <t>🔥🔥</t>
  </si>
  <si>
    <t>iswansakib_</t>
  </si>
  <si>
    <t>dheabaadib_03</t>
  </si>
  <si>
    <t>puputoktaviani_20</t>
  </si>
  <si>
    <t>🔥</t>
  </si>
  <si>
    <t>ina_hamsah</t>
  </si>
  <si>
    <t>😢😢😢😢</t>
  </si>
  <si>
    <t>aiko_fina</t>
  </si>
  <si>
    <t>🔥👏</t>
  </si>
  <si>
    <t>marcellotlgkau</t>
  </si>
  <si>
    <t>keren🔥</t>
  </si>
  <si>
    <t>cool🔥</t>
  </si>
  <si>
    <t>abdhygunawan</t>
  </si>
  <si>
    <r>
      <rPr/>
      <t xml:space="preserve">kau punya aktoorr </t>
    </r>
    <r>
      <rPr>
        <color rgb="FF000000"/>
      </rPr>
      <t>@chelssyaoktaviana_</t>
    </r>
    <r>
      <rPr/>
      <t xml:space="preserve"> </t>
    </r>
    <r>
      <rPr>
        <color rgb="FF000000"/>
      </rPr>
      <t>@balbal_bal97</t>
    </r>
    <r>
      <rPr/>
      <t xml:space="preserve"> 😍😍🔥🔥</t>
    </r>
  </si>
  <si>
    <t>you have an actor @chelssyaoktaviana_ @balbal_bal97 😍😍🔥🔥</t>
  </si>
  <si>
    <t>Du hast einen Schauspieler @chelssyaoktaviana_ @balbal_bal97 😍😍🔥🔥</t>
  </si>
  <si>
    <t>chelssyaoktaviana_</t>
  </si>
  <si>
    <t>@abdhygunawan eakkkk🔥❤️</t>
  </si>
  <si>
    <t>ctrakdir_</t>
  </si>
  <si>
    <t>mo0nloveoll_</t>
  </si>
  <si>
    <t>hendri_rian16</t>
  </si>
  <si>
    <t>❤️🔥</t>
  </si>
  <si>
    <t>smkn1_luwuk</t>
  </si>
  <si>
    <t>🔥❤👏🙌</t>
  </si>
  <si>
    <t>muhammadzain_15</t>
  </si>
  <si>
    <t>pu3yulya_</t>
  </si>
  <si>
    <t>🥰🥰❤‍🔥</t>
  </si>
  <si>
    <t>komangfadli</t>
  </si>
  <si>
    <t>👏👏👏👏</t>
  </si>
  <si>
    <t>wulandarihamunta</t>
  </si>
  <si>
    <t>aldilaniada_</t>
  </si>
  <si>
    <t>@chelssyaoktaviana_ memey jn berharga kamera yaaa🤣😭</t>
  </si>
  <si>
    <t>@chelssyaoktaviana_ memey jn worth the camera yaaa🤣😭</t>
  </si>
  <si>
    <t>@chelssyaoktaviana_ memey jn ist die Kamera wert, yaaa🤣😭</t>
  </si>
  <si>
    <t>@aldilaniada_ viruss yg sulit di hilangkan itu behh😭</t>
  </si>
  <si>
    <t>@aldilaniada_ viruses that are difficult to get rid of ehh😭</t>
  </si>
  <si>
    <t>@aldilaniada_ Viren, die schwer zu entfernen sind, ehh😭</t>
  </si>
  <si>
    <t>ssttyyy_</t>
  </si>
  <si>
    <t>yuudddaaaaa____</t>
  </si>
  <si>
    <t>Kerennn🔥🔥</t>
  </si>
  <si>
    <t>Cool🔥🔥</t>
  </si>
  <si>
    <t>intansibayyyyyyy_</t>
  </si>
  <si>
    <t>putrizndn_</t>
  </si>
  <si>
    <t>isnt_dndy</t>
  </si>
  <si>
    <t>Mode amanah ini ka @reksarindra 😂</t>
  </si>
  <si>
    <t>This is trust mode, @reksarindra 😂</t>
  </si>
  <si>
    <t>Das ist der Vertrauensmodus, @reksarindra 😂</t>
  </si>
  <si>
    <t>intaaaaannnns_</t>
  </si>
  <si>
    <t>😍🙌</t>
  </si>
  <si>
    <t>mohzulfad</t>
  </si>
  <si>
    <t>👏❤️</t>
  </si>
  <si>
    <t>adelianasirnusi_</t>
  </si>
  <si>
    <t>husna.nazwatul</t>
  </si>
  <si>
    <t>Nice 🔥🔥</t>
  </si>
  <si>
    <t>Schön 🔥🔥</t>
  </si>
  <si>
    <t>kiixboy_</t>
  </si>
  <si>
    <t>😢🔥</t>
  </si>
  <si>
    <t>28igin</t>
  </si>
  <si>
    <t>_ikkysalatun</t>
  </si>
  <si>
    <t>Menyala mantap🔥🔥</t>
  </si>
  <si>
    <t>Turns on great🔥🔥</t>
  </si>
  <si>
    <t>Lässt sich großartig anmachen🔥🔥</t>
  </si>
  <si>
    <t>m.azeds</t>
  </si>
  <si>
    <t>❤️👏😍</t>
  </si>
  <si>
    <t>hidayah9013</t>
  </si>
  <si>
    <t>🔥❤️</t>
  </si>
  <si>
    <t>kvinrfki_02</t>
  </si>
  <si>
    <t>bungaria_14</t>
  </si>
  <si>
    <t>teukualfaridzi23</t>
  </si>
  <si>
    <t>sial malah gua hampir sedih lihat lu puk di sorakin 😂</t>
  </si>
  <si>
    <t>Damn, I'm almost sad to see you being cheered 😂</t>
  </si>
  <si>
    <t>Verdammt, ich bin fast traurig zu sehen, wie du angefeuert wirst 😂</t>
  </si>
  <si>
    <t>famelarsyadd</t>
  </si>
  <si>
    <t>😍😍😍😍🔥</t>
  </si>
  <si>
    <t>dwibalaa_</t>
  </si>
  <si>
    <t>accyels</t>
  </si>
  <si>
    <t>ksyasakulat</t>
  </si>
  <si>
    <t>abdulkrim_19</t>
  </si>
  <si>
    <t>ditanstn__</t>
  </si>
  <si>
    <t>rhamdan_adhan</t>
  </si>
  <si>
    <t>endilagalu_</t>
  </si>
  <si>
    <t>rgiman_</t>
  </si>
  <si>
    <t>🫠🫠</t>
  </si>
  <si>
    <t>nuke_kawilarang</t>
  </si>
  <si>
    <t>🥺🥺🥺</t>
  </si>
  <si>
    <t>_yunwulandari</t>
  </si>
  <si>
    <t>Maa syaa Allah 🤩</t>
  </si>
  <si>
    <t>Maa shaa Allah 🤩</t>
  </si>
  <si>
    <t>vtadm</t>
  </si>
  <si>
    <t>innhusainn_</t>
  </si>
  <si>
    <t>❤️❤️❤️</t>
  </si>
  <si>
    <t>firmannsaputra06</t>
  </si>
  <si>
    <t>🙌</t>
  </si>
  <si>
    <t>anggunptri___</t>
  </si>
  <si>
    <t>nncy_fancy</t>
  </si>
  <si>
    <t>_pittsoo</t>
  </si>
  <si>
    <t>👏🔥</t>
  </si>
  <si>
    <t>andika_sahman</t>
  </si>
  <si>
    <t>🔥🙌</t>
  </si>
  <si>
    <t>chaesarrs</t>
  </si>
  <si>
    <t>liacunnn_</t>
  </si>
  <si>
    <t>@like_luwuk</t>
  </si>
  <si>
    <t>ddhryntoo</t>
  </si>
  <si>
    <t>https://www.instagram.com/p/C52dTf3Lg8A/</t>
  </si>
  <si>
    <t>Kasian😢</t>
  </si>
  <si>
    <t>Poor thing😢</t>
  </si>
  <si>
    <t>Armes Ding😢</t>
  </si>
  <si>
    <t>gila.ngg</t>
  </si>
  <si>
    <t>@ddhryntoo bang udah bang</t>
  </si>
  <si>
    <t>@ddhryntoo bro, that's it bro</t>
  </si>
  <si>
    <t>@ddhryntoo Bruder, das ist es, Bruder</t>
  </si>
  <si>
    <t>rusenhidayat</t>
  </si>
  <si>
    <t>@ddhryntoo Huss jgan gitu dong 😂</t>
  </si>
  <si>
    <t>@ddhryntoo Huss don't be like that, bro 😂</t>
  </si>
  <si>
    <t>@ddhryntoo Huss, sei nicht so, Bruder 😂</t>
  </si>
  <si>
    <t>wandhiaprilio</t>
  </si>
  <si>
    <t>@ddhryntoo belum juga balik modal kasian</t>
  </si>
  <si>
    <t>@ddhryntoo hasn't returned his capital yet, poor thing</t>
  </si>
  <si>
    <t>@ddhryntoo hat sein Kapital noch nicht zurückgegeben, das arme Ding</t>
  </si>
  <si>
    <t>aguriawankm_97</t>
  </si>
  <si>
    <t>Kasian sudah bayar mahal bahkan sampai jual sawah atau kebun 😢</t>
  </si>
  <si>
    <t>Poor thing, I paid so much and even sold my rice field or garden 😢</t>
  </si>
  <si>
    <t>Armes Ding, ich habe so viel bezahlt und sogar mein Reisfeld oder meinen Garten verkauft 😢</t>
  </si>
  <si>
    <t>@aguriawankm_97 mahkotamu king 👑 masih Di Packing Di JNE Bonebula 😂</t>
  </si>
  <si>
    <t>@aguriawankm_97 your crown is king 👑 still packed at JNE Bonebula 😂</t>
  </si>
  <si>
    <t>@aguriawankm_97 Deine Krone ist König 👑 immer noch verpackt bei JNE Bonebula 😂</t>
  </si>
  <si>
    <t>narti_sungo</t>
  </si>
  <si>
    <t>@aguriawankm_97 itu sudah resiko nya, jng gitu jd aparat seenak jidat mau berbuat apa. Udah di pecat gitu baru tau rasa.</t>
  </si>
  <si>
    <t>@aguriawankm_97 that's already a risk, don't let the authorities do whatever they want to do. I've been fired so I know what it feels like.</t>
  </si>
  <si>
    <t>@aguriawankm_97 Das ist bereits ein Risiko. Lassen Sie die Behörden nicht tun, was sie wollen. Ich wurde gefeuert, also weiß ich, wie es sich anfühlt.</t>
  </si>
  <si>
    <t>akbar_kurniadiii</t>
  </si>
  <si>
    <t>@aguriawankm_97 sapa suruh makan uang haram</t>
  </si>
  <si>
    <t>@aguriawankm_97 who told you to eat haram money?</t>
  </si>
  <si>
    <t>@aguriawankm_97 Wer hat dir gesagt, dass du Haram-Geld essen sollst?</t>
  </si>
  <si>
    <t>kodoka.5655</t>
  </si>
  <si>
    <t>Kenapa asn pns tidak dibeginikan juga ya? Banyak pns yg tidak bisa kerja. Cuma datang nongol warkop. Harudnya yg seperti itu dipecat saja. Ngapain diselamatkan karna kasian. Ganti dengan pns2 muda yg masih bisa dibina</t>
  </si>
  <si>
    <t>Why aren't civil servants doing this too? Many civil servants cannot work. Just came to the warkop. People like that should just be fired. Why save because of pity. Replace with young civil servants who can still be trained</t>
  </si>
  <si>
    <t>Warum machen das nicht auch Beamte? Viele Beamte können nicht arbeiten. Bin gerade im Warkop angekommen. Solche Leute sollten einfach gefeuert werden. Warum aus Mitleid sparen? Ersetzung durch junge Beamte, die noch ausbildungsfähig sind</t>
  </si>
  <si>
    <t>utami_fitriyah</t>
  </si>
  <si>
    <t>@kodoka.5655 Kalau ASN tidak semudah itu Kak. Sudah tertuang dalam peraturan yang ada. Alhamdulillah ditempat kerjaku ASN tidak ada yang cuman datang nongol di warkop doang.</t>
  </si>
  <si>
    <t>@kodoka.5655 For ASN it's not that easy, Sis. It is stated in the existing regulations. Thank God, at my workplace there are no ASNs who just show up at the coffee shop.</t>
  </si>
  <si>
    <t>@kodoka.5655 Für ASN ist es nicht so einfach, Schwester. Dies ist in den bestehenden Vorschriften festgelegt. Gott sei Dank gibt es an meinem Arbeitsplatz keine ASNs, die einfach im Café auftauchen.</t>
  </si>
  <si>
    <t>@utami_fitriyah asn begitu biasanya di buang ke kelurahan. Makin jadilah dia dikelurahan. Makanya pelayanan kelurahan itu selalu dikeluhkan padahal kelurahan itu yg paling banyak berurusan dengan masyarakat. Harusnya langsung pecat saja, tidak perlu di buang2. Sekarang pecat asn sudah mudah, nilai skp rendah sudah bisa jadi alasan pemecatan. Sekian hari tidak masuk sudah bisa dipecat. Memang dasar pimpinannya yg tidak mau karna kasian. Sudah cuma nongkrong tidak ada kerja, eh pas penilaian skp malah dikasih nilai baik terus</t>
  </si>
  <si>
    <t>@utami_fitriyah ASN is usually dumped in the sub-district. Increasingly, he is in the village. That's why sub-district services are always complained about even though the sub-district is the one that deals the most with the community. You should just fire him straight away, there's no need to throw it away. Now that it's easy to fire ASN, a low SKP value can be a reason for dismissal. If you don't show up for a few days, you can be fired. It's true that the leadership doesn't want to because it's a pity. I've been just hanging out with no work, but when I got to the SKP assessment, I kept getting good marks</t>
  </si>
  <si>
    <t>@utami_fitriyah ASN wird normalerweise im Unterbezirk abgeladen. Zunehmend ist er im Dorf. Aus diesem Grund werden die Dienste der Unterbezirke immer beklagt, obwohl der Unterbezirk derjenige ist, der sich am meisten mit der Gemeinschaft beschäftigt. Du solltest ihn einfach sofort feuern, es ist nicht nötig, ihn wegzuwerfen. Da es nun einfacher ist, ASN zu entlassen, kann ein niedriger SKP-Wert ein Grund für eine Entlassung sein. Wenn Sie einige Tage lang nicht erscheinen, können Sie entlassen werden. Es stimmt, dass die Führung das nicht will, weil es schade ist. Ich habe einfach nur rumgehangen und keine Arbeit gehabt, aber als ich zur SKP-Bewertung kam, bekam ich immer wieder gute Noten</t>
  </si>
  <si>
    <t>@kodoka.5655 Untung aku bukan ASN pemda atau provinsi jadi tidak ada yang begitu. Kalau malas langsung mutasi ke pelosok contohnya di Pegunungan Jayawijaya sana.</t>
  </si>
  <si>
    <t>@kodoka.5655 Luckily I'm not a local or provincial government ASN so there's nothing like that. If you are lazy, transfer straight away to remote areas, for example in the Jayawijaya Mountains.</t>
  </si>
  <si>
    <t>@kodoka.5655 Zum Glück bin ich kein ASN einer lokalen oder provinziellen Regierung, also gibt es nichts Vergleichbares. Wenn Sie faul sind, fahren Sie gleich in abgelegene Gebiete, zum Beispiel in die Jayawijaya-Berge.</t>
  </si>
  <si>
    <t>multazamst</t>
  </si>
  <si>
    <t>Angsurannya bgmn kasihan</t>
  </si>
  <si>
    <t>What a pity the installments are</t>
  </si>
  <si>
    <t>Schade, dass die Ratenzahlungen so sind</t>
  </si>
  <si>
    <t>yoyo_sukaryatmo</t>
  </si>
  <si>
    <t>@multazamst sampean orang leasing, bank atau balai lelang😂</t>
  </si>
  <si>
    <t>@multazamst you people from leasing, banks or auction houses😂</t>
  </si>
  <si>
    <t>@multazamst ihr Leute von Leasing, Banken oder Auktionshäusern😂</t>
  </si>
  <si>
    <t>@yoyo_sukaryatmo taksasi😂</t>
  </si>
  <si>
    <t>@yoyo_sukaryatmo takasi😂</t>
  </si>
  <si>
    <t>andreasrevanth</t>
  </si>
  <si>
    <t>POLDA SULTENG SEMAKIN BERANI🔥🔥🔥</t>
  </si>
  <si>
    <t>SULTENG POLDA IS GETTING BOLDER🔥🔥🔥</t>
  </si>
  <si>
    <t>SULTENG POLDA WIRD mutiger🔥🔥🔥</t>
  </si>
  <si>
    <t>ci__yani01</t>
  </si>
  <si>
    <t>@andreasrevanth saya dukung dengan keberaniannya👏👏👏👏</t>
  </si>
  <si>
    <t>@andreasrevanth I support his courage👏👏👏👏</t>
  </si>
  <si>
    <t>@andreasrevanth Ich unterstütze seinen Mut👏👏👏👏</t>
  </si>
  <si>
    <t>_ibnubukhori</t>
  </si>
  <si>
    <t>Bersih² alhamdulillah... Punya teman² yg aktif di kepolisian mereka orang baik dan sholeh. Semoga mereka jadi teladan di masyarakat.</t>
  </si>
  <si>
    <t>Clean, thank God... I have friends who are active in the police, they are good and pious people. Hopefully they will become role models in society.</t>
  </si>
  <si>
    <t>Sauber, Gott sei Dank... Ich habe Freunde, die bei der Polizei aktiv sind, es sind gute und fromme Menschen. Hoffentlich werden sie zu Vorbildern in der Gesellschaft.</t>
  </si>
  <si>
    <t>07februari1990</t>
  </si>
  <si>
    <t>Nda usa dipecat.. Pindh tugas sj dipapua ksh baku hantam sm KKB😂😂</t>
  </si>
  <si>
    <t>No need to be fired.. Just moved to work in Papua but got into a fist fight with KKB😂😂</t>
  </si>
  <si>
    <t>Es besteht kein Grund, gefeuert zu werden. Ich bin gerade zur Arbeit nach Papua gezogen, bin aber in einen Faustkampf mit KKB geraten😂😂</t>
  </si>
  <si>
    <t>febriansyaheby2</t>
  </si>
  <si>
    <t>sultanalbaa</t>
  </si>
  <si>
    <t>Pelanggaran yg pertama disebutkan, jd alasan kenapa narkoba di sulteng masih ada dmanamana 😂</t>
  </si>
  <si>
    <t>The first violation mentioned is the reason why drugs in Central Sulawesi are still everywhere 😂</t>
  </si>
  <si>
    <t>Der erstgenannte Verstoß ist der Grund dafür, dass es in Zentral-Sulawesi immer noch überall Drogen gibt 😂</t>
  </si>
  <si>
    <t>crn.morinnnn</t>
  </si>
  <si>
    <t>oknum halo dek</t>
  </si>
  <si>
    <t>person, hello sir</t>
  </si>
  <si>
    <t>Person, hallo Sir</t>
  </si>
  <si>
    <t>angsaa._</t>
  </si>
  <si>
    <t>@crn.morinnnn betul</t>
  </si>
  <si>
    <t>@crn.morinnnn that's right</t>
  </si>
  <si>
    <t>@crn.morinnnn das stimmt</t>
  </si>
  <si>
    <t>_muttaqim_</t>
  </si>
  <si>
    <t>Taja komdan😂</t>
  </si>
  <si>
    <t>Taja commander😂</t>
  </si>
  <si>
    <t>Taja-Kommandant😂</t>
  </si>
  <si>
    <t>m_riskhyfarezhy</t>
  </si>
  <si>
    <t>@_muttaqim_ 😂</t>
  </si>
  <si>
    <t>hellooktber</t>
  </si>
  <si>
    <t>@sultanalbaa betul2 setuju</t>
  </si>
  <si>
    <t>@sultanalbaa totally agrees</t>
  </si>
  <si>
    <t>@sultanalbaa stimmt voll und ganz zu</t>
  </si>
  <si>
    <t>suami_taryy21</t>
  </si>
  <si>
    <t>😮</t>
  </si>
  <si>
    <t>olin_ros_tangkilisan</t>
  </si>
  <si>
    <t>Baguslah semoga ke depannya Polri semakin baik.. semoga berlaku juga ASN apalagi ASN P3K yg malas..salut deh ada list nama ya ?</t>
  </si>
  <si>
    <t>That's good, hopefully in the future the National Police will be better... hopefully that will also apply to ASN, especially lazy P3K ASN... I'm glad there's a list of names, right?</t>
  </si>
  <si>
    <t>Das ist gut, hoffentlich wird die Nationalpolizei in Zukunft besser sein ... hoffentlich gilt das auch für ASN, insbesondere für die faulen P3K-ASN ... Ich bin froh, dass es eine Namensliste gibt, oder?</t>
  </si>
  <si>
    <t>fajar.mindalan</t>
  </si>
  <si>
    <t>Alhamdulillah,sy sebagai aktivis mahasiswa dari bangkep ucapkan banyak terimah kasih</t>
  </si>
  <si>
    <t>Alhamdulillah, as a student activist from Bangkep, I would like to say thank you very much</t>
  </si>
  <si>
    <t>Alhamdulillah, als studentischer Aktivist aus Bangkep möchte ich mich ganz herzlich bei Ihnen bedanken</t>
  </si>
  <si>
    <t>mungkin.bapakmu</t>
  </si>
  <si>
    <t>Salah satu yang di pecat 👉 @zaliakbrr</t>
  </si>
  <si>
    <t>One of those who was fired 👉 @zaliakbrr</t>
  </si>
  <si>
    <t>Einer von denen, die gefeuert wurden 👉 @zaliakbrr</t>
  </si>
  <si>
    <t>ana_janah02</t>
  </si>
  <si>
    <t>ehhhh cumaaa tdk hormat d pecat, kasih sanksi saja huu</t>
  </si>
  <si>
    <t>ehhhh it's just disrespectful to fire him, just give him sanctions huu</t>
  </si>
  <si>
    <t>ehhhh, es ist einfach respektlos, ihn zu feuern, gib ihm einfach Sanktionen, huu</t>
  </si>
  <si>
    <t>asmaekariana</t>
  </si>
  <si>
    <t>Menurut sy pribadi ini sdh bener. Biar tdk ada lagi yg namanya aturan d buat untuk di langgar. Ada yg blng kasihan sdh banyak uang keluar. Hmm seharusnya dari awal sdh berpikir panjang dampaknya nnti seperti apa. Kerugian yg mereka tanggung adalah hasil dari perbuatan mereka sendiri. Salut untuk Polda Sulteng. Semoga dengan begini Sulteng bisa bersih dari Narkobaaa, Punglii dan lainnya 🙏😍</t>
  </si>
  <si>
    <t>Personally, I think this is true. So that there are no more rules made to be broken. There are those who don't feel sorry for having a lot of money out. Hmm, you should have thought long and hard about what the impact would be like. The losses they bear are the result of their own actions. Salute to the Central Sulawesi Regional Police. Hopefully this way Central Sulawesi can be free from narcotics, extortion and others 🙏😍</t>
  </si>
  <si>
    <t>Persönlich denke ich, dass das wahr ist. Damit es keine Regeln mehr gibt, die dazu da sind, gebrochen zu werden. Es gibt diejenigen, denen es nicht leid tut, viel Geld ausgegeben zu haben. Hmm, Sie hätten lange und gründlich darüber nachdenken sollen, wie die Auswirkungen sein würden. Die Verluste, die sie erleiden, sind das Ergebnis ihres eigenen Handelns. Gruß an die Regionalpolizei von Zentral-Sulawesi. Hoffentlich kann Zentral-Sulawesi auf diese Weise frei von Drogen, Erpressung und anderem sein 🙏😍</t>
  </si>
  <si>
    <t>adhin12</t>
  </si>
  <si>
    <t>Waktunya berantas korupsi dan narkoba🔥🔥🔥</t>
  </si>
  <si>
    <t>It's time to eradicate corruption and drugs🔥🔥🔥</t>
  </si>
  <si>
    <t>Es ist Zeit, Korruption und Drogen auszurotten🔥🔥🔥</t>
  </si>
  <si>
    <t>ikhhwanng</t>
  </si>
  <si>
    <t>32 baru yg terungkap</t>
  </si>
  <si>
    <t>32 new ones revealed</t>
  </si>
  <si>
    <t>32 neue enthüllt</t>
  </si>
  <si>
    <t>abdilah_ranting88</t>
  </si>
  <si>
    <t>@ikhhwanng menyala abangkuhh 🔥🔥</t>
  </si>
  <si>
    <t>@ikhhwanng lit up bro 🔥🔥</t>
  </si>
  <si>
    <t>@ikhhwang hat mich zum Leuchten gebracht, Bruder 🔥🔥</t>
  </si>
  <si>
    <t>kadirji</t>
  </si>
  <si>
    <t>Ada yg bilang kasihan ada yg bilang baguslah .. . sejujurnya pasti pimpinan berat.. tapi semua itu karena aturan yg sama sama sudah diketahui sehingga pimpinan harus katakan yg benar</t>
  </si>
  <si>
    <t>Some say it's a pity, some say it's good... To be honest, the leadership must be tough... but all of that is because the same rules are already known, so the leadership must say the right thing</t>
  </si>
  <si>
    <t>Manche sagen, es ist schade, andere sagen, es ist gut... Um ehrlich zu sein, muss die Führung hart sein... aber das alles liegt daran, dass die gleichen Regeln bereits bekannt sind, also muss die Führung das Richtige sagen</t>
  </si>
  <si>
    <t>fahmmiiiii_</t>
  </si>
  <si>
    <t>Salah fokus dgn pelanggaran yg disebutkan pertama</t>
  </si>
  <si>
    <t>Wrong focus on the first violation mentioned</t>
  </si>
  <si>
    <t>Falscher Fokus auf den ersten genannten Verstoß</t>
  </si>
  <si>
    <t>mr.ddii</t>
  </si>
  <si>
    <t>Klo so berungkali berulah yah wajar, tapi klo baru 1-2x mungkin msih bisa dibicarakan .</t>
  </si>
  <si>
    <t>If you act repeatedly, that's normal, but if it's only happened once or twice, maybe you can still talk about it.</t>
  </si>
  <si>
    <t>Wenn Sie wiederholt handeln, ist das normal, aber wenn es nur ein- oder zweimal passiert ist, können Sie vielleicht trotzdem darüber reden.</t>
  </si>
  <si>
    <t>bismanovic</t>
  </si>
  <si>
    <t>Melanggar kode etik polri aja bisa di PTDH, apalagi kode etik MK 😂😂😂😂 wkwkwkw</t>
  </si>
  <si>
    <t>Even if you violate the National Police's code of ethics, you can go to PTDH, let alone the Constitutional Court's code of ethics 😂😂😂😂 hahaha</t>
  </si>
  <si>
    <t>Selbst wenn Sie gegen den Ethikkodex der Nationalpolizei verstoßen, können Sie sich an die PTDH wenden, geschweige denn gegen den Ethikkodex des Verfassungsgerichts 😂😂😂😂 hahaha</t>
  </si>
  <si>
    <t>agnitalhy_</t>
  </si>
  <si>
    <t>Yg sdah smpai 2x melakukan pelanggaran yg pertama masih aman2 aja tuh🤧</t>
  </si>
  <si>
    <t>Those who have already committed the first offense twice are still safe</t>
  </si>
  <si>
    <t>Wer die erste Straftat bereits zweimal begangen hat, ist weiterhin in Sicherheit</t>
  </si>
  <si>
    <t>abashasan5</t>
  </si>
  <si>
    <t>Bersihkan pak👏</t>
  </si>
  <si>
    <t>Clean it sir👏</t>
  </si>
  <si>
    <t>Reinigen Sie es, Sir👏</t>
  </si>
  <si>
    <t>radenbarna</t>
  </si>
  <si>
    <t>Kenapa bisa d pecat 😢???</t>
  </si>
  <si>
    <t>Why did you get fired 😢???</t>
  </si>
  <si>
    <t>Warum wurdest du gefeuert 😢???</t>
  </si>
  <si>
    <t>fadila_daengsewang</t>
  </si>
  <si>
    <t>Bersihkan oknum polisi yang jadi Bandar S4bu-S4bu, masih banyak.</t>
  </si>
  <si>
    <t>Clean up police officers who are S4bu-S4bu dealers, there are still many.</t>
  </si>
  <si>
    <t>Aufräumen Polizisten, die S4bu-S4bu-Händler sind, gibt es immer noch viele.</t>
  </si>
  <si>
    <t>ugy_grande</t>
  </si>
  <si>
    <t>👏keren</t>
  </si>
  <si>
    <t>👏cool</t>
  </si>
  <si>
    <t>hestyramadhanyy</t>
  </si>
  <si>
    <t>astaghfirullahaladzim 😢</t>
  </si>
  <si>
    <t>heri_rzatrh</t>
  </si>
  <si>
    <t>Kasian karena sudah jual apa-apa biar bisa masuk, tapi ini bagus pembersihan oknum</t>
  </si>
  <si>
    <t>It's a shame because you have to sell everything to get in, but this is a good cleanup for the people</t>
  </si>
  <si>
    <t>Es ist eine Schande, weil man alles verkaufen muss, um reinzukommen, aber das ist eine gute Sanierung für die Leute</t>
  </si>
  <si>
    <t>dhiraamelyna</t>
  </si>
  <si>
    <t>Ini mihh sudah lantaran modal seragam ji jadi se enaknya bekeng kelakuan 😢</t>
  </si>
  <si>
    <t>This is because the capital of a uniform makes it as comfortable as possible to protect your behavior 😢</t>
  </si>
  <si>
    <t>Denn das Kapital einer Uniform macht es so angenehm wie möglich, Ihr Verhalten zu schützen 😢</t>
  </si>
  <si>
    <t>arsiliazhra</t>
  </si>
  <si>
    <t>Kalimantan apa kabar🔥</t>
  </si>
  <si>
    <t>Kalimantan how are you🔥</t>
  </si>
  <si>
    <t>Kalimantan, wie geht es dir?</t>
  </si>
  <si>
    <t>palangka.raya.5203</t>
  </si>
  <si>
    <t>Mantap. Pertahankan, dibina, di apresiasi, Polisi² yg baik. Bersih² terhadap Polisi Jahat, yg mempermalukan institusi.</t>
  </si>
  <si>
    <t>Excellent. Maintain, develop, appreciate, good police. Clean up against bad police, who disgrace the institution.</t>
  </si>
  <si>
    <t>Exzellent. Eine gute Polizei pflegen, weiterentwickeln, wertschätzen. Machen Sie Schluss mit der schlechten Polizei, die die Institution in Schande bringt.</t>
  </si>
  <si>
    <t>badria.alamri</t>
  </si>
  <si>
    <t>Boleh sebut nama n kota nya</t>
  </si>
  <si>
    <t>Can you name the city?</t>
  </si>
  <si>
    <t>Können Sie die Stadt nennen?</t>
  </si>
  <si>
    <t>knalpotmobil_palu</t>
  </si>
  <si>
    <t>Polda Sulteng keren.. bangga punya adik2 polisi 😁👍</t>
  </si>
  <si>
    <t>The Central Sulawesi Regional Police are cool... proud to have police brothers 😁👍</t>
  </si>
  <si>
    <t>Die Regionalpolizei von Zentral-Sulawesi ist cool... stolz, Polizeibrüder zu haben 😁👍</t>
  </si>
  <si>
    <t>alwyn_379</t>
  </si>
  <si>
    <t>good and clear</t>
  </si>
  <si>
    <t>gut und klar</t>
  </si>
  <si>
    <t>muh_syukri_s_dotutinggi</t>
  </si>
  <si>
    <t>knp kh itu</t>
  </si>
  <si>
    <t>why is that?</t>
  </si>
  <si>
    <t>Warum das?</t>
  </si>
  <si>
    <t>arnold_revolver</t>
  </si>
  <si>
    <t>Banyak yg ingin masuk... Tapi tak kesampaian.. Yg lebih berprestasi...</t>
  </si>
  <si>
    <t>Many people want to enter... But they don't succeed.. Those who are more accomplished...</t>
  </si>
  <si>
    <t>Viele wollen eintreten... Aber es gelingt ihnen nicht. Wer mehr erreicht hat...</t>
  </si>
  <si>
    <t>afrianty26</t>
  </si>
  <si>
    <t>Bah baru sebagian saja ini.</t>
  </si>
  <si>
    <t>Well, this is just part of it.</t>
  </si>
  <si>
    <t>Nun, das ist nur ein Teil davon.</t>
  </si>
  <si>
    <t>cimot_cp</t>
  </si>
  <si>
    <t>Mantap,, itu oknum oknum yg buat polisi jdi buruk dipecat sja pak 🙏😇😁.</t>
  </si>
  <si>
    <t>Great, those are the people who made the police worse, just get fired, sir 🙏😇😁.</t>
  </si>
  <si>
    <t>Großartig, das sind die Leute, die die Polizei noch schlimmer gemacht haben. Lassen Sie sich einfach feuern, Sir 🙏😇😁.</t>
  </si>
  <si>
    <t>juansalobo</t>
  </si>
  <si>
    <t>👏👏👏👏👏👏</t>
  </si>
  <si>
    <t>gito041092</t>
  </si>
  <si>
    <t>Susah masuk "mungkin" sampai lobi sana sini, setelah jadi dan bertugas malah disia2kan, rugi donk😊</t>
  </si>
  <si>
    <t>It's hard to get in "maybe" to the lobby here and there, after it's done and working it's wasted, it's a loss, bro😊</t>
  </si>
  <si>
    <t>Es ist schwer, hier und da „vielleicht“ in die Lobby zu kommen, nachdem es erledigt ist und die Arbeit vergeblich ist, ist es ein Verlust, Bruder😊</t>
  </si>
  <si>
    <t>steven_longgo</t>
  </si>
  <si>
    <t>Banyaknya pentingnya bersyukur</t>
  </si>
  <si>
    <t>The importance of being grateful</t>
  </si>
  <si>
    <t>Wie wichtig es ist, dankbar zu sein</t>
  </si>
  <si>
    <t>agusmetungku</t>
  </si>
  <si>
    <t>Gampang masuknya, keluarnya pun gampang,</t>
  </si>
  <si>
    <t>Easy to get in, easy to get out,</t>
  </si>
  <si>
    <t>Leichter Einstieg, leichter Ausstieg,</t>
  </si>
  <si>
    <t>its.me_yaasss</t>
  </si>
  <si>
    <t>The real msuk nya setengah mati.. kluar ny setengah gila 😢</t>
  </si>
  <si>
    <t>The real thing is that when you go in you're half dead... when you come out you're half crazy 😢</t>
  </si>
  <si>
    <t>Die Wahrheit ist: Wenn du reingehst, bist du halb tot... wenn du rauskommst, bist du halb verrückt 😢</t>
  </si>
  <si>
    <t>alifwahyudii</t>
  </si>
  <si>
    <t>“berulang” tanda klo itu karakter, yok kembalikan marwahnya!🔥</t>
  </si>
  <si>
    <t>"repeated" is a sign that it's a character, let's bring back the character!🔥</t>
  </si>
  <si>
    <t>„wiederholt“ ist ein Zeichen dafür, dass es sich um einen Charakter handelt, lasst uns den Charakter zurückbringen!🔥</t>
  </si>
  <si>
    <t>hoby_ayambk</t>
  </si>
  <si>
    <t>Selepas dinas status mereka jadi warga sipil. Mohon pak tetap di pantau agar kiranya tda melakukan hal2 melanggar hukum dalam bermasyarakat🙏</t>
  </si>
  <si>
    <t>After service, their status becomes civilians. Please, sir, continue to be monitored so that you don't do anything that violates the law in society🙏</t>
  </si>
  <si>
    <t>Nach dem Dienst erhalten sie den Status eines Zivilisten. Bitte, mein Herr, lassen Sie sich weiterhin überwachen, damit Sie in der Gesellschaft nichts tun, was gegen das Gesetz verstößt 🙏</t>
  </si>
  <si>
    <t>_muharafat</t>
  </si>
  <si>
    <t>Redup abangku</t>
  </si>
  <si>
    <t>Dim my brother</t>
  </si>
  <si>
    <t>Verdunkele meinen Bruder</t>
  </si>
  <si>
    <t>brenn_nyong</t>
  </si>
  <si>
    <t>Polda bangkitt 🔥👏</t>
  </si>
  <si>
    <t>The Regional Police rose up 🔥👏</t>
  </si>
  <si>
    <t>Die Regionalpolizei erhob sich 🔥👏</t>
  </si>
  <si>
    <t>sandyfebriansyahlodik</t>
  </si>
  <si>
    <t>Termasuk @mprabows dgn @wawankarim_ dpt pecat jg 😂</t>
  </si>
  <si>
    <t>Including @mprabows and @wawankarim_ can be fired too 😂</t>
  </si>
  <si>
    <t>Einschließlich @mprabows und @wawankarim_ können auch gefeuert werden 😂</t>
  </si>
  <si>
    <t>mprabows</t>
  </si>
  <si>
    <t>@sandyfebriansyahlodik 😭😭😭😭</t>
  </si>
  <si>
    <t>banggus3105</t>
  </si>
  <si>
    <t>Narkoba merajai Sulteng</t>
  </si>
  <si>
    <t>Drugs dominate Central Sulawesi</t>
  </si>
  <si>
    <t>Drogen dominieren Zentral-Sulawesi</t>
  </si>
  <si>
    <t>miramadinaa</t>
  </si>
  <si>
    <t>https://www.instagram.com/p/C50d26NS6_M/</t>
  </si>
  <si>
    <t>Izin share ka🤗</t>
  </si>
  <si>
    <t>Permission to share, bro🤗</t>
  </si>
  <si>
    <t>Erlaubnis zum Teilen, Bruder🤗</t>
  </si>
  <si>
    <t>Indahnya desaku❤️☺🙏</t>
  </si>
  <si>
    <t>The beauty of my village❤️☺🙏</t>
  </si>
  <si>
    <t>Die Schönheit meines Dorfes❤️☺🙏</t>
  </si>
  <si>
    <t>aa.zullah</t>
  </si>
  <si>
    <t>sandhy_primadana12</t>
  </si>
  <si>
    <t>https://www.instagram.com/p/C5f88Poxd4-/</t>
  </si>
  <si>
    <t>Kades bgini cocoknya seumur hidup, selagi dy mampu memimpin bukan malah diganti dan dicari² kesalahnya❤️👍</t>
  </si>
  <si>
    <t>A village head like this is suitable for life, as long as he is able to lead, he won't be replaced and his faults will be found❤️👍</t>
  </si>
  <si>
    <t>So ein Dorfvorsteher ist lebenstauglich, solange er führen kann, wird er nicht ersetzt und seine Fehler werden gefunden❤️👍</t>
  </si>
  <si>
    <t>putra_banggai070783</t>
  </si>
  <si>
    <t>@sandhy_primadana12 betul, terkadang yg mencari kesalahan itu adalah lawan politiknya.</t>
  </si>
  <si>
    <t>@sandhy_primadana12 is right, sometimes those who find fault are political opponents.</t>
  </si>
  <si>
    <t>@sandhy_primadana12 hat recht, manchmal sind diejenigen, die etwas auszusetzen haben, politische Gegner.</t>
  </si>
  <si>
    <t>@putra_banggai070783 yaa, tp sebagai msyarakat sbenarnya harus cerdas memilih pemimpin yg mana yg mampu memimpin dan mampu mensejahterakan rakyat.</t>
  </si>
  <si>
    <t>@putra_banggai070783 Yes, but as a society we actually have to be smart in choosing which leaders are capable of leading and able to improve the welfare of the people.</t>
  </si>
  <si>
    <t>@putra_banggai070783 Ja, aber als Gesellschaft müssen wir tatsächlich klug auswählen, welche Führungskräfte in der Lage sind, das Wohlergehen der Menschen zu führen und zu verbessern.</t>
  </si>
  <si>
    <t>burger_inggris</t>
  </si>
  <si>
    <t>Cocok jadi presiden. Dana BUMN nnt bisa untuk rakyat Indonesia 😂</t>
  </si>
  <si>
    <t>Suitable to be president. BUMN funds will be available for the Indonesian people 😂</t>
  </si>
  <si>
    <t>Geeignet, Präsident zu sein. BUMN-Mittel stehen dem indonesischen Volk zur Verfügung 😂</t>
  </si>
  <si>
    <t>rifka_gayatri</t>
  </si>
  <si>
    <t>Keren BUMDES nya 👏👏</t>
  </si>
  <si>
    <t>BUMDES is cool 👏👏</t>
  </si>
  <si>
    <t>BUMDES ist cool 👏👏</t>
  </si>
  <si>
    <t>fitrianihusain_</t>
  </si>
  <si>
    <t>Naini baru!! menyala pak kades 😅❤️‍🔥</t>
  </si>
  <si>
    <t>New Naini!! lit up, village head 😅❤️‍🔥</t>
  </si>
  <si>
    <t>Neue Naini!! angezündet, Dorfvorsteher 😅❤️‍🔥</t>
  </si>
  <si>
    <t>eland_hasyim</t>
  </si>
  <si>
    <t>Menyala pak kadess🔥</t>
  </si>
  <si>
    <t>It's on, Mr. Kadess🔥</t>
  </si>
  <si>
    <t>Es geht los, Herr Kadess🔥</t>
  </si>
  <si>
    <t>tukang_ny1nyir</t>
  </si>
  <si>
    <t>kalau kades di kampung mantanku daerah dolo barat sebelum desa pegunungan, Arah mau ke Kaleke. beh, Dana Desa cuma dia kasih keluarganya semua</t>
  </si>
  <si>
    <t>If the village head in my former village, West Dolo, is before the mountain village, Arah wants to go to Kaleke. Beh, he only gave his family all the Village Funds</t>
  </si>
  <si>
    <t>Wenn der Dorfvorsteher in meinem ehemaligen Dorf West Dolo vor dem Bergdorf liegt, möchte Arah nach Kaleke. Nein, er hat seiner Familie nur das gesamte Dorfgeld gegeben</t>
  </si>
  <si>
    <t>addin_muhammad93</t>
  </si>
  <si>
    <t>🔥🙌👏👏👏</t>
  </si>
  <si>
    <t>pinktoscalova</t>
  </si>
  <si>
    <t>Andai semua bisa spt ini.... 😢</t>
  </si>
  <si>
    <t>If everything could be like this.... 😢</t>
  </si>
  <si>
    <t>Wenn alles so sein könnte.... 😢</t>
  </si>
  <si>
    <t>Kalau kades di kampung mantanku daerah dolo barat, sebelum desa pewunu kalau dari Kota Palu, beh dana desanya atau bantuan pemerintah cman masuk di keluarganya semua, sama orang orang terdekat, baru tidak tepat sasaran dia bilang, ktnya mantanku bnyk yg berhak tapi tidak dapat..</t>
  </si>
  <si>
    <t>If the village head in my ex's village, West Dolo area, before Pewunu village, if he was from Palu City, his village funds or government assistance only went to his family, along with the people closest to him, then he said that he didn't hit the target, he said that many of my ex's were entitled to it but couldn't get it. .</t>
  </si>
  <si>
    <t>Wenn der Dorfvorsteher im Dorf meines Ex, West Dolo, vor dem Dorf Pewunu, wenn er aus der Stadt Palu stammte, seine Dorfgelder oder staatlichen Unterstützungen nur an seine Familie und die Menschen gingen, die ihm am nächsten standen, dann sagte er, dass er das tat Ich habe das Ziel nicht erreicht, er sagte, dass viele meiner Ex einen Anspruch darauf hätten, es aber nicht bekommen könnten. .</t>
  </si>
  <si>
    <t>estiawanemil</t>
  </si>
  <si>
    <t>Contoh kepala desa yg kerja</t>
  </si>
  <si>
    <t>Example of a working village head</t>
  </si>
  <si>
    <t>Beispiel eines arbeitenden Dorfvorstehers</t>
  </si>
  <si>
    <t>@ini.banggai</t>
  </si>
  <si>
    <t>firman.fadillah</t>
  </si>
  <si>
    <t>https://www.instagram.com/p/C5AUR3MLan6/</t>
  </si>
  <si>
    <t>Mending deket aja, pulang kampung dari banggai laut ke jakarta cape banget jiwa raga kami. Eh ini pulkam apa pulkot ya 😂😂</t>
  </si>
  <si>
    <t>It's better to just be close, returning home from Banggai Laut to Jakarta, our bodies and souls are really tired. Eh, is this pulkam or pulkot 😂😂</t>
  </si>
  <si>
    <t>Es ist besser, einfach in der Nähe zu sein. Wenn wir von Banggai Laut nach Jakarta zurückkehren, sind unser Körper und unsere Seele wirklich müde. Äh, ist das Pulkam oder Pulkot 😂😂</t>
  </si>
  <si>
    <t>thry___</t>
  </si>
  <si>
    <t>pulkot🤣</t>
  </si>
  <si>
    <t>iya ya pulkot 😂😂😂</t>
  </si>
  <si>
    <t>yes, pulkot 😂😂😂</t>
  </si>
  <si>
    <t>ja, Pulkot 😂😂😂</t>
  </si>
  <si>
    <t>callher.heyyo</t>
  </si>
  <si>
    <t>wah d jkt jg</t>
  </si>
  <si>
    <t>wow in Jakarta too</t>
  </si>
  <si>
    <t>Wow, auch in Jakarta</t>
  </si>
  <si>
    <t>nov_ellxyz</t>
  </si>
  <si>
    <t>Dimana nih kk</t>
  </si>
  <si>
    <t>Where are you, sis?</t>
  </si>
  <si>
    <t>Wo bist du, Schwester?</t>
  </si>
  <si>
    <t>aintuna10</t>
  </si>
  <si>
    <t>🙋 5 menit smpai 😂</t>
  </si>
  <si>
    <t>🙋 5 minutes until 😂</t>
  </si>
  <si>
    <t>🙋 Noch 5 Minuten bis 😂</t>
  </si>
  <si>
    <t>rosifhaa</t>
  </si>
  <si>
    <t>Bener banget ini😂</t>
  </si>
  <si>
    <t>This is really true😂</t>
  </si>
  <si>
    <t>Das ist wirklich wahr😂</t>
  </si>
  <si>
    <t>iithaa___</t>
  </si>
  <si>
    <t>Tdk berlaku bagi andahhh yahhhh @hawiyah_hanafi 😂</t>
  </si>
  <si>
    <t>Doesn't apply to you yahhhh @hawiyah_hanafi 😂</t>
  </si>
  <si>
    <t>Gilt nicht für dich yahhhh @hawiyah_hanafi 😂</t>
  </si>
  <si>
    <t>hawiyah_hanafi</t>
  </si>
  <si>
    <t>@iithaa___ tdklah😂</t>
  </si>
  <si>
    <t>@iithaa___ nope😂</t>
  </si>
  <si>
    <t>@iithaa___ nein😂</t>
  </si>
  <si>
    <t>@hawiyah_hanafi pengen cuti kerumah mertua tapi ndag tau rumahnya dimana 😢</t>
  </si>
  <si>
    <t>@hawiyah_hanafi wants to go on leave to go to her in-laws' house but doesn't know where her house is 😢</t>
  </si>
  <si>
    <t>@hawiyah_hanafi möchte Urlaub machen, um zum Haus ihrer Schwiegereltern zu fahren, weiß aber nicht, wo ihr Haus ist 😢</t>
  </si>
  <si>
    <t>aghh sudahlah. Rumah mertua masih on proses😂</t>
  </si>
  <si>
    <t>aghh never mind. The in-laws' house is still in progress😂</t>
  </si>
  <si>
    <t>Ach, egal. Das Haus der Schwiegereltern ist noch in Arbeit😂</t>
  </si>
  <si>
    <t>@hawiyah_hanafi dahlah 🫠</t>
  </si>
  <si>
    <t>@hawiyah_hanafi that's it 🫠</t>
  </si>
  <si>
    <t>@hawiyah_hanafi das ist es 🫠</t>
  </si>
  <si>
    <t>anggaputra.mannanta</t>
  </si>
  <si>
    <t>https://www.instagram.com/p/C3K3sL7rNzG/</t>
  </si>
  <si>
    <t>Cuma mau bilang…
SAYA BANGGA SAMA @puttriamallia
Tetap rendah hati dek…
Tunjukan pada indonesia kalo mutiara dikatulistiwa itu ada pada dirimu…
Putri pulo asli kebanggaan sulawesi tengah..
Tetap rendah hati yah..
Dan team nya.. kak @donalnadjil @thrymakeup selamat berjuang…. Kompetisi sebenarnya adalah melawan rasa takut akan kekalahan..
terima kasih sudah menemukan dan menunjukan kalo BANGGAI BERSAUDARA BISA DAN MAMPU…
SULTENG BANGGA PADA KALIAN</t>
  </si>
  <si>
    <t>Just want to say...
I'M PROUD OF @puttriamallia
Stay humble bro...
Show Indonesia that you have the pearl of the equator...
The original Pulo princess, the pride of Central Sulawesi..
Stay humble okay..
And the team... sis @donalnadjil @thrymakeup good luck... The real competition is fighting the fear of defeat.
Thank you for finding and showing that BROTHERS CAN AND ARE ABLE...
SULTENG IS PROUD OF YOU</t>
  </si>
  <si>
    <t>Ich möchte nur sagen, dass...
Ich bin stolz auf @puttriamallia
Bleib bescheiden, Bruder...
Zeigen Sie Indonesien, dass Sie die Perle des Äquators haben ...
Die ursprüngliche Pulo-Prinzessin, der Stolz von Zentral-Sulawesi.
Bleib bescheiden, okay.
Und das Team... Schwester @donalnadjil @thrymakeup viel Glück... Die wahre Konkurrenz besteht im Kampf gegen die Angst vor einer Niederlage.
Vielen Dank, dass Sie herausgefunden und gezeigt haben, dass BRÜDER KÖNNEN UND KÖNNEN...
SULTENG IST STOLZ AUF SIE</t>
  </si>
  <si>
    <t xml:space="preserve">
thry___</t>
  </si>
  <si>
    <t>@anggaputra.mannanta kk angga 🥰🥰</t>
  </si>
  <si>
    <t>@anggaranputra.mannanta sis angga 🥰🥰</t>
  </si>
  <si>
    <t>dellamoidady_</t>
  </si>
  <si>
    <t>Jadi mewek 🥹🥹</t>
  </si>
  <si>
    <t>So mewek 🥹🥹</t>
  </si>
  <si>
    <t>So miau 🥹🥹</t>
  </si>
  <si>
    <t>explorebanggaipageant</t>
  </si>
  <si>
    <t>❤❤our putri😍</t>
  </si>
  <si>
    <t>❤❤our princess😍</t>
  </si>
  <si>
    <t>❤❤unsere Prinzessin😍</t>
  </si>
  <si>
    <t>endasulastri__</t>
  </si>
  <si>
    <t>musdalifahrasyid89</t>
  </si>
  <si>
    <t>wiafzah.r</t>
  </si>
  <si>
    <t>Semangat cantik☺️</t>
  </si>
  <si>
    <t>Beautiful spirit☺️</t>
  </si>
  <si>
    <t>Wunderschöner Geist☺️</t>
  </si>
  <si>
    <t>ckusumanarwasti</t>
  </si>
  <si>
    <t>🔥🔥🔥🔥🔥🔥</t>
  </si>
  <si>
    <t>❤️‍🔥❤️‍🔥</t>
  </si>
  <si>
    <t>achmadfiqriamrulloh</t>
  </si>
  <si>
    <t>@officialputeriindonesia @angkasamega @januarcees @kelanalimster @farhanariswari .. Keren bnget pi sulteng... Tahun depan usahakan pilih yg bener2 asli Puteri daerah seperti ini karena tahu persis kondisi Provinsi nya... Semngat... YPI and team 🔥🔥🔥</t>
  </si>
  <si>
    <t>@officialputeriindonesia @angkasamega @januarcees @kelanalimster @farhanariswari .. So cool in Central Sulawesi... Next year try to choose a real regional Puteri like this because you know exactly the condition of the Province... Cheers... YPI and team 🔥🔥🔥</t>
  </si>
  <si>
    <t>@officialputeriindonesia @angkasamega @januarcees @kelanalimster @farhanariswari .. So cool in Zentral-Sulawesi... Versuchen Sie nächstes Jahr, einen echten regionalen Puteri wie diesen auszuwählen, weil Sie den Zustand der Provinz genau kennen... Prost... YPI und Team 🔥🔥🔥</t>
  </si>
  <si>
    <t>dedy_adriyan02</t>
  </si>
  <si>
    <t>Pak @prabowo @prabowo.gibran2 @gibran_rakabuming. Kalau naik jgn lupa ya pak untuk tempat ini sapatau bisa d bantu untuk rumah program rumah terapung</t>
  </si>
  <si>
    <t>Sir @prabowo @prabowo.gibran2 @gibran_rakabuming. If you go up, don't forget, sir, for this place you can help with the floating house program</t>
  </si>
  <si>
    <t>Sir @prabowo @prabowo.gibran2 @gibran_rakabuming. Wenn Sie nach oben gehen, vergessen Sie nicht, Sir, dass Sie für diesen Ort beim Floating-House-Programm helfen können</t>
  </si>
  <si>
    <t>ichsandahcoow</t>
  </si>
  <si>
    <t>https://www.instagram.com/p/C2yThLZy_74/</t>
  </si>
  <si>
    <t>Terimakasih abangabang🙏🏾</t>
  </si>
  <si>
    <t>Thank you brother🙏🏾</t>
  </si>
  <si>
    <t>Danke Bruder🙏🏾</t>
  </si>
  <si>
    <t>roeang.kelana</t>
  </si>
  <si>
    <t>@ichsandahcoow aamiin.. gaskeun</t>
  </si>
  <si>
    <t>@ichsandahcoow amen.. gaskeun</t>
  </si>
  <si>
    <t>arik_effendy</t>
  </si>
  <si>
    <t>@ichsandahcoow Batu lobang belum nih.. Yuk diulang... 🥰🥰</t>
  </si>
  <si>
    <t>@ichsandahcoow Not yet in the hole.. Let's do it again... 🥰🥰</t>
  </si>
  <si>
    <t>@ichsandahcoow Noch nicht im Loch.. Lass es uns noch einmal machen... 🥰🥰</t>
  </si>
  <si>
    <t>@arik_effendy otw🚤</t>
  </si>
  <si>
    <t>@arik_effendy otewe🚤</t>
  </si>
  <si>
    <t>sineboy.art</t>
  </si>
  <si>
    <t>😍🔥🔥🔥 wajib diulang ini</t>
  </si>
  <si>
    <t>😍🔥🔥🔥 this must be repeated</t>
  </si>
  <si>
    <t>😍🔥🔥🔥 das muss wiederholt werden</t>
  </si>
  <si>
    <t>@sineboy.art jangan ke hapus lagi ya om footage nya 🙃</t>
  </si>
  <si>
    <t>@sineboy.art don't delete the footage again, bro 🙃</t>
  </si>
  <si>
    <t>@sineboy.art lösche das Filmmaterial nicht noch einmal, Bruder 🙃</t>
  </si>
  <si>
    <t>@roeang.kelana 🤣🤣🤣</t>
  </si>
  <si>
    <t>@sineboy.art awas ke takedown lagi ntar wkwkw</t>
  </si>
  <si>
    <t>@sineboy.art watch out for another takedown later hahaha</t>
  </si>
  <si>
    <t>@sineboy.art Vorsicht vor einem weiteren Takedown später, hahaha</t>
  </si>
  <si>
    <t>@sineboy.art waduhh ga bahaya ta 😬</t>
  </si>
  <si>
    <t>@sineboy.art wow, it's not dangerous 😬</t>
  </si>
  <si>
    <t>@sineboy.art wow, es ist nicht gefährlich 😬</t>
  </si>
  <si>
    <t>4rya_16</t>
  </si>
  <si>
    <t>Wajib bawa air klu ksni😅</t>
  </si>
  <si>
    <t>You have to bring water here😅</t>
  </si>
  <si>
    <t>Hier muss man Wasser mitbringen😅</t>
  </si>
  <si>
    <t>@4rya_16 👍🏼👍🏼</t>
  </si>
  <si>
    <t>@roeang.kelana Tinggal kenangan😢</t>
  </si>
  <si>
    <t>@roeang.kelana Just memories😢</t>
  </si>
  <si>
    <t>@roeang.kelana Nur Erinnerungen😢</t>
  </si>
  <si>
    <t>dk_wck</t>
  </si>
  <si>
    <t>@dk_wck ayoo cepet balikkkkk sini 😬</t>
  </si>
  <si>
    <t>@dk_wck come on, come back here quickly 😬</t>
  </si>
  <si>
    <t>@dk_wck komm, komm schnell hierher zurück 😬</t>
  </si>
  <si>
    <t>takashi_friedchicken</t>
  </si>
  <si>
    <t>Adakah ajakan tanpa wacana😭😭</t>
  </si>
  <si>
    <t>Is there an invitation without discourse😭😭</t>
  </si>
  <si>
    <t>Gibt es eine Einladung ohne Diskurs😭😭</t>
  </si>
  <si>
    <t>elchia_chici</t>
  </si>
  <si>
    <t>Kereeeen</t>
  </si>
  <si>
    <t>Kereeen</t>
  </si>
  <si>
    <t>exploreindonesia</t>
  </si>
  <si>
    <t>Exploring Indonesia is always a good idea! #ExploreIndonesia 🇲🇨</t>
  </si>
  <si>
    <t>Indonesien zu erkunden ist immer eine gute Idee! #ExploreIndonesia 🇲🇨</t>
  </si>
  <si>
    <t>@exploreindonesia 📍🇮🇩 too beautiful</t>
  </si>
  <si>
    <t>@exploreindonesia 📍🇮🇩 zu schön</t>
  </si>
  <si>
    <t>@roeang.kelana yook bareng 🤭</t>
  </si>
  <si>
    <t>@roeang.kelana let's go together 🤭</t>
  </si>
  <si>
    <t>@roeang.kelana lass uns zusammen gehen 🤭</t>
  </si>
  <si>
    <t>vhytaadam</t>
  </si>
  <si>
    <t>https://www.instagram.com/p/C2hPgfEyYbg/</t>
  </si>
  <si>
    <t>😊</t>
  </si>
  <si>
    <t>@vhytaadam cieeee sampe merah pipinya @dk_wck @willy_photograph @syidiqabubakar , BODO AMAAAT 🤣</t>
  </si>
  <si>
    <t>@vhytaadam cieeee until her cheeks are red @dk_wck @willy_photograph @syidiqabubakar , AMAAAT STUPID 🤣</t>
  </si>
  <si>
    <t>@vhytaadam cieeee bis ihre Wangen rot sind @dk_wck @willy_photograph @syidiqabubakar , AMAAAT DUMM 🤣</t>
  </si>
  <si>
    <t>@sineboy.art masih terngiang ngiang do amaaat</t>
  </si>
  <si>
    <t>@sineboy.art is still ringing in my hearts</t>
  </si>
  <si>
    <t>@sineboy.art klingt immer noch in meinen Herzen</t>
  </si>
  <si>
    <t>syidiqabubakar</t>
  </si>
  <si>
    <t>@sineboy.art skrng d ruangannya lagi senyum” sndiri kayanya</t>
  </si>
  <si>
    <t>@sineboy.art now in the room he's smiling, he seems to be alone</t>
  </si>
  <si>
    <t>@sineboy.art jetzt im Raum lächelt er, er scheint allein zu sein</t>
  </si>
  <si>
    <t>@vhytaadam aww aww awwww merinding ehkk</t>
  </si>
  <si>
    <t>@vhytaadam aww aww awwww I'm getting goosebumps ehkk</t>
  </si>
  <si>
    <t>@vhytaadam aww aww awwww ich bekomme eine Gänsehaut, ehkk</t>
  </si>
  <si>
    <t>@vhytaadam do amat ini, Bodo amat apa Valdo amat? Wkwkwk</t>
  </si>
  <si>
    <t>@vhytaadam do you really do this, do you really stupid or Valdo really? Hahaha</t>
  </si>
  <si>
    <t>@vhytaadam machst du das wirklich, bist du wirklich dumm oder Valdo wirklich? hahaha</t>
  </si>
  <si>
    <t>ra_fitry</t>
  </si>
  <si>
    <t>@vhytaadam Nekat kooomeenn di lapak ini 😂</t>
  </si>
  <si>
    <t>@vhytaadam Reckless kooomeenn at this stall 😂</t>
  </si>
  <si>
    <t>@vhytaadam Reckless kooomeenn an diesem Stand 😂</t>
  </si>
  <si>
    <t>hendrahermawan49</t>
  </si>
  <si>
    <t>@sineboy.art si dodo amat kyk nya gus</t>
  </si>
  <si>
    <t>@sineboy.art the dodo really looks like that</t>
  </si>
  <si>
    <t>@sineboy.art der Dodo sieht wirklich so aus</t>
  </si>
  <si>
    <t>@vhytaadam ibih so jago berenang e</t>
  </si>
  <si>
    <t>@vhytaadam ibih so good at swimming e</t>
  </si>
  <si>
    <t>@vhytaadam ibih so gut im Schwimmen e</t>
  </si>
  <si>
    <t>allandferdinand</t>
  </si>
  <si>
    <t>Ini dalamnya sekitar berapa meter?</t>
  </si>
  <si>
    <t>How many meters deep is this?</t>
  </si>
  <si>
    <t>Wie viele Meter tief ist das?</t>
  </si>
  <si>
    <t>@allandferdinand ,, paling dalem kemarin berapa meter kira kira om @sineboy.art ?</t>
  </si>
  <si>
    <t>@allandferdinand, how many meters was there yesterday, uncle @sineboy.art?</t>
  </si>
  <si>
    <t>@allandferdinand, wie viele Meter waren es gestern, Onkel @sineboy.art?</t>
  </si>
  <si>
    <t>@roeang.kelana 2 meteran kayanya bang, kalo gak 2m ya 2km lah kira2 🤣</t>
  </si>
  <si>
    <t>@roeang.kelana looks like 2 meters, bro, if not 2m, maybe 2km 🤣</t>
  </si>
  <si>
    <t>@roeang.kelana sieht aus wie 2 Meter, Bruder, wenn nicht 2 m, dann vielleicht 2 km 🤣</t>
  </si>
  <si>
    <t>Yooo’ bisa yooo’ bisa balik</t>
  </si>
  <si>
    <t>Yooo' can yooo' can come back</t>
  </si>
  <si>
    <t>Yooo kann yooo kann zurückkommen</t>
  </si>
  <si>
    <t>@ra_fitry km kangen sama valdo ya?😂</t>
  </si>
  <si>
    <t>@ra_fitry do you miss Valdo? 😂</t>
  </si>
  <si>
    <t>@ra_fitry vermisst du Valdo? 😂</t>
  </si>
  <si>
    <t>hens4m</t>
  </si>
  <si>
    <t>Seindah ituu😍</t>
  </si>
  <si>
    <t>It's that beautiful😍</t>
  </si>
  <si>
    <t>Es ist so schön😍</t>
  </si>
  <si>
    <t>@hens4m hayu kang.. kudu kadieuu</t>
  </si>
  <si>
    <t>@hens4m come on bro.. kudu kadieuu</t>
  </si>
  <si>
    <t>@hens4m komm schon, Kudu kadieuu</t>
  </si>
  <si>
    <t>nanang_nah</t>
  </si>
  <si>
    <t>Cakep landscape nya, next hrs kesini</t>
  </si>
  <si>
    <t>The landscape is beautiful, next time you have to come here</t>
  </si>
  <si>
    <t>Die Landschaft ist wunderschön, das nächste Mal müssen Sie hierher kommen</t>
  </si>
  <si>
    <t>adultamar</t>
  </si>
  <si>
    <t>Surga tersembunyi 😍😍😍😍</t>
  </si>
  <si>
    <t>Hidden paradise 😍😍😍😍</t>
  </si>
  <si>
    <t>Verstecktes Paradies 😍😍😍😍</t>
  </si>
  <si>
    <t>@adultamar betul sekali om</t>
  </si>
  <si>
    <t>@adultamar that's right, uncle</t>
  </si>
  <si>
    <t>@adultamar das stimmt, Onkel</t>
  </si>
  <si>
    <t>willy_photograph</t>
  </si>
  <si>
    <t>Do baliiik doooooo</t>
  </si>
  <si>
    <t>Come back dooooo</t>
  </si>
  <si>
    <t>Komm zurück, dooooo</t>
  </si>
  <si>
    <t>@willy_photograph lusaaaa nya bah 😅</t>
  </si>
  <si>
    <t>@willy_photograph the day after tomorrow eh 😅</t>
  </si>
  <si>
    <t>@willy_photograph übermorgen eh 😅</t>
  </si>
  <si>
    <t>mgil_601</t>
  </si>
  <si>
    <t>Sejam setengah Dari rumah, tpi seumur umur Blum pernah ksana😂</t>
  </si>
  <si>
    <t>An hour and a half from home, but I've never been there in my life😂</t>
  </si>
  <si>
    <t>Anderthalb Stunden von zu Hause entfernt, aber ich war noch nie in meinem Leben dort😂</t>
  </si>
  <si>
    <t>🥲, ga tau mau komen apa</t>
  </si>
  <si>
    <t>🥲, I don't know what to comment</t>
  </si>
  <si>
    <t>🥲, ich weiß nicht, was ich kommentieren soll</t>
  </si>
  <si>
    <t>Balik cuk ke luwuk, klo sdh balik, Nanti aku yg balik kerumah.</t>
  </si>
  <si>
    <t>Go back to Luwuk, when you're back, I'll be the one to go back home.</t>
  </si>
  <si>
    <t>Geh zurück nach Luwuk. Wenn du zurück bist, werde ich derjenige sein, der nach Hause zurückkehrt.</t>
  </si>
  <si>
    <t>@hendrahermawan49 ahhh malass sudah wkkwk</t>
  </si>
  <si>
    <t>@hendrahermawan49 ahhh I'm lazy hahaha</t>
  </si>
  <si>
    <t>@hendrahermawan49 ahhh, ich bin faul, hahaha</t>
  </si>
  <si>
    <t>Ayokk dooo....</t>
  </si>
  <si>
    <t>Come on dooo....</t>
  </si>
  <si>
    <t>Komm schon....</t>
  </si>
  <si>
    <t>@dk_wck gas keunn</t>
  </si>
  <si>
    <t>@dk_wck Gas Keunn</t>
  </si>
  <si>
    <t>agilpass</t>
  </si>
  <si>
    <t>🔥🔥🔥 ngga ada lawan😂</t>
  </si>
  <si>
    <t>🔥🔥🔥 there is no opponent😂</t>
  </si>
  <si>
    <t>🔥🔥🔥es gibt keinen Gegner😂</t>
  </si>
  <si>
    <t>rotibrowniesluwuk</t>
  </si>
  <si>
    <t>Kereeeen ❤️</t>
  </si>
  <si>
    <t xml:space="preserve">coconude___
</t>
  </si>
  <si>
    <t>https://www.instagram.com/p/C2cSJSnyrmM/</t>
  </si>
  <si>
    <t>Part 2 deal or no deal?</t>
  </si>
  <si>
    <t>Teil 2 Deal oder kein Deal?</t>
  </si>
  <si>
    <t>@coconude___ deal😄🫶🏻</t>
  </si>
  <si>
    <t>@coconude___ Deal😄🫶🏻</t>
  </si>
  <si>
    <t>Harus balik lagi 😁😁😁</t>
  </si>
  <si>
    <t>Have to come back again 😁😁😁</t>
  </si>
  <si>
    <t>Muss wiederkommen 😁😁😁</t>
  </si>
  <si>
    <t>@ckusumanarwasti haruss😎</t>
  </si>
  <si>
    <t>@ckusumanarwasti must😎</t>
  </si>
  <si>
    <t>@ckusumanarwasti muss😎</t>
  </si>
  <si>
    <t>azniarmc</t>
  </si>
  <si>
    <t>@azniarmc ❤️❤️</t>
  </si>
  <si>
    <t>@azniarc ❤️❤️</t>
  </si>
  <si>
    <t>mentariclara_</t>
  </si>
  <si>
    <t>@mentariclara_ next time kita kesini y🥰</t>
  </si>
  <si>
    <t>@mentariclara_ next time we'll come here y🥰</t>
  </si>
  <si>
    <t>@mentariclara_ nächstes Mal kommen wir hierher, y🥰</t>
  </si>
  <si>
    <t>sentiment</t>
  </si>
  <si>
    <t>en-de-id_text</t>
  </si>
  <si>
    <t>netral</t>
  </si>
  <si>
    <t>Maaf atas ketidaknyamanan ini 🙏</t>
  </si>
  <si>
    <t>negatif</t>
  </si>
  <si>
    <t>Milikmu rusak, parah sekali hingga panas di rumahmu hilang saat fajar.</t>
  </si>
  <si>
    <t>Yours is broken, it's so bad that the heat in your house goes away at dawn.</t>
  </si>
  <si>
    <t>Memang benar Mo tetap mati lalu nanti di bulan puasa baru kamu melakukan Luwuk Tedek pasti banyak yang mati, apalagi kalau mau buka, mumpung buka, pas sebelum Sahur, setelah Sahur, barulah kamu jadi banyak yang beralasan, ada gangguan, tede laya', kamu TERLAMBAT BAYAR, KAMU MATI JADI BAYAR SESUAI INGIN, BAKASE MATI, alhamdulillah di Luwuk luar Sulawesi, kamu melakukan itu setelah kamu di Togor berada</t>
  </si>
  <si>
    <t>It is true that Mo remains dead and then later in the new fasting month you do Luwuk Tedek, you will be dead a lot, especially when you are about to open, while you are open, just before Sahur, after Sahur, then you will be many have excuses, there is a disruption, tede laya', you are LATE TO PAY, YOU'RE DEAD SO PAY AS YOU WANT, BAKASE DEAD, thank God in Luwuk is outside Sulawesi, you did that after you in Togor were</t>
  </si>
  <si>
    <t>@jasaplnluwuk mau berbuka puasa, mati lampu🙈🙈🙈🙈🙄🙄🙄 apa kabar...selama ramadhan (SDH), mati lampu lebih dari 10 kali</t>
  </si>
  <si>
    <t>@jasaplnluwuk is about to break the fast, the lights are out🙈🙈🙈🙈🙄🙄🙄 what's going on...During Ramadan (SDH), the lights went out more than 10 times</t>
  </si>
  <si>
    <t>Aduh..</t>
  </si>
  <si>
    <t>positif</t>
  </si>
  <si>
    <t>Lebih disukai</t>
  </si>
  <si>
    <t>Preferably</t>
  </si>
  <si>
    <t>@jasaplnluwuk Min...kalau bisa update juga kondisi di lokasi setiap ada pemadaman listrik...Giliran anda yang urus tagihan PLN dan dendanya lalu update</t>
  </si>
  <si>
    <t>@jasaplnluwuk Min... if possible, also update the conditions on site every time there is a power outage... It's your turn to take care of PLN bills and penalties and then update</t>
  </si>
  <si>
    <t>@budhy_kaget Oke pak, kami juga akan terus update terkait pemadaman tersebut. Terima kasih atas kontribusi Anda 🙏</t>
  </si>
  <si>
    <t>@budhy_kaget OK sir, we will also keep updated regarding the outage. Thank you for your contribution 🙏</t>
  </si>
  <si>
    <t>Terima kasih atas informasinya 🙏🏻</t>
  </si>
  <si>
    <t>Thank you for the information 🙏🏻</t>
  </si>
  <si>
    <t>Menyelesaikan. Terimakasih atas infonya</t>
  </si>
  <si>
    <t>Complete. Thanks for the info</t>
  </si>
  <si>
    <t>Saya ingin bertanya: Apakah pendaftaran pasangan baru secara online memakan waktu lebih lama dibandingkan menghubungi orang atau kantor ulp terdekat? Saya mendaftar online sebelum perintah kerja diproses, sedangkan secara langsung diproses dalam sehari? Terima kasih min... @plnsuluttenggo @pln_id</t>
  </si>
  <si>
    <t>I would like to ask: Does online registration for new couples take longer than contacting a person or the nearest ulp office? I registered online before the work order was processed, while in person it was processed within a day? Thanks min... @plnsuluttenggo @pln_id</t>
  </si>
  <si>
    <t>HEI SOBATCOM!
Ini adalah salah satu tempat wisata paling populer di kabupaten ini. BANGGAI “PANTAI KILO 5” KABUPATEN LUWUK SELATAN.
#Pemerintah Kabupaten
#wonderfulbanggai</t>
  </si>
  <si>
    <t>HEY SOBATCOM!
This is one of the most popular tourist spots in the regency. BANGGAI “KILO 5 BEACH” SOUTH LUWUK DISTRICT.
#DistrictGovernment
#wonderfulbanggai</t>
  </si>
  <si>
    <t>Luar biasa bisa dibanggakan akan hal itu🔥</t>
  </si>
  <si>
    <t>Wonderful to be proud of that🔥</t>
  </si>
  <si>
    <t>Keren😍😍😍</t>
  </si>
  <si>
    <t>Terangi kotaku 🔥🔥🔥❤️❤️</t>
  </si>
  <si>
    <t>pos</t>
  </si>
  <si>
    <t>net</t>
  </si>
  <si>
    <t>neg</t>
  </si>
  <si>
    <t>menyala🔥</t>
  </si>
  <si>
    <t>LEBIH DISUKAI!! 👏🏻😍🔥</t>
  </si>
  <si>
    <t>PREFERABLY!! 👏🏻😍🔥</t>
  </si>
  <si>
    <t>EXPLODE🔥</t>
  </si>
  <si>
    <t>HEBAT🔥🔥</t>
  </si>
  <si>
    <t>Keren😍🔥🔥</t>
  </si>
  <si>
    <t>Dingin</t>
  </si>
  <si>
    <t>Semoga Husnul Khatimah</t>
  </si>
  <si>
    <t>Hopefully Husnul Khatimah</t>
  </si>
  <si>
    <t>Belasungkawa</t>
  </si>
  <si>
    <t>Innalillaahi wainna ilaihi Rooji'uun
Semoga amalnya diterima, dosanya diampuni, kuburnya diluaskan, dan keluarga yang ditinggalkannya selalu ikhlas dan tabah.
Amin!</t>
  </si>
  <si>
    <t>Innalillaahi wainna ilaihi Rooji'uun
Hopefully his services will be accepted, his sins forgiven, his grave expanded, and the family he leaves behind will always be sincere and steadfast.
Amen!</t>
  </si>
  <si>
    <t>Saya ikut berbela sungkawa 🙏🏻</t>
  </si>
  <si>
    <t>Mohon terima belasungkawa saya</t>
  </si>
  <si>
    <t>Yang penting kamu mengetahuinya</t>
  </si>
  <si>
    <t>What's important is that you know</t>
  </si>
  <si>
    <t>Kereeeen 😍😍😍</t>
  </si>
  <si>
    <t>Apakah ini dana perwalian untuk semua anak Anda?</t>
  </si>
  <si>
    <t>Is this a trust fund for all your children?</t>
  </si>
  <si>
    <t>kau punya aktoorr @chelssyaoktaviana_ @balbal_bal97 😍😍🔥🔥</t>
  </si>
  <si>
    <t>Anda memiliki aktor @chelssyaoktaviana_ @balbal_bal97 😍😍🔥🔥</t>
  </si>
  <si>
    <t>You have an actor @chelssyaoktaviana_ @balbal_bal97 😍😍🔥🔥</t>
  </si>
  <si>
    <t>@chelssyaoktaviana_ memey jn worth to camera yaaa🤣😭</t>
  </si>
  <si>
    <t>@chelssyaoktaviana_ memey jn is worth the camera, yaaa🤣😭</t>
  </si>
  <si>
    <t>@aldilaniada_ virus yang susah dihilangkan ehh😭</t>
  </si>
  <si>
    <t>@aldilaniada_ viruses that are difficult to remove, ehh😭</t>
  </si>
  <si>
    <t>Keren🔥🔥</t>
  </si>
  <si>
    <t>Ini mode kepercayaan, @reksarindra 😂</t>
  </si>
  <si>
    <t>Bagus 🔥🔥</t>
  </si>
  <si>
    <t>Senang untuk dihidupkan🔥🔥</t>
  </si>
  <si>
    <t>Great to turn on🔥🔥</t>
  </si>
  <si>
    <t>Sial, aku hampir sedih melihatmu disemangati 😂</t>
  </si>
  <si>
    <t>Damn, I'm almost sad to see you getting cheered on 😂</t>
  </si>
  <si>
    <t>Kasihan😢</t>
  </si>
  <si>
    <t>@ddhryntoo Gan, itu dia gan</t>
  </si>
  <si>
    <t>@ddhryntoo Bro, that's it bro</t>
  </si>
  <si>
    <t>@ddhryntoo Huss jangan seperti itu gan 😂</t>
  </si>
  <si>
    <t>@ddhryntoo Huss don't be like that bro 😂</t>
  </si>
  <si>
    <t>@ddhryntoo belum mengembalikan modalnya, malangnya</t>
  </si>
  <si>
    <t>Kasihan, saya bayar mahal malah jual sawah atau kebun saya 😢</t>
  </si>
  <si>
    <t>@aguriawankm_97 Mahkotamu adalah raja 👑 masih dikemas di JNE Bonebula 😂</t>
  </si>
  <si>
    <t>@aguriawankm_97 Your crown is king 👑 still packed at JNE Bonebula 😂</t>
  </si>
  <si>
    <t>@aguriawankm_97 Itu sudah resiko. Jangan biarkan pihak berwenang melakukan apa yang mereka inginkan. Saya dipecat, jadi saya tahu bagaimana rasanya.</t>
  </si>
  <si>
    <t>@aguriawankm_97 That's already a risk. Don't let the authorities do what they want. I was fired, so I know how it feels.</t>
  </si>
  <si>
    <t>@aguriawankm_97 Siapa suruh makan uang haram?</t>
  </si>
  <si>
    <t>@aguriawankm_97 Who told you to eat haram money?</t>
  </si>
  <si>
    <t>Mengapa para pejabat tidak melakukan hal yang sama? Banyak PNS yang tidak bisa bekerja. Saya baru saja tiba di Warkop. Orang seperti itu sebaiknya dipecat saja. Mengapa menabung karena kasihan? Penggantinya oleh PNS muda yang masih mampu mengikuti pelatihan</t>
  </si>
  <si>
    <t>Why don't officials do the same? Many civil servants cannot work. I just arrived at the Warkop. People like that should just be fired. Why save out of pity? Replacement by young civil servants who are still capable of training</t>
  </si>
  <si>
    <t>@kodoka.5655 Tak semudah itu bagi ASN, Kak. Hal ini diatur dalam peraturan yang ada. Alhamdulillah di tempat kerja saya tidak ada ASN yang hanya muncul di kedai kopi.</t>
  </si>
  <si>
    <t>@kodoka.5655 It's not that easy for ASN, sister. This is set out in the existing regulations. Thank God my workplace doesn't have ASNs that just show up at the coffee shop.</t>
  </si>
  <si>
    <t>ASN @utami_fitriyah biasanya dibuang di kecamatan. Dia semakin banyak berada di desa. Oleh karena itu, pelayanan kelurahan selalu dikeluhkan, padahal kelurahanlah yang paling peduli dengan masyarakat. Sebaiknya kau segera memecatnya, tidak perlu membuangnya. Karena kini lebih mudah memberhentikan ASN, nilai SKP yang rendah bisa menjadi alasan pemecatan. Jika Anda tidak muncul selama beberapa hari, Anda mungkin dipecat. Memang benar pimpinan tidak menginginkan hal itu karena memalukan. Aku hanya mondar-mandir dan tidak mempunyai pekerjaan apa-apa, namun saat sampai penilaian SKP aku tetap mendapat nilai bagus</t>
  </si>
  <si>
    <t>@utami_fitriyah ASN is usually dumped in the sub-district. He is increasingly in the village. For this reason, sub-district services are always complained about, even though the sub-district is the one that is most concerned with the community. You should just fire him immediately, there's no need to throw him away. Since it is now easier to dismiss ASN, a low SKP score can be a reason for dismissal. If you don't show up for a few days, you may be fired. It's true that the leadership doesn't want that because it's a shame. I was just hanging around and didn't have any work, but when I got to the SKP assessment I kept getting good grades</t>
  </si>
  <si>
    <t>@kodoka.5655 Untung saya bukan ASN pemerintah daerah atau provinsi, jadi tidak ada tandingannya. Kalau malas, langsung saja ke daerah terpencil, seperti Pegunungan Jayawijaya.</t>
  </si>
  <si>
    <t>@kodoka.5655 Luckily I'm not a local or provincial government ASN, so there's nothing comparable. If you're lazy, head straight to remote areas, such as the Jayawijaya Mountains.</t>
  </si>
  <si>
    <t>Sayang sekali pembayaran cicilannya seperti itu</t>
  </si>
  <si>
    <t>It's a shame that the installment payments are like that</t>
  </si>
  <si>
    <t>@multazamst kalian dari leasing, bank atau balai lelang😂</t>
  </si>
  <si>
    <t>SULTENG POLDA JADI LEBIH BERANI🔥🔥🔥</t>
  </si>
  <si>
    <t>SULTENG POLDA BECOMES braver🔥🔥🔥</t>
  </si>
  <si>
    <t>@andreasrevanth saya mendukung keberaniannya👏👏👏👏</t>
  </si>
  <si>
    <t>Bersih alhamdulillah... Saya mempunyai teman-teman yang aktif di kepolisian, mereka adalah orang-orang yang baik dan alim. Mudah-mudahan mereka menjadi teladan di masyarakat.</t>
  </si>
  <si>
    <t>Tidak ada alasan untuk dipecat. Baru pindah ke Papua untuk kerja tapi adu jotos dengan KKB😂😂</t>
  </si>
  <si>
    <t>There is no reason to be fired. I just moved to Papua for work but got into a fistfight with KKB😂😂</t>
  </si>
  <si>
    <t>Pelanggaran yang pertama menjadi alasan mengapa narkoba masih ada dimana-mana di Sulteng 😂</t>
  </si>
  <si>
    <t>The first violation is the reason why drugs are still everywhere in Central Sulawesi 😂</t>
  </si>
  <si>
    <t>Orang, halo Pak</t>
  </si>
  <si>
    <t>Person, hello sir</t>
  </si>
  <si>
    <t>@crn.morinnnn itu benar</t>
  </si>
  <si>
    <t>@crn.morinnnn that's true</t>
  </si>
  <si>
    <t>Komandan Taj😂</t>
  </si>
  <si>
    <t>Taja Commander😂</t>
  </si>
  <si>
    <t>@sultanalbaa sepenuhnya setuju</t>
  </si>
  <si>
    <t>@sultanalbaa completely agrees</t>
  </si>
  <si>
    <t>Baguslah, semoga kedepannya Polri lebih baik lagi.. semoga begitu juga dengan ASN, apalagi ASN P3K yang pemalas.. Senang ada daftar namanya ya?</t>
  </si>
  <si>
    <t>That's good, hopefully the National Police will be better in the future... hopefully the same goes for ASN, especially the lazy P3K ASN... I'm glad there's a list of names, right?</t>
  </si>
  <si>
    <t>Alhamdulillah saya sebagai aktivis mahasiswa asal Bangkep mengucapkan banyak terima kasih</t>
  </si>
  <si>
    <t>Alhamdulillah, as a student activist from Bangkep, I would like to thank you very much</t>
  </si>
  <si>
    <t>Salah satu yang dipecat 👉 @zaliakbrr</t>
  </si>
  <si>
    <t>One of the ones who got fired 👉 @zaliakbrr</t>
  </si>
  <si>
    <t>ehhhh, tidak sopan saja memecatnya, beri sanksi saja huu</t>
  </si>
  <si>
    <t>ehhhh, it's just disrespectful to fire him, just give him sanctions, huu</t>
  </si>
  <si>
    <t>Secara pribadi, menurut saya itu benar. Sehingga tidak ada lagi aturan yang memang ada maksudnya untuk dilanggar. Ada orang yang tidak menyesal menghabiskan banyak uang. Hmm, seharusnya Anda sudah berpikir panjang dan matang seperti apa dampaknya. Kerugian yang mereka derita adalah akibat perbuatan mereka sendiri. Salam Polda Sulawesi Tengah. Semoga dengan cara ini Sulteng bisa terbebas dari Narkoba, Pungli dan lainnya 🙏😍</t>
  </si>
  <si>
    <t>Personally, I think that's true. So that there are no more rules that are meant to be broken. There are those who are not sorry for spending a lot of money. Hmm, you should have thought long and hard about what the impact would be. The losses they suffer are the result of their own actions. Greetings to the Central Sulawesi Regional Police. Hopefully, in this way, Central Sulawesi can be free from drugs, extortion and others 🙏😍</t>
  </si>
  <si>
    <t>Saatnya memberantas korupsi dan narkoba🔥🔥🔥</t>
  </si>
  <si>
    <t>32 yang baru terungkap</t>
  </si>
  <si>
    <t>@ikhhwang membuatku semangat kawan 🔥🔥</t>
  </si>
  <si>
    <t>@ikhhwang lit me up bro 🔥🔥</t>
  </si>
  <si>
    <t>Ada yang bilang sayang, ada pula yang bilang bagus.. Jujur saja pimpinannya harus tegas.. tapi ini semua karena aturan yang sama sudah diketahui, jadi pimpinan harus mengatakan hal yang benar.</t>
  </si>
  <si>
    <t>Some say it's a shame, others say it's good... To be honest, the leadership must be tough... but this is all because the same rules are already known, so the leadership must say the right thing</t>
  </si>
  <si>
    <t>Salfok dgn pelanggaran yg disebutkan pertama</t>
  </si>
  <si>
    <t>Salfok mit dem erstgenannten Verstoß</t>
  </si>
  <si>
    <t>Salfok dengan pelanggaran pertama disebutkan</t>
  </si>
  <si>
    <t>Salfok with the first violation mentioned</t>
  </si>
  <si>
    <t>Salfok with the first mentioned violation</t>
  </si>
  <si>
    <t>Fokus yang salah pada pelanggaran yang disebutkan pertama</t>
  </si>
  <si>
    <t>Jika Anda bertingkah berulang kali, itu wajar, namun jika hanya terjadi satu atau dua kali, Anda mungkin masih bisa membicarakannya.</t>
  </si>
  <si>
    <t>If you act out repeatedly, that's normal, but if it only happened once or twice, you might still be able to talk about it.</t>
  </si>
  <si>
    <t>Kalaupun melanggar Kode Etik Polri, bisa ke PTDH, apalagi Kode Etik Mahkamah Konstitusi 😂😂😂😂 hahaha</t>
  </si>
  <si>
    <t>Even if you violate the National Police Code of Ethics, you can turn to the PTDH, let alone the Constitutional Court Code of Ethics 😂😂😂😂 hahaha</t>
  </si>
  <si>
    <t>Siapapun yang sudah melakukan pelanggaran pertama dua kali masih aman</t>
  </si>
  <si>
    <t>Anyone who has already committed the first offense twice is still safe</t>
  </si>
  <si>
    <t>Kenapa kamu dipecat 😢???</t>
  </si>
  <si>
    <t>Why were you fired 😢???</t>
  </si>
  <si>
    <t>Membersihkan petugas polisi yang merupakan pengedar S4bu S4bu masih banyak.</t>
  </si>
  <si>
    <t>Cleaning up police officers who are S4bu S4bu dealers, there are still many.</t>
  </si>
  <si>
    <t>Ini memalukan karena Anda harus menjual segalanya untuk bisa masuk, tapi ini adalah pembangunan kembali yang baik untuk masyarakat</t>
  </si>
  <si>
    <t>It's a shame because you have to sell everything to get in, but this is a good redevelopment for people</t>
  </si>
  <si>
    <t>Karena modal seragam membuatnya senyaman mungkin untuk melindungi perilakumu 😢</t>
  </si>
  <si>
    <t>Because the capital of a uniform makes it as comfortable as possible to protect your behavior 😢</t>
  </si>
  <si>
    <t>Kalimantan, apa kabarmu?</t>
  </si>
  <si>
    <t>Kalimantan, how are you?</t>
  </si>
  <si>
    <t>Bagus sekali. Memelihara, mengembangkan dan menghargai angkatan kepolisian yang baik. Akhiri tindakan polisi buruk yang mempermalukan institusi.</t>
  </si>
  <si>
    <t>Excellent. Maintain, develop and value a good police force. Put an end to the bad police that bring shame to the institution.</t>
  </si>
  <si>
    <t>Bisakah Anda menyebutkan kotanya?</t>
  </si>
  <si>
    <t>Polda Sulteng keren...bangga punya saudara polisi 😁👍</t>
  </si>
  <si>
    <t>The Central Sulawesi Regional Police is cool...proud to have police brothers 😁👍</t>
  </si>
  <si>
    <t>baik dan jelas</t>
  </si>
  <si>
    <t>Kenapa ini?</t>
  </si>
  <si>
    <t>Why this?</t>
  </si>
  <si>
    <t>Banyak yang ingin masuk... Tapi tidak berhasil. Siapa yang lebih berprestasi...</t>
  </si>
  <si>
    <t>Many want to enter... But they don't succeed. Who has achieved more...</t>
  </si>
  <si>
    <t>Ya, itu hanya sebagian saja.</t>
  </si>
  <si>
    <t>Well, that's just part of it.</t>
  </si>
  <si>
    <t>Hebat, inilah orang-orang yang membuat polisi semakin parah. Dipecat saja pak 🙏😇😁.</t>
  </si>
  <si>
    <t>Great, these are the people who made the police even worse. Just get fired sir 🙏😇😁.</t>
  </si>
  <si>
    <t>Susah datang ke lobi kesana kemari "mungkin", setelah selesai dan kerja sia-sia, rugi abang😊</t>
  </si>
  <si>
    <t>It's hard to come to the lobby here and there "maybe", after it's done and the work is in vain, it's a loss brother😊</t>
  </si>
  <si>
    <t>Betapa pentingnya bersyukur</t>
  </si>
  <si>
    <t>How important it is to be grateful</t>
  </si>
  <si>
    <t>Masuk mudah, keluar mudah,</t>
  </si>
  <si>
    <t>Easy entry, easy exit,</t>
  </si>
  <si>
    <t>Kenyataannya adalah: ketika kamu masuk, kamu setengah mati... ketika kamu keluar, kamu setengah gila 😢</t>
  </si>
  <si>
    <t>The truth is: when you go in, you're half dead... when you come out, you're half crazy 😢</t>
  </si>
  <si>
    <t>“diulang” itu tandanya itu karakter, ayo kita kembalikan karakternya!🔥</t>
  </si>
  <si>
    <t>“repeated” is a sign that it’s a character, let’s bring the character back!🔥</t>
  </si>
  <si>
    <t>Setelah dinas, mereka menerima status sipil. Mohon pak, terus diawasi agar tidak melakukan hal-hal yang melanggar hukum di masyarakat 🙏</t>
  </si>
  <si>
    <t>After service, they receive civilian status. Please sir, continue to be monitored so that you do not do anything in society that is against the law 🙏</t>
  </si>
  <si>
    <t>Gerhana saudaraku</t>
  </si>
  <si>
    <t>Eclipse my brother</t>
  </si>
  <si>
    <t>Polda bangkit 🔥👏</t>
  </si>
  <si>
    <t>The regional police rose 🔥👏</t>
  </si>
  <si>
    <t>Termasuk @mprabows dan @wawankarim_ juga bisa dipecat 😂</t>
  </si>
  <si>
    <t>Including @mprabows and @wawankarim_ can also be fired 😂</t>
  </si>
  <si>
    <t>Narkoba mendominasi Sulawesi Tengah</t>
  </si>
  <si>
    <t>Izin share gan🤗</t>
  </si>
  <si>
    <t>Permission to share bro🤗</t>
  </si>
  <si>
    <t>Pemimpin desa yang seperti itu layak hidup, selama dia bisa memimpin, dia tidak akan tergantikan dan kesalahannya akan ditemukan❤️👍</t>
  </si>
  <si>
    <t>Such a village leader is fit for life, as long as he can lead, he will not be replaced and his mistakes will be found❤️👍</t>
  </si>
  <si>
    <t>@sandhy_primadana12 betul, kadang yang mencari-cari kesalahan adalah lawan politik.</t>
  </si>
  <si>
    <t>@putra_banggai070783 Ya, tapi sebagai masyarakat sebenarnya kita perlu bijak dalam memilih pemimpin mana yang mampu memimpin dan meningkatkan kesejahteraan masyarakat.</t>
  </si>
  <si>
    <t>@putra_banggai070783 Yes, but as a society we actually need to choose wisely which leaders are capable of leading and improving people's well-being.</t>
  </si>
  <si>
    <t>Cocok menjadi presiden. Dana BUMN tersedia untuk masyarakat Indonesia 😂</t>
  </si>
  <si>
    <t>Fit to be president. BUMN funds are available to the Indonesian people 😂</t>
  </si>
  <si>
    <t>BUMDESnya keren 👏👏</t>
  </si>
  <si>
    <t>Naini baru!! menyala, kepala desa 😅❤️‍🔥</t>
  </si>
  <si>
    <t>New Naini!! lit, village chief 😅❤️‍🔥</t>
  </si>
  <si>
    <t>Ini dia Pak Kadess🔥</t>
  </si>
  <si>
    <t>Here we go, Mr. Kadess🔥</t>
  </si>
  <si>
    <t>Kalau kepala desa di bekas desa saya Dolo Barat berada di depan desa pegunungan, Arah ingin pergi ke Kaleke. Tidak, dia hanya memberikan seluruh uang desa kepada keluarganya</t>
  </si>
  <si>
    <t>If the village chief in my former village of West Dolo is in front of the mountain village, Arah wants to go to Kaleke. No, he just gave his family all the village money</t>
  </si>
  <si>
    <t>Seandainya semua bisa seperti itu.... 😢</t>
  </si>
  <si>
    <t>If everything could be like that.... 😢</t>
  </si>
  <si>
    <t>Wenn der Dorfvorsteher im Dorf meines Ex, West Dolo, vor dem Dorf Pewunu, wenn er aus der Stadt Palu stammte, seine Dorfgelder oder staatlichen Unterstützungen nur an seine Familie und die Menschen gingen, die ihm am nächsten standen, dann sagte er, dass er das tat Ich habe das Ziel nicht erreicht, er sagte, dass viele meiner Ex einen Anspruch darauf hätten, es aber nicht bekommen könnten.</t>
  </si>
  <si>
    <t>Ketika kepala desa di desa mantan saya, Dolo Barat, sebelum desa Pewunu, jika dia dari kota Palu, dana desanya atau dukungan pemerintah hanya diberikan kepada keluarga dan orang-orang terdekatnya, lalu dia mengatakan bahwa dia melakukan hal tersebut. tidak mencapai tujuan, katanya banyak mantan saya yang berhak tetapi tidak bisa.</t>
  </si>
  <si>
    <t>When the village chief in my ex's village, West Dolo, before Pewunu village, if he was from Palu city, his village funds or government support only went to his family and the people closest to him, then he said that he that did I didn't reach the goal, he said that many of my ex were entitled to it but couldn't get it.</t>
  </si>
  <si>
    <t>Ketika kepala desa di desa mantan saya, Dolo Barat, sebelum desa Pewunu, jika dia dari kota Palu, dana desanya atau dukungan pemerintah hanya diberikan kepada keluarga dan orang-orang terdekatnya, lalu dia mengatakan bahwa dia melakukan hal tersebut. tidak mencapai tujuan, katanya banyak mantan saya yang berhak tetapi tidak bisa. .</t>
  </si>
  <si>
    <t>Contoh pemimpin desa yang bekerja</t>
  </si>
  <si>
    <t>Example of a working village leader</t>
  </si>
  <si>
    <t>Lebih baik berada di dekatnya saja. Pulang ke Jakarta dari Banggai Laut, capek banget jiwa dan raga. Eh itu Pulkam atau Pulkot 😂😂</t>
  </si>
  <si>
    <t>It's better to just be nearby. When we return to Jakarta from Banggai Laut, our body and soul are really tired. Uh, is that Pulkam or Pulkot 😂😂</t>
  </si>
  <si>
    <t>ya, Pulkot 😂😂😂</t>
  </si>
  <si>
    <t>yes, Pulkot 😂😂😂</t>
  </si>
  <si>
    <t>Wah, bahkan di Jakarta</t>
  </si>
  <si>
    <t>Wow, even in Jakarta</t>
  </si>
  <si>
    <t>Dimana kamu, saudari?</t>
  </si>
  <si>
    <t>Where are you, sister?</t>
  </si>
  <si>
    <t>🙋 5 menit lagi sampai 😂</t>
  </si>
  <si>
    <t>🙋 5 minutes left until 😂</t>
  </si>
  <si>
    <t>Ini benar sekali😂</t>
  </si>
  <si>
    <t>Gak berlaku buat kamu yahhhh @hawiyah_hanafi 😂</t>
  </si>
  <si>
    <t>@iithaa___ tidak😂</t>
  </si>
  <si>
    <t>@iithaa___ no😂</t>
  </si>
  <si>
    <t>@hawiyah_hanafi mau liburan ke rumah mertuanya tapi gak tau rumahnya dimana 😢</t>
  </si>
  <si>
    <t>@hawiyah_hanafi wants to go on vacation to go to her in-laws house but don't know where their house is 😢</t>
  </si>
  <si>
    <t>Oh terserah. Rumah mertua masih dalam proses😂</t>
  </si>
  <si>
    <t>Oh whatever. The in-laws' house is still a work in progress😂</t>
  </si>
  <si>
    <t>@hawiyah_hanafi itu dia 🫠</t>
  </si>
  <si>
    <t>Ich möchte nur sagen, dass...
Ich bin stolz auf @puttriamallia
Bleib bescheiden, Bruder...
Zeigen Sie Indonesien, dass Sie die Perle des Äquators haben ...
Die ursprüngliche Pulo-Prinzessin, der Stolz von Zentral-Sulawesi.
Bleib bescheiden, okay.
Und das Team... Schwester @donalnadjil @thrymakeup viel Glück... Die wahre Konkurrenz besteht darin, die Angst vor einer Niederlage zu bekämpfen.
Vielen Dank, dass Sie herausgefunden und gezeigt haben, dass BRÜDER KÖNNEN UND KÖNNEN...
SULTENG IST STOLZ AUF SIE</t>
  </si>
  <si>
    <t>Aku hanya ingin mengatakan itu...
Saya bangga dengan @puttriamallia
Tetap rendah hati, saudara...
Tunjukkan pada Indonesia bahwa kamu mempunyai Mutiara Khatulistiwa...
Putri Pulo asli kebanggaan Sulawesi Tengah.
Tetap rendah hati, oke.
Dan tim... Kak @donalnadjil @thrymakeup semoga sukses... Persaingan sesungguhnya adalah melawan rasa takut akan kekalahan.
Terima kasih sudah mengetahui dan menunjukkan bahwa SAUDARA BISA DAN BISA...
SULTENG BANGGA PADAMU</t>
  </si>
  <si>
    <t>I just want to say that...
I'm proud of @puttriamallia
Stay humble, brother...
Show Indonesia that you have the Pearl of the Equator...
The original Pulo Princess, the pride of Central Sulawesi.
Stay humble, okay.
And the team... Sister @donalnadjil @thrymakeup good luck... The real competition is fighting the fear of defeat.
Thank you for finding out and showing that BROTHERS CAN AND CAN...
SULTENG IS PROUD OF YOU</t>
  </si>
  <si>
    <t>Jadi mengeong 🥹🥹</t>
  </si>
  <si>
    <t>So meow 🥹🥹</t>
  </si>
  <si>
    <t>❤❤putri kami😍</t>
  </si>
  <si>
    <t>Semangat yang indah☺️</t>
  </si>
  <si>
    <t>@officialputeriindonesia @angkasamega @januarcees @kelanalimster @farhanariswari .. Keren banget di Sulawesi Tengah... Tahun depan coba pilih Puteri daerah asli seperti ini karena kalian tahu betul keadaan provinsinya... Cheers... YPI dan tim 🔥🔥🔥</t>
  </si>
  <si>
    <t>@officialputeriindonesia @angkasamega @januarcees @kelanalimster @farhanariswari .. So cool in Central Sulawesi... Next year, try to choose a real regional Puteri like this because you know the state of the province well... Cheers... YPI and team 🔥🔥🔥</t>
  </si>
  <si>
    <t>Pak @prabowo @prabowo.gibran2 @gibran_rakabuming. Kalau naik jangan lupa pak, bisa bantu program rumah apung untuk tempat ini</t>
  </si>
  <si>
    <t>Sir @prabowo @prabowo.gibran2 @gibran_rakabuming. When you go up, don't forget, sir, that you can help with the floating house program for this place</t>
  </si>
  <si>
    <t>Terima kasih saudara🙏🏾</t>
  </si>
  <si>
    <t>Thanks brother🙏🏾</t>
  </si>
  <si>
    <t>@ichsandahcoow amin.. gaskeun</t>
  </si>
  <si>
    <t>@ichsandahcoow Belum masuk lubang.. Ayo kita lakukan lagi... 🥰🥰</t>
  </si>
  <si>
    <t>@ichsandahcoow Not in the hole yet.. Let's do it again... 🥰🥰</t>
  </si>
  <si>
    <t>😍🔥🔥🔥 ini perlu diulang</t>
  </si>
  <si>
    <t>😍🔥🔥🔥 this bears repeating</t>
  </si>
  <si>
    <t>@sineboy.art jangan hapus lagi rekamannya gan 🙃</t>
  </si>
  <si>
    <t>@sineboy.art don't delete the footage again bro 🙃</t>
  </si>
  <si>
    <t>@ sineboy.art Hati-hati nanti ada takedown lagi hahaha</t>
  </si>
  <si>
    <t>@sineboy.art Beware of another takedown later hahaha</t>
  </si>
  <si>
    <t>@ sineboy.art wah, tidak berbahaya 😬</t>
  </si>
  <si>
    <t>Di sini Anda harus membawa air😅</t>
  </si>
  <si>
    <t>Here you have to bring water😅</t>
  </si>
  <si>
    <t>@roeang.kelana Hanya kenangan😢</t>
  </si>
  <si>
    <t>@dk_wck ayo cepat kembali kesini 😬</t>
  </si>
  <si>
    <t>Apakah ada ajakan tanpa wacana😭😭</t>
  </si>
  <si>
    <t>Menjelajahi Indonesia selalu merupakan ide bagus! #ExploreIndonesia 🇲🇾</t>
  </si>
  <si>
    <t>@exploreindonesia 📍🇮🇩 cantik sekali</t>
  </si>
  <si>
    <t>@roeang.kelana ayo jalan bareng 🤭</t>
  </si>
  <si>
    <t>@vhytaadam cieeee sampai pipinya merah @dk_wck @willy_photograph @syidiqabubakar , AMAAAT BODOH 🤣</t>
  </si>
  <si>
    <t>@ sineboy.art masih terngiang-ngiang di hatiku</t>
  </si>
  <si>
    <t>@sineboy.art still rings in my heart</t>
  </si>
  <si>
    <t>@sineboy.art sekarang di kamar dia tersenyum, sepertinya dia sendirian</t>
  </si>
  <si>
    <t>@sineboy.art now in the room he is smiling, he seems to be alone</t>
  </si>
  <si>
    <t>@vhytaadam aww aww awwww merinding, ehkk</t>
  </si>
  <si>
    <t>@vhytaadam aww aww awwww I get goosebumps, ehkk</t>
  </si>
  <si>
    <t>@vhytaadam apakah kamu benar-benar melakukan ini, apakah kamu benar-benar bodoh atau benarkah Valdo? ha ha ha</t>
  </si>
  <si>
    <t>@vhytaadam are you really doing this, are you really stupid or Valdo really? hahaha</t>
  </si>
  <si>
    <t>@vhytaadam Kooomeenn yang ceroboh di stand ini 😂</t>
  </si>
  <si>
    <t>@vhytaadam Reckless kooomeenn at this stand 😂</t>
  </si>
  <si>
    <t>@ sineboy.art dodonya memang terlihat seperti itu</t>
  </si>
  <si>
    <t>@vhytaadam Ibih pandai berenang e</t>
  </si>
  <si>
    <t>@vhytaadam Ibih so good at swimming e</t>
  </si>
  <si>
    <t>Berapa meter kedalamannya?</t>
  </si>
  <si>
    <t>How many meters deep is that?</t>
  </si>
  <si>
    <t>@allandferdinand kemarin berapa meter om @sineboy.art?</t>
  </si>
  <si>
    <t>@allandferdinand, how many meters was it yesterday, uncle @sineboy.art?</t>
  </si>
  <si>
    <t>@roeang.kelana kelihatannya 2 meter gan, kalau bukan 2m mungkin 2km 🤣</t>
  </si>
  <si>
    <t>@roeang.kelana looks like 2 meters bro, if not 2m then maybe 2km 🤣</t>
  </si>
  <si>
    <t>Yooo bisakah yooo kembali</t>
  </si>
  <si>
    <t>Yooo can yooo can come back</t>
  </si>
  <si>
    <t>@ra_fitry vermisst du Valdo?</t>
  </si>
  <si>
    <t>@ra_fitry apakah kamu rindu Valdo?</t>
  </si>
  <si>
    <t>@ra_fitry do you miss Valdo?</t>
  </si>
  <si>
    <t>@ra_fitry apakah kamu rindu Valdo? 😂</t>
  </si>
  <si>
    <t>Cantik sekali😍</t>
  </si>
  <si>
    <t>It's so beautiful😍</t>
  </si>
  <si>
    <t>@hens4m ayolah, Kudu kadieuu</t>
  </si>
  <si>
    <t>@hens4m come on, Kudu kadieuu</t>
  </si>
  <si>
    <t>Pemandangannya indah, lain kali wajib kesini</t>
  </si>
  <si>
    <t>The scenery is beautiful, you must come here next time</t>
  </si>
  <si>
    <t>Surga yang tersembunyi 😍😍😍😍</t>
  </si>
  <si>
    <t>@adultamar that's true, uncle</t>
  </si>
  <si>
    <t>Kembalilah, dooooo</t>
  </si>
  <si>
    <t>Come back, dooooo</t>
  </si>
  <si>
    <t>@willy_photograph lusa sih 😅</t>
  </si>
  <si>
    <t>@willy_photograph the day after tomorrow anyway 😅</t>
  </si>
  <si>
    <t>Satu setengah jam dari rumah, tapi seumur hidup saya belum pernah ke sana😂</t>
  </si>
  <si>
    <t>🥲, saya tidak tahu harus berkomentar apa</t>
  </si>
  <si>
    <t>Kembali ke Luwuk. Ketika kamu kembali, akulah yang akan kembali ke rumah.</t>
  </si>
  <si>
    <t>Go back to Luwuk. When you're back, I'll be the one to return home.</t>
  </si>
  <si>
    <t>@hendrahermawan49 ahhh malas hahaha</t>
  </si>
  <si>
    <t>@hendrahermawan49 ahhh, I'm lazy hahaha</t>
  </si>
  <si>
    <t>Ayo....</t>
  </si>
  <si>
    <t>Come on....</t>
  </si>
  <si>
    <t>@dk_wck gas kan</t>
  </si>
  <si>
    <t>@dk_wck Gas richtig</t>
  </si>
  <si>
    <t>@dk_wck Throttle ke kanan</t>
  </si>
  <si>
    <t>@dk_wck Throttle right</t>
  </si>
  <si>
    <t>@dk_wck gas right</t>
  </si>
  <si>
    <t>🔥🔥🔥tidak ada lawan😂</t>
  </si>
  <si>
    <t>🔥🔥🔥there is no opponent😂</t>
  </si>
  <si>
    <t>Kereen ❤️</t>
  </si>
  <si>
    <t>Cool ❤️</t>
  </si>
  <si>
    <t>Keren ❤️</t>
  </si>
  <si>
    <t>Bagian 2 Kesepakatan atau tidak kesepakatan?</t>
  </si>
  <si>
    <t>Part 2 Deal or no deal?</t>
  </si>
  <si>
    <t>@coconude___ Kesepakatan😄🫶🏻</t>
  </si>
  <si>
    <t>Harus kembali 😁😁😁</t>
  </si>
  <si>
    <t>Must come back 😁😁😁</t>
  </si>
  <si>
    <t>@ckusumanarwasti harus😎</t>
  </si>
  <si>
    <t>@mentariclara_ lain kali kita ke sini y🥰</t>
  </si>
  <si>
    <t>@mentariclara_ next time we come here, y🥰</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</si>
</sst>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sz val="11.0"/>
      <color theme="1"/>
      <name val="Arial"/>
    </font>
    <font>
      <sz val="11.0"/>
      <color theme="1"/>
      <name val="-apple-system"/>
    </font>
    <font>
      <u/>
      <color rgb="FF0000FF"/>
    </font>
    <font>
      <sz val="10.0"/>
      <color rgb="FF000000"/>
    </font>
    <font>
      <u/>
      <color rgb="FF0000FF"/>
    </font>
    <font>
      <sz val="10.0"/>
      <color theme="1"/>
      <name val="Arial"/>
      <scheme val="minor"/>
    </font>
    <font>
      <sz val="10.0"/>
      <color theme="1"/>
      <name val="-apple-system"/>
    </font>
    <font>
      <u/>
      <sz val="10.0"/>
      <color rgb="FF0000FF"/>
    </font>
    <font>
      <u/>
      <sz val="10.0"/>
      <color rgb="FF000000"/>
      <name val="-apple-system"/>
    </font>
    <font>
      <sz val="10.0"/>
      <color rgb="FF000000"/>
      <name val="-apple-system"/>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0" numFmtId="0" xfId="0" applyAlignment="1" applyFont="1">
      <alignment horizontal="left" readingOrder="0"/>
    </xf>
    <xf borderId="0" fillId="0" fontId="1" numFmtId="0" xfId="0" applyFont="1"/>
    <xf borderId="0" fillId="0" fontId="5" numFmtId="0" xfId="0" applyAlignment="1" applyFont="1">
      <alignment horizontal="left" readingOrder="0"/>
    </xf>
    <xf borderId="0" fillId="0" fontId="6" numFmtId="0" xfId="0" applyFont="1"/>
    <xf borderId="0" fillId="0" fontId="7" numFmtId="0" xfId="0" applyAlignment="1" applyFont="1">
      <alignment readingOrder="0"/>
    </xf>
    <xf borderId="0" fillId="0" fontId="0" numFmtId="0" xfId="0" applyAlignment="1" applyFont="1">
      <alignment horizontal="lef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horizontal="left" readingOrder="0"/>
    </xf>
    <xf borderId="0" fillId="0" fontId="11" numFmtId="0" xfId="0" applyAlignment="1" applyFont="1">
      <alignment horizontal="left" readingOrder="0"/>
    </xf>
    <xf borderId="0" fillId="0" fontId="1" numFmtId="0" xfId="0" applyFont="1"/>
    <xf borderId="0" fillId="0" fontId="1" numFmtId="0" xfId="0" applyFont="1"/>
    <xf borderId="0" fillId="0" fontId="0" numFmtId="0" xfId="0" applyAlignment="1" applyFont="1">
      <alignment readingOrder="0"/>
    </xf>
    <xf borderId="0" fillId="0" fontId="1" numFmtId="0" xfId="0" applyAlignment="1" applyFont="1">
      <alignment readingOrder="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instagram.com/p/C5aQFmMLb2A/" TargetMode="External"/><Relationship Id="rId190" Type="http://schemas.openxmlformats.org/officeDocument/2006/relationships/hyperlink" Target="https://www.instagram.com/p/C5f88Poxd4-/" TargetMode="External"/><Relationship Id="rId42" Type="http://schemas.openxmlformats.org/officeDocument/2006/relationships/hyperlink" Target="https://www.instagram.com/p/C5aQFmMLb2A/" TargetMode="External"/><Relationship Id="rId41" Type="http://schemas.openxmlformats.org/officeDocument/2006/relationships/hyperlink" Target="https://www.instagram.com/p/C5aQFmMLb2A/" TargetMode="External"/><Relationship Id="rId44" Type="http://schemas.openxmlformats.org/officeDocument/2006/relationships/hyperlink" Target="https://www.instagram.com/p/C5aQFmMLb2A/" TargetMode="External"/><Relationship Id="rId194" Type="http://schemas.openxmlformats.org/officeDocument/2006/relationships/hyperlink" Target="https://www.instagram.com/p/C5AUR3MLan6/" TargetMode="External"/><Relationship Id="rId43" Type="http://schemas.openxmlformats.org/officeDocument/2006/relationships/hyperlink" Target="https://www.instagram.com/p/C5aQFmMLb2A/" TargetMode="External"/><Relationship Id="rId193" Type="http://schemas.openxmlformats.org/officeDocument/2006/relationships/hyperlink" Target="https://www.instagram.com/p/C5AUR3MLan6/" TargetMode="External"/><Relationship Id="rId46" Type="http://schemas.openxmlformats.org/officeDocument/2006/relationships/hyperlink" Target="https://www.instagram.com/p/C5aQFmMLb2A/" TargetMode="External"/><Relationship Id="rId192" Type="http://schemas.openxmlformats.org/officeDocument/2006/relationships/hyperlink" Target="https://www.instagram.com/p/C5AUR3MLan6/" TargetMode="External"/><Relationship Id="rId45" Type="http://schemas.openxmlformats.org/officeDocument/2006/relationships/hyperlink" Target="https://www.instagram.com/p/C5aQFmMLb2A/" TargetMode="External"/><Relationship Id="rId191" Type="http://schemas.openxmlformats.org/officeDocument/2006/relationships/hyperlink" Target="https://www.instagram.com/p/C5AUR3MLan6/" TargetMode="External"/><Relationship Id="rId48" Type="http://schemas.openxmlformats.org/officeDocument/2006/relationships/hyperlink" Target="https://www.instagram.com/p/C5aQFmMLb2A/" TargetMode="External"/><Relationship Id="rId187" Type="http://schemas.openxmlformats.org/officeDocument/2006/relationships/hyperlink" Target="https://www.instagram.com/p/C5f88Poxd4-/" TargetMode="External"/><Relationship Id="rId47" Type="http://schemas.openxmlformats.org/officeDocument/2006/relationships/hyperlink" Target="https://www.instagram.com/p/C5aQFmMLb2A/" TargetMode="External"/><Relationship Id="rId186" Type="http://schemas.openxmlformats.org/officeDocument/2006/relationships/hyperlink" Target="https://www.instagram.com/p/C5f88Poxd4-/" TargetMode="External"/><Relationship Id="rId185" Type="http://schemas.openxmlformats.org/officeDocument/2006/relationships/hyperlink" Target="https://www.instagram.com/p/C5f88Poxd4-/" TargetMode="External"/><Relationship Id="rId49" Type="http://schemas.openxmlformats.org/officeDocument/2006/relationships/hyperlink" Target="https://www.instagram.com/p/C5aQFmMLb2A/" TargetMode="External"/><Relationship Id="rId184" Type="http://schemas.openxmlformats.org/officeDocument/2006/relationships/hyperlink" Target="https://www.instagram.com/p/C5f88Poxd4-/" TargetMode="External"/><Relationship Id="rId189" Type="http://schemas.openxmlformats.org/officeDocument/2006/relationships/hyperlink" Target="https://www.instagram.com/p/C5f88Poxd4-/" TargetMode="External"/><Relationship Id="rId188" Type="http://schemas.openxmlformats.org/officeDocument/2006/relationships/hyperlink" Target="https://www.instagram.com/p/C5f88Poxd4-/" TargetMode="External"/><Relationship Id="rId31" Type="http://schemas.openxmlformats.org/officeDocument/2006/relationships/hyperlink" Target="https://www.instagram.com/p/C5xgy6ML5ud/" TargetMode="External"/><Relationship Id="rId30" Type="http://schemas.openxmlformats.org/officeDocument/2006/relationships/hyperlink" Target="https://www.instagram.com/p/C5xgy6ML5ud/" TargetMode="External"/><Relationship Id="rId33" Type="http://schemas.openxmlformats.org/officeDocument/2006/relationships/hyperlink" Target="https://www.instagram.com/p/C5tTf2OS1Vo/" TargetMode="External"/><Relationship Id="rId183" Type="http://schemas.openxmlformats.org/officeDocument/2006/relationships/hyperlink" Target="https://www.instagram.com/p/C5f88Poxd4-/" TargetMode="External"/><Relationship Id="rId32" Type="http://schemas.openxmlformats.org/officeDocument/2006/relationships/hyperlink" Target="https://www.instagram.com/p/C5tTf2OS1Vo/" TargetMode="External"/><Relationship Id="rId182" Type="http://schemas.openxmlformats.org/officeDocument/2006/relationships/hyperlink" Target="https://www.instagram.com/p/C5f88Poxd4-/" TargetMode="External"/><Relationship Id="rId35" Type="http://schemas.openxmlformats.org/officeDocument/2006/relationships/hyperlink" Target="https://www.instagram.com/p/C5tTf2OS1Vo/" TargetMode="External"/><Relationship Id="rId181" Type="http://schemas.openxmlformats.org/officeDocument/2006/relationships/hyperlink" Target="https://www.instagram.com/p/C5f88Poxd4-/" TargetMode="External"/><Relationship Id="rId34" Type="http://schemas.openxmlformats.org/officeDocument/2006/relationships/hyperlink" Target="https://www.instagram.com/p/C5tTf2OS1Vo/" TargetMode="External"/><Relationship Id="rId180" Type="http://schemas.openxmlformats.org/officeDocument/2006/relationships/hyperlink" Target="https://www.instagram.com/p/C5f88Poxd4-/" TargetMode="External"/><Relationship Id="rId37" Type="http://schemas.openxmlformats.org/officeDocument/2006/relationships/hyperlink" Target="https://www.instagram.com/p/C5tTf2OS1Vo/" TargetMode="External"/><Relationship Id="rId176" Type="http://schemas.openxmlformats.org/officeDocument/2006/relationships/hyperlink" Target="https://www.instagram.com/p/C50d26NS6_M/" TargetMode="External"/><Relationship Id="rId36" Type="http://schemas.openxmlformats.org/officeDocument/2006/relationships/hyperlink" Target="https://www.instagram.com/p/C5tTf2OS1Vo/" TargetMode="External"/><Relationship Id="rId175" Type="http://schemas.openxmlformats.org/officeDocument/2006/relationships/hyperlink" Target="https://www.instagram.com/p/C52dTf3Lg8A/" TargetMode="External"/><Relationship Id="rId39" Type="http://schemas.openxmlformats.org/officeDocument/2006/relationships/hyperlink" Target="https://www.instagram.com/p/C5aQFmMLb2A/" TargetMode="External"/><Relationship Id="rId174" Type="http://schemas.openxmlformats.org/officeDocument/2006/relationships/hyperlink" Target="https://www.instagram.com/p/C52dTf3Lg8A/" TargetMode="External"/><Relationship Id="rId38" Type="http://schemas.openxmlformats.org/officeDocument/2006/relationships/hyperlink" Target="https://www.instagram.com/p/C5tTf2OS1Vo/" TargetMode="External"/><Relationship Id="rId173" Type="http://schemas.openxmlformats.org/officeDocument/2006/relationships/hyperlink" Target="https://www.instagram.com/p/C52dTf3Lg8A/" TargetMode="External"/><Relationship Id="rId179" Type="http://schemas.openxmlformats.org/officeDocument/2006/relationships/hyperlink" Target="https://www.instagram.com/p/C5f88Poxd4-/" TargetMode="External"/><Relationship Id="rId178" Type="http://schemas.openxmlformats.org/officeDocument/2006/relationships/hyperlink" Target="https://www.instagram.com/p/C50d26NS6_M/" TargetMode="External"/><Relationship Id="rId177" Type="http://schemas.openxmlformats.org/officeDocument/2006/relationships/hyperlink" Target="https://www.instagram.com/p/C50d26NS6_M/" TargetMode="External"/><Relationship Id="rId20" Type="http://schemas.openxmlformats.org/officeDocument/2006/relationships/hyperlink" Target="https://www.instagram.com/p/C5xgy6ML5ud/" TargetMode="External"/><Relationship Id="rId22" Type="http://schemas.openxmlformats.org/officeDocument/2006/relationships/hyperlink" Target="https://www.instagram.com/p/C5xgy6ML5ud/" TargetMode="External"/><Relationship Id="rId21" Type="http://schemas.openxmlformats.org/officeDocument/2006/relationships/hyperlink" Target="https://www.instagram.com/p/C5xgy6ML5ud/" TargetMode="External"/><Relationship Id="rId24" Type="http://schemas.openxmlformats.org/officeDocument/2006/relationships/hyperlink" Target="https://www.instagram.com/p/C5xgy6ML5ud/" TargetMode="External"/><Relationship Id="rId23" Type="http://schemas.openxmlformats.org/officeDocument/2006/relationships/hyperlink" Target="https://www.instagram.com/p/C5xgy6ML5ud/" TargetMode="External"/><Relationship Id="rId26" Type="http://schemas.openxmlformats.org/officeDocument/2006/relationships/hyperlink" Target="https://www.instagram.com/p/C5xgy6ML5ud/" TargetMode="External"/><Relationship Id="rId25" Type="http://schemas.openxmlformats.org/officeDocument/2006/relationships/hyperlink" Target="https://www.instagram.com/p/C5xgy6ML5ud/" TargetMode="External"/><Relationship Id="rId28" Type="http://schemas.openxmlformats.org/officeDocument/2006/relationships/hyperlink" Target="https://www.instagram.com/p/C5xgy6ML5ud/" TargetMode="External"/><Relationship Id="rId27" Type="http://schemas.openxmlformats.org/officeDocument/2006/relationships/hyperlink" Target="https://www.instagram.com/p/C5xgy6ML5ud/" TargetMode="External"/><Relationship Id="rId29" Type="http://schemas.openxmlformats.org/officeDocument/2006/relationships/hyperlink" Target="https://www.instagram.com/p/C5xgy6ML5ud/" TargetMode="External"/><Relationship Id="rId11" Type="http://schemas.openxmlformats.org/officeDocument/2006/relationships/hyperlink" Target="https://www.instagram.com/p/Cc4PuNoJe6C/" TargetMode="External"/><Relationship Id="rId10" Type="http://schemas.openxmlformats.org/officeDocument/2006/relationships/hyperlink" Target="https://www.instagram.com/p/Cc4PuNoJe6C/" TargetMode="External"/><Relationship Id="rId13" Type="http://schemas.openxmlformats.org/officeDocument/2006/relationships/hyperlink" Target="https://www.instagram.com/p/CHeSJ1BBp5T/" TargetMode="External"/><Relationship Id="rId12" Type="http://schemas.openxmlformats.org/officeDocument/2006/relationships/hyperlink" Target="https://www.instagram.com/p/Cce3puErki3/" TargetMode="External"/><Relationship Id="rId15" Type="http://schemas.openxmlformats.org/officeDocument/2006/relationships/hyperlink" Target="https://www.instagram.com/p/CHeSJ1BBp5T/" TargetMode="External"/><Relationship Id="rId198" Type="http://schemas.openxmlformats.org/officeDocument/2006/relationships/hyperlink" Target="https://www.instagram.com/p/C5AUR3MLan6/" TargetMode="External"/><Relationship Id="rId14" Type="http://schemas.openxmlformats.org/officeDocument/2006/relationships/hyperlink" Target="https://www.instagram.com/plnsuluttenggo/" TargetMode="External"/><Relationship Id="rId197" Type="http://schemas.openxmlformats.org/officeDocument/2006/relationships/hyperlink" Target="https://www.instagram.com/p/C5AUR3MLan6/" TargetMode="External"/><Relationship Id="rId17" Type="http://schemas.openxmlformats.org/officeDocument/2006/relationships/hyperlink" Target="https://www.instagram.com/p/C5xgy6ML5ud/" TargetMode="External"/><Relationship Id="rId196" Type="http://schemas.openxmlformats.org/officeDocument/2006/relationships/hyperlink" Target="https://www.instagram.com/p/C5AUR3MLan6/" TargetMode="External"/><Relationship Id="rId16" Type="http://schemas.openxmlformats.org/officeDocument/2006/relationships/hyperlink" Target="https://www.instagram.com/p/C5xgy6ML5ud/" TargetMode="External"/><Relationship Id="rId195" Type="http://schemas.openxmlformats.org/officeDocument/2006/relationships/hyperlink" Target="https://www.instagram.com/p/C5AUR3MLan6/" TargetMode="External"/><Relationship Id="rId19" Type="http://schemas.openxmlformats.org/officeDocument/2006/relationships/hyperlink" Target="https://www.instagram.com/p/C5xgy6ML5ud/" TargetMode="External"/><Relationship Id="rId18" Type="http://schemas.openxmlformats.org/officeDocument/2006/relationships/hyperlink" Target="https://www.instagram.com/p/C5xgy6ML5ud/" TargetMode="External"/><Relationship Id="rId199" Type="http://schemas.openxmlformats.org/officeDocument/2006/relationships/hyperlink" Target="https://www.instagram.com/p/C5AUR3MLan6/" TargetMode="External"/><Relationship Id="rId84" Type="http://schemas.openxmlformats.org/officeDocument/2006/relationships/hyperlink" Target="https://www.instagram.com/p/C5aQFmMLb2A/" TargetMode="External"/><Relationship Id="rId83" Type="http://schemas.openxmlformats.org/officeDocument/2006/relationships/hyperlink" Target="https://www.instagram.com/p/C5aQFmMLb2A/" TargetMode="External"/><Relationship Id="rId86" Type="http://schemas.openxmlformats.org/officeDocument/2006/relationships/hyperlink" Target="https://www.instagram.com/p/C5aQFmMLb2A/" TargetMode="External"/><Relationship Id="rId85" Type="http://schemas.openxmlformats.org/officeDocument/2006/relationships/hyperlink" Target="https://www.instagram.com/p/C5aQFmMLb2A/" TargetMode="External"/><Relationship Id="rId88" Type="http://schemas.openxmlformats.org/officeDocument/2006/relationships/hyperlink" Target="https://www.instagram.com/p/C5aQFmMLb2A/" TargetMode="External"/><Relationship Id="rId150" Type="http://schemas.openxmlformats.org/officeDocument/2006/relationships/hyperlink" Target="https://www.instagram.com/p/C52dTf3Lg8A/" TargetMode="External"/><Relationship Id="rId87" Type="http://schemas.openxmlformats.org/officeDocument/2006/relationships/hyperlink" Target="https://www.instagram.com/p/C5aQFmMLb2A/" TargetMode="External"/><Relationship Id="rId270" Type="http://schemas.openxmlformats.org/officeDocument/2006/relationships/drawing" Target="../drawings/drawing1.xml"/><Relationship Id="rId89" Type="http://schemas.openxmlformats.org/officeDocument/2006/relationships/hyperlink" Target="https://www.instagram.com/p/C5aQFmMLb2A/" TargetMode="External"/><Relationship Id="rId80" Type="http://schemas.openxmlformats.org/officeDocument/2006/relationships/hyperlink" Target="https://www.instagram.com/p/C5aQFmMLb2A/" TargetMode="External"/><Relationship Id="rId82" Type="http://schemas.openxmlformats.org/officeDocument/2006/relationships/hyperlink" Target="https://www.instagram.com/p/C5aQFmMLb2A/" TargetMode="External"/><Relationship Id="rId81" Type="http://schemas.openxmlformats.org/officeDocument/2006/relationships/hyperlink" Target="https://www.instagram.com/p/C5aQFmMLb2A/" TargetMode="External"/><Relationship Id="rId1" Type="http://schemas.openxmlformats.org/officeDocument/2006/relationships/hyperlink" Target="https://www.instagram.com/p/Cg31IcduHeb/" TargetMode="External"/><Relationship Id="rId2" Type="http://schemas.openxmlformats.org/officeDocument/2006/relationships/hyperlink" Target="https://www.instagram.com/p/Cg31IcduHeb/" TargetMode="External"/><Relationship Id="rId3" Type="http://schemas.openxmlformats.org/officeDocument/2006/relationships/hyperlink" Target="https://www.instagram.com/p/Cg31IcduHeb/" TargetMode="External"/><Relationship Id="rId149" Type="http://schemas.openxmlformats.org/officeDocument/2006/relationships/hyperlink" Target="https://www.instagram.com/p/C52dTf3Lg8A/" TargetMode="External"/><Relationship Id="rId4" Type="http://schemas.openxmlformats.org/officeDocument/2006/relationships/hyperlink" Target="https://www.instagram.com/p/Cg31IcduHeb/" TargetMode="External"/><Relationship Id="rId148" Type="http://schemas.openxmlformats.org/officeDocument/2006/relationships/hyperlink" Target="https://www.instagram.com/p/C52dTf3Lg8A/" TargetMode="External"/><Relationship Id="rId269" Type="http://schemas.openxmlformats.org/officeDocument/2006/relationships/hyperlink" Target="https://www.instagram.com/p/C2cSJSnyrmM/" TargetMode="External"/><Relationship Id="rId9" Type="http://schemas.openxmlformats.org/officeDocument/2006/relationships/hyperlink" Target="https://www.instagram.com/p/Cgv7Zl_OdtM/" TargetMode="External"/><Relationship Id="rId143" Type="http://schemas.openxmlformats.org/officeDocument/2006/relationships/hyperlink" Target="https://www.instagram.com/p/C52dTf3Lg8A/" TargetMode="External"/><Relationship Id="rId264" Type="http://schemas.openxmlformats.org/officeDocument/2006/relationships/hyperlink" Target="https://www.instagram.com/p/C2cSJSnyrmM/" TargetMode="External"/><Relationship Id="rId142" Type="http://schemas.openxmlformats.org/officeDocument/2006/relationships/hyperlink" Target="https://www.instagram.com/p/C52dTf3Lg8A/" TargetMode="External"/><Relationship Id="rId263" Type="http://schemas.openxmlformats.org/officeDocument/2006/relationships/hyperlink" Target="https://www.instagram.com/p/C2cSJSnyrmM/" TargetMode="External"/><Relationship Id="rId141" Type="http://schemas.openxmlformats.org/officeDocument/2006/relationships/hyperlink" Target="https://www.instagram.com/p/C52dTf3Lg8A/" TargetMode="External"/><Relationship Id="rId262" Type="http://schemas.openxmlformats.org/officeDocument/2006/relationships/hyperlink" Target="https://www.instagram.com/p/C2cSJSnyrmM/" TargetMode="External"/><Relationship Id="rId140" Type="http://schemas.openxmlformats.org/officeDocument/2006/relationships/hyperlink" Target="https://www.instagram.com/p/C52dTf3Lg8A/" TargetMode="External"/><Relationship Id="rId261" Type="http://schemas.openxmlformats.org/officeDocument/2006/relationships/hyperlink" Target="https://www.instagram.com/p/C2hPgfEyYbg/" TargetMode="External"/><Relationship Id="rId5" Type="http://schemas.openxmlformats.org/officeDocument/2006/relationships/hyperlink" Target="https://www.instagram.com/layananplnluwuk/" TargetMode="External"/><Relationship Id="rId147" Type="http://schemas.openxmlformats.org/officeDocument/2006/relationships/hyperlink" Target="https://www.instagram.com/p/C52dTf3Lg8A/" TargetMode="External"/><Relationship Id="rId268" Type="http://schemas.openxmlformats.org/officeDocument/2006/relationships/hyperlink" Target="https://www.instagram.com/p/C2cSJSnyrmM/" TargetMode="External"/><Relationship Id="rId6" Type="http://schemas.openxmlformats.org/officeDocument/2006/relationships/hyperlink" Target="https://www.instagram.com/p/Cg31IcduHeb/" TargetMode="External"/><Relationship Id="rId146" Type="http://schemas.openxmlformats.org/officeDocument/2006/relationships/hyperlink" Target="https://www.instagram.com/p/C52dTf3Lg8A/" TargetMode="External"/><Relationship Id="rId267" Type="http://schemas.openxmlformats.org/officeDocument/2006/relationships/hyperlink" Target="https://www.instagram.com/p/C2cSJSnyrmM/" TargetMode="External"/><Relationship Id="rId7" Type="http://schemas.openxmlformats.org/officeDocument/2006/relationships/hyperlink" Target="https://www.instagram.com/p/Cg0UzeFBegI/" TargetMode="External"/><Relationship Id="rId145" Type="http://schemas.openxmlformats.org/officeDocument/2006/relationships/hyperlink" Target="https://www.instagram.com/p/C52dTf3Lg8A/" TargetMode="External"/><Relationship Id="rId266" Type="http://schemas.openxmlformats.org/officeDocument/2006/relationships/hyperlink" Target="https://www.instagram.com/p/C2cSJSnyrmM/" TargetMode="External"/><Relationship Id="rId8" Type="http://schemas.openxmlformats.org/officeDocument/2006/relationships/hyperlink" Target="https://www.instagram.com/p/Cgv7Zl_OdtM/" TargetMode="External"/><Relationship Id="rId144" Type="http://schemas.openxmlformats.org/officeDocument/2006/relationships/hyperlink" Target="https://www.instagram.com/p/C52dTf3Lg8A/" TargetMode="External"/><Relationship Id="rId265" Type="http://schemas.openxmlformats.org/officeDocument/2006/relationships/hyperlink" Target="https://www.instagram.com/p/C2cSJSnyrmM/" TargetMode="External"/><Relationship Id="rId73" Type="http://schemas.openxmlformats.org/officeDocument/2006/relationships/hyperlink" Target="https://www.instagram.com/p/C5aQFmMLb2A/" TargetMode="External"/><Relationship Id="rId72" Type="http://schemas.openxmlformats.org/officeDocument/2006/relationships/hyperlink" Target="https://www.instagram.com/p/C5aQFmMLb2A/" TargetMode="External"/><Relationship Id="rId75" Type="http://schemas.openxmlformats.org/officeDocument/2006/relationships/hyperlink" Target="https://www.instagram.com/p/C5aQFmMLb2A/" TargetMode="External"/><Relationship Id="rId74" Type="http://schemas.openxmlformats.org/officeDocument/2006/relationships/hyperlink" Target="https://www.instagram.com/p/C5aQFmMLb2A/" TargetMode="External"/><Relationship Id="rId77" Type="http://schemas.openxmlformats.org/officeDocument/2006/relationships/hyperlink" Target="https://www.instagram.com/p/C5aQFmMLb2A/" TargetMode="External"/><Relationship Id="rId260" Type="http://schemas.openxmlformats.org/officeDocument/2006/relationships/hyperlink" Target="https://www.instagram.com/p/C2hPgfEyYbg/" TargetMode="External"/><Relationship Id="rId76" Type="http://schemas.openxmlformats.org/officeDocument/2006/relationships/hyperlink" Target="https://www.instagram.com/p/C5aQFmMLb2A/" TargetMode="External"/><Relationship Id="rId79" Type="http://schemas.openxmlformats.org/officeDocument/2006/relationships/hyperlink" Target="https://www.instagram.com/p/C5aQFmMLb2A/" TargetMode="External"/><Relationship Id="rId78" Type="http://schemas.openxmlformats.org/officeDocument/2006/relationships/hyperlink" Target="https://www.instagram.com/p/C5aQFmMLb2A/" TargetMode="External"/><Relationship Id="rId71" Type="http://schemas.openxmlformats.org/officeDocument/2006/relationships/hyperlink" Target="https://www.instagram.com/p/C5aQFmMLb2A/" TargetMode="External"/><Relationship Id="rId70" Type="http://schemas.openxmlformats.org/officeDocument/2006/relationships/hyperlink" Target="https://www.instagram.com/p/C5aQFmMLb2A/" TargetMode="External"/><Relationship Id="rId139" Type="http://schemas.openxmlformats.org/officeDocument/2006/relationships/hyperlink" Target="https://www.instagram.com/p/C52dTf3Lg8A/" TargetMode="External"/><Relationship Id="rId138" Type="http://schemas.openxmlformats.org/officeDocument/2006/relationships/hyperlink" Target="https://www.instagram.com/p/C52dTf3Lg8A/" TargetMode="External"/><Relationship Id="rId259" Type="http://schemas.openxmlformats.org/officeDocument/2006/relationships/hyperlink" Target="https://www.instagram.com/p/C2hPgfEyYbg/" TargetMode="External"/><Relationship Id="rId137" Type="http://schemas.openxmlformats.org/officeDocument/2006/relationships/hyperlink" Target="https://www.instagram.com/p/C52dTf3Lg8A/" TargetMode="External"/><Relationship Id="rId258" Type="http://schemas.openxmlformats.org/officeDocument/2006/relationships/hyperlink" Target="https://www.instagram.com/p/C2hPgfEyYbg/" TargetMode="External"/><Relationship Id="rId132" Type="http://schemas.openxmlformats.org/officeDocument/2006/relationships/hyperlink" Target="https://www.instagram.com/p/C52dTf3Lg8A/" TargetMode="External"/><Relationship Id="rId253" Type="http://schemas.openxmlformats.org/officeDocument/2006/relationships/hyperlink" Target="https://www.instagram.com/p/C2hPgfEyYbg/" TargetMode="External"/><Relationship Id="rId131" Type="http://schemas.openxmlformats.org/officeDocument/2006/relationships/hyperlink" Target="https://www.instagram.com/p/C52dTf3Lg8A/" TargetMode="External"/><Relationship Id="rId252" Type="http://schemas.openxmlformats.org/officeDocument/2006/relationships/hyperlink" Target="https://www.instagram.com/p/C2hPgfEyYbg/" TargetMode="External"/><Relationship Id="rId130" Type="http://schemas.openxmlformats.org/officeDocument/2006/relationships/hyperlink" Target="https://www.instagram.com/p/C52dTf3Lg8A/" TargetMode="External"/><Relationship Id="rId251" Type="http://schemas.openxmlformats.org/officeDocument/2006/relationships/hyperlink" Target="https://www.instagram.com/p/C2hPgfEyYbg/" TargetMode="External"/><Relationship Id="rId250" Type="http://schemas.openxmlformats.org/officeDocument/2006/relationships/hyperlink" Target="https://www.instagram.com/p/C2hPgfEyYbg/" TargetMode="External"/><Relationship Id="rId136" Type="http://schemas.openxmlformats.org/officeDocument/2006/relationships/hyperlink" Target="https://www.instagram.com/p/C52dTf3Lg8A/" TargetMode="External"/><Relationship Id="rId257" Type="http://schemas.openxmlformats.org/officeDocument/2006/relationships/hyperlink" Target="https://www.instagram.com/p/C2hPgfEyYbg/" TargetMode="External"/><Relationship Id="rId135" Type="http://schemas.openxmlformats.org/officeDocument/2006/relationships/hyperlink" Target="https://www.instagram.com/p/C52dTf3Lg8A/" TargetMode="External"/><Relationship Id="rId256" Type="http://schemas.openxmlformats.org/officeDocument/2006/relationships/hyperlink" Target="https://www.instagram.com/p/C2hPgfEyYbg/" TargetMode="External"/><Relationship Id="rId134" Type="http://schemas.openxmlformats.org/officeDocument/2006/relationships/hyperlink" Target="https://www.instagram.com/p/C52dTf3Lg8A/" TargetMode="External"/><Relationship Id="rId255" Type="http://schemas.openxmlformats.org/officeDocument/2006/relationships/hyperlink" Target="https://www.instagram.com/p/C2hPgfEyYbg/" TargetMode="External"/><Relationship Id="rId133" Type="http://schemas.openxmlformats.org/officeDocument/2006/relationships/hyperlink" Target="https://www.instagram.com/p/C52dTf3Lg8A/" TargetMode="External"/><Relationship Id="rId254" Type="http://schemas.openxmlformats.org/officeDocument/2006/relationships/hyperlink" Target="https://www.instagram.com/p/C2hPgfEyYbg/" TargetMode="External"/><Relationship Id="rId62" Type="http://schemas.openxmlformats.org/officeDocument/2006/relationships/hyperlink" Target="https://www.instagram.com/p/C5aQFmMLb2A/" TargetMode="External"/><Relationship Id="rId61" Type="http://schemas.openxmlformats.org/officeDocument/2006/relationships/hyperlink" Target="https://www.instagram.com/p/C5aQFmMLb2A/" TargetMode="External"/><Relationship Id="rId64" Type="http://schemas.openxmlformats.org/officeDocument/2006/relationships/hyperlink" Target="https://www.instagram.com/p/C5aQFmMLb2A/" TargetMode="External"/><Relationship Id="rId63" Type="http://schemas.openxmlformats.org/officeDocument/2006/relationships/hyperlink" Target="https://www.instagram.com/p/C5aQFmMLb2A/" TargetMode="External"/><Relationship Id="rId66" Type="http://schemas.openxmlformats.org/officeDocument/2006/relationships/hyperlink" Target="https://www.instagram.com/p/C5aQFmMLb2A/" TargetMode="External"/><Relationship Id="rId172" Type="http://schemas.openxmlformats.org/officeDocument/2006/relationships/hyperlink" Target="https://www.instagram.com/p/C52dTf3Lg8A/" TargetMode="External"/><Relationship Id="rId65" Type="http://schemas.openxmlformats.org/officeDocument/2006/relationships/hyperlink" Target="https://www.instagram.com/p/C5aQFmMLb2A/" TargetMode="External"/><Relationship Id="rId171" Type="http://schemas.openxmlformats.org/officeDocument/2006/relationships/hyperlink" Target="https://www.instagram.com/p/C52dTf3Lg8A/" TargetMode="External"/><Relationship Id="rId68" Type="http://schemas.openxmlformats.org/officeDocument/2006/relationships/hyperlink" Target="https://www.instagram.com/p/C5aQFmMLb2A/" TargetMode="External"/><Relationship Id="rId170" Type="http://schemas.openxmlformats.org/officeDocument/2006/relationships/hyperlink" Target="https://www.instagram.com/p/C52dTf3Lg8A/" TargetMode="External"/><Relationship Id="rId67" Type="http://schemas.openxmlformats.org/officeDocument/2006/relationships/hyperlink" Target="https://www.instagram.com/p/C5aQFmMLb2A/" TargetMode="External"/><Relationship Id="rId60" Type="http://schemas.openxmlformats.org/officeDocument/2006/relationships/hyperlink" Target="https://www.instagram.com/p/C5aQFmMLb2A/" TargetMode="External"/><Relationship Id="rId165" Type="http://schemas.openxmlformats.org/officeDocument/2006/relationships/hyperlink" Target="https://www.instagram.com/p/C52dTf3Lg8A/" TargetMode="External"/><Relationship Id="rId69" Type="http://schemas.openxmlformats.org/officeDocument/2006/relationships/hyperlink" Target="https://www.instagram.com/p/C5aQFmMLb2A/" TargetMode="External"/><Relationship Id="rId164" Type="http://schemas.openxmlformats.org/officeDocument/2006/relationships/hyperlink" Target="https://www.instagram.com/p/C52dTf3Lg8A/" TargetMode="External"/><Relationship Id="rId163" Type="http://schemas.openxmlformats.org/officeDocument/2006/relationships/hyperlink" Target="https://www.instagram.com/p/C52dTf3Lg8A/" TargetMode="External"/><Relationship Id="rId162" Type="http://schemas.openxmlformats.org/officeDocument/2006/relationships/hyperlink" Target="https://www.instagram.com/p/C52dTf3Lg8A/" TargetMode="External"/><Relationship Id="rId169" Type="http://schemas.openxmlformats.org/officeDocument/2006/relationships/hyperlink" Target="https://www.instagram.com/p/C52dTf3Lg8A/" TargetMode="External"/><Relationship Id="rId168" Type="http://schemas.openxmlformats.org/officeDocument/2006/relationships/hyperlink" Target="https://www.instagram.com/p/C52dTf3Lg8A/" TargetMode="External"/><Relationship Id="rId167" Type="http://schemas.openxmlformats.org/officeDocument/2006/relationships/hyperlink" Target="https://www.instagram.com/p/C52dTf3Lg8A/" TargetMode="External"/><Relationship Id="rId166" Type="http://schemas.openxmlformats.org/officeDocument/2006/relationships/hyperlink" Target="https://www.instagram.com/p/C52dTf3Lg8A/" TargetMode="External"/><Relationship Id="rId51" Type="http://schemas.openxmlformats.org/officeDocument/2006/relationships/hyperlink" Target="https://www.instagram.com/p/C5aQFmMLb2A/" TargetMode="External"/><Relationship Id="rId50" Type="http://schemas.openxmlformats.org/officeDocument/2006/relationships/hyperlink" Target="https://www.instagram.com/p/C5aQFmMLb2A/" TargetMode="External"/><Relationship Id="rId53" Type="http://schemas.openxmlformats.org/officeDocument/2006/relationships/hyperlink" Target="https://www.instagram.com/p/C5aQFmMLb2A/" TargetMode="External"/><Relationship Id="rId52" Type="http://schemas.openxmlformats.org/officeDocument/2006/relationships/hyperlink" Target="https://www.instagram.com/p/C5aQFmMLb2A/" TargetMode="External"/><Relationship Id="rId55" Type="http://schemas.openxmlformats.org/officeDocument/2006/relationships/hyperlink" Target="https://www.instagram.com/p/C5aQFmMLb2A/" TargetMode="External"/><Relationship Id="rId161" Type="http://schemas.openxmlformats.org/officeDocument/2006/relationships/hyperlink" Target="https://www.instagram.com/p/C52dTf3Lg8A/" TargetMode="External"/><Relationship Id="rId54" Type="http://schemas.openxmlformats.org/officeDocument/2006/relationships/hyperlink" Target="https://www.instagram.com/p/C5aQFmMLb2A/" TargetMode="External"/><Relationship Id="rId160" Type="http://schemas.openxmlformats.org/officeDocument/2006/relationships/hyperlink" Target="https://www.instagram.com/p/C52dTf3Lg8A/" TargetMode="External"/><Relationship Id="rId57" Type="http://schemas.openxmlformats.org/officeDocument/2006/relationships/hyperlink" Target="https://www.instagram.com/p/C5aQFmMLb2A/" TargetMode="External"/><Relationship Id="rId56" Type="http://schemas.openxmlformats.org/officeDocument/2006/relationships/hyperlink" Target="https://www.instagram.com/p/C5aQFmMLb2A/" TargetMode="External"/><Relationship Id="rId159" Type="http://schemas.openxmlformats.org/officeDocument/2006/relationships/hyperlink" Target="https://www.instagram.com/p/C52dTf3Lg8A/" TargetMode="External"/><Relationship Id="rId59" Type="http://schemas.openxmlformats.org/officeDocument/2006/relationships/hyperlink" Target="https://www.instagram.com/chelssyaoktaviana_/" TargetMode="External"/><Relationship Id="rId154" Type="http://schemas.openxmlformats.org/officeDocument/2006/relationships/hyperlink" Target="https://www.instagram.com/p/C52dTf3Lg8A/" TargetMode="External"/><Relationship Id="rId58" Type="http://schemas.openxmlformats.org/officeDocument/2006/relationships/hyperlink" Target="https://www.instagram.com/p/C5aQFmMLb2A/" TargetMode="External"/><Relationship Id="rId153" Type="http://schemas.openxmlformats.org/officeDocument/2006/relationships/hyperlink" Target="https://www.instagram.com/p/C52dTf3Lg8A/" TargetMode="External"/><Relationship Id="rId152" Type="http://schemas.openxmlformats.org/officeDocument/2006/relationships/hyperlink" Target="https://www.instagram.com/p/C52dTf3Lg8A/" TargetMode="External"/><Relationship Id="rId151" Type="http://schemas.openxmlformats.org/officeDocument/2006/relationships/hyperlink" Target="https://www.instagram.com/p/C52dTf3Lg8A/" TargetMode="External"/><Relationship Id="rId158" Type="http://schemas.openxmlformats.org/officeDocument/2006/relationships/hyperlink" Target="https://www.instagram.com/p/C52dTf3Lg8A/" TargetMode="External"/><Relationship Id="rId157" Type="http://schemas.openxmlformats.org/officeDocument/2006/relationships/hyperlink" Target="https://www.instagram.com/p/C52dTf3Lg8A/" TargetMode="External"/><Relationship Id="rId156" Type="http://schemas.openxmlformats.org/officeDocument/2006/relationships/hyperlink" Target="https://www.instagram.com/p/C52dTf3Lg8A/" TargetMode="External"/><Relationship Id="rId155" Type="http://schemas.openxmlformats.org/officeDocument/2006/relationships/hyperlink" Target="https://www.instagram.com/p/C52dTf3Lg8A/" TargetMode="External"/><Relationship Id="rId107" Type="http://schemas.openxmlformats.org/officeDocument/2006/relationships/hyperlink" Target="https://www.instagram.com/p/C5aQFmMLb2A/" TargetMode="External"/><Relationship Id="rId228" Type="http://schemas.openxmlformats.org/officeDocument/2006/relationships/hyperlink" Target="https://www.instagram.com/p/C2yThLZy_74/" TargetMode="External"/><Relationship Id="rId106" Type="http://schemas.openxmlformats.org/officeDocument/2006/relationships/hyperlink" Target="https://www.instagram.com/p/C5aQFmMLb2A/" TargetMode="External"/><Relationship Id="rId227" Type="http://schemas.openxmlformats.org/officeDocument/2006/relationships/hyperlink" Target="https://www.instagram.com/p/C2yThLZy_74/" TargetMode="External"/><Relationship Id="rId105" Type="http://schemas.openxmlformats.org/officeDocument/2006/relationships/hyperlink" Target="https://www.instagram.com/p/C5aQFmMLb2A/" TargetMode="External"/><Relationship Id="rId226" Type="http://schemas.openxmlformats.org/officeDocument/2006/relationships/hyperlink" Target="https://www.instagram.com/p/C2yThLZy_74/" TargetMode="External"/><Relationship Id="rId104" Type="http://schemas.openxmlformats.org/officeDocument/2006/relationships/hyperlink" Target="https://www.instagram.com/p/C5aQFmMLb2A/" TargetMode="External"/><Relationship Id="rId225" Type="http://schemas.openxmlformats.org/officeDocument/2006/relationships/hyperlink" Target="https://www.instagram.com/p/C2yThLZy_74/" TargetMode="External"/><Relationship Id="rId109" Type="http://schemas.openxmlformats.org/officeDocument/2006/relationships/hyperlink" Target="https://www.instagram.com/p/C52dTf3Lg8A/" TargetMode="External"/><Relationship Id="rId108" Type="http://schemas.openxmlformats.org/officeDocument/2006/relationships/hyperlink" Target="https://www.instagram.com/p/C52dTf3Lg8A/" TargetMode="External"/><Relationship Id="rId229" Type="http://schemas.openxmlformats.org/officeDocument/2006/relationships/hyperlink" Target="https://www.instagram.com/p/C2yThLZy_74/" TargetMode="External"/><Relationship Id="rId220" Type="http://schemas.openxmlformats.org/officeDocument/2006/relationships/hyperlink" Target="https://www.instagram.com/p/C2yThLZy_74/" TargetMode="External"/><Relationship Id="rId103" Type="http://schemas.openxmlformats.org/officeDocument/2006/relationships/hyperlink" Target="https://www.instagram.com/p/C5aQFmMLb2A/" TargetMode="External"/><Relationship Id="rId224" Type="http://schemas.openxmlformats.org/officeDocument/2006/relationships/hyperlink" Target="https://www.instagram.com/p/C2yThLZy_74/" TargetMode="External"/><Relationship Id="rId102" Type="http://schemas.openxmlformats.org/officeDocument/2006/relationships/hyperlink" Target="https://www.instagram.com/p/C5aQFmMLb2A/" TargetMode="External"/><Relationship Id="rId223" Type="http://schemas.openxmlformats.org/officeDocument/2006/relationships/hyperlink" Target="https://www.instagram.com/p/C2yThLZy_74/" TargetMode="External"/><Relationship Id="rId101" Type="http://schemas.openxmlformats.org/officeDocument/2006/relationships/hyperlink" Target="https://www.instagram.com/p/C5aQFmMLb2A/" TargetMode="External"/><Relationship Id="rId222" Type="http://schemas.openxmlformats.org/officeDocument/2006/relationships/hyperlink" Target="https://www.instagram.com/p/C2yThLZy_74/" TargetMode="External"/><Relationship Id="rId100" Type="http://schemas.openxmlformats.org/officeDocument/2006/relationships/hyperlink" Target="https://www.instagram.com/p/C5aQFmMLb2A/" TargetMode="External"/><Relationship Id="rId221" Type="http://schemas.openxmlformats.org/officeDocument/2006/relationships/hyperlink" Target="https://www.instagram.com/p/C2yThLZy_74/" TargetMode="External"/><Relationship Id="rId217" Type="http://schemas.openxmlformats.org/officeDocument/2006/relationships/hyperlink" Target="https://www.instagram.com/p/C2yThLZy_74/" TargetMode="External"/><Relationship Id="rId216" Type="http://schemas.openxmlformats.org/officeDocument/2006/relationships/hyperlink" Target="https://www.instagram.com/p/C2yThLZy_74/" TargetMode="External"/><Relationship Id="rId215" Type="http://schemas.openxmlformats.org/officeDocument/2006/relationships/hyperlink" Target="https://www.instagram.com/p/C2yThLZy_74/" TargetMode="External"/><Relationship Id="rId214" Type="http://schemas.openxmlformats.org/officeDocument/2006/relationships/hyperlink" Target="https://www.instagram.com/p/C2yThLZy_74/" TargetMode="External"/><Relationship Id="rId219" Type="http://schemas.openxmlformats.org/officeDocument/2006/relationships/hyperlink" Target="https://www.instagram.com/p/C2yThLZy_74/" TargetMode="External"/><Relationship Id="rId218" Type="http://schemas.openxmlformats.org/officeDocument/2006/relationships/hyperlink" Target="https://www.instagram.com/p/C2yThLZy_74/" TargetMode="External"/><Relationship Id="rId213" Type="http://schemas.openxmlformats.org/officeDocument/2006/relationships/hyperlink" Target="https://www.instagram.com/p/C3K3sL7rNzG/" TargetMode="External"/><Relationship Id="rId212" Type="http://schemas.openxmlformats.org/officeDocument/2006/relationships/hyperlink" Target="https://www.instagram.com/p/C3K3sL7rNzG/" TargetMode="External"/><Relationship Id="rId211" Type="http://schemas.openxmlformats.org/officeDocument/2006/relationships/hyperlink" Target="https://www.instagram.com/p/C3K3sL7rNzG/" TargetMode="External"/><Relationship Id="rId210" Type="http://schemas.openxmlformats.org/officeDocument/2006/relationships/hyperlink" Target="https://www.instagram.com/p/C3K3sL7rNzG/" TargetMode="External"/><Relationship Id="rId129" Type="http://schemas.openxmlformats.org/officeDocument/2006/relationships/hyperlink" Target="https://www.instagram.com/p/C52dTf3Lg8A/" TargetMode="External"/><Relationship Id="rId128" Type="http://schemas.openxmlformats.org/officeDocument/2006/relationships/hyperlink" Target="https://www.instagram.com/p/C52dTf3Lg8A/" TargetMode="External"/><Relationship Id="rId249" Type="http://schemas.openxmlformats.org/officeDocument/2006/relationships/hyperlink" Target="https://www.instagram.com/p/C2hPgfEyYbg/" TargetMode="External"/><Relationship Id="rId127" Type="http://schemas.openxmlformats.org/officeDocument/2006/relationships/hyperlink" Target="https://www.instagram.com/p/C52dTf3Lg8A/" TargetMode="External"/><Relationship Id="rId248" Type="http://schemas.openxmlformats.org/officeDocument/2006/relationships/hyperlink" Target="https://www.instagram.com/p/C2hPgfEyYbg/" TargetMode="External"/><Relationship Id="rId126" Type="http://schemas.openxmlformats.org/officeDocument/2006/relationships/hyperlink" Target="https://www.instagram.com/p/C52dTf3Lg8A/" TargetMode="External"/><Relationship Id="rId247" Type="http://schemas.openxmlformats.org/officeDocument/2006/relationships/hyperlink" Target="https://www.instagram.com/p/C2hPgfEyYbg/" TargetMode="External"/><Relationship Id="rId121" Type="http://schemas.openxmlformats.org/officeDocument/2006/relationships/hyperlink" Target="https://www.instagram.com/p/C52dTf3Lg8A/" TargetMode="External"/><Relationship Id="rId242" Type="http://schemas.openxmlformats.org/officeDocument/2006/relationships/hyperlink" Target="https://www.instagram.com/p/C2hPgfEyYbg/" TargetMode="External"/><Relationship Id="rId120" Type="http://schemas.openxmlformats.org/officeDocument/2006/relationships/hyperlink" Target="https://www.instagram.com/p/C52dTf3Lg8A/" TargetMode="External"/><Relationship Id="rId241" Type="http://schemas.openxmlformats.org/officeDocument/2006/relationships/hyperlink" Target="https://www.instagram.com/p/C2hPgfEyYbg/" TargetMode="External"/><Relationship Id="rId240" Type="http://schemas.openxmlformats.org/officeDocument/2006/relationships/hyperlink" Target="https://www.instagram.com/p/C2hPgfEyYbg/" TargetMode="External"/><Relationship Id="rId125" Type="http://schemas.openxmlformats.org/officeDocument/2006/relationships/hyperlink" Target="https://www.instagram.com/p/C52dTf3Lg8A/" TargetMode="External"/><Relationship Id="rId246" Type="http://schemas.openxmlformats.org/officeDocument/2006/relationships/hyperlink" Target="https://www.instagram.com/p/C2hPgfEyYbg/" TargetMode="External"/><Relationship Id="rId124" Type="http://schemas.openxmlformats.org/officeDocument/2006/relationships/hyperlink" Target="https://www.instagram.com/p/C52dTf3Lg8A/" TargetMode="External"/><Relationship Id="rId245" Type="http://schemas.openxmlformats.org/officeDocument/2006/relationships/hyperlink" Target="https://www.instagram.com/p/C2hPgfEyYbg/" TargetMode="External"/><Relationship Id="rId123" Type="http://schemas.openxmlformats.org/officeDocument/2006/relationships/hyperlink" Target="https://www.instagram.com/p/C52dTf3Lg8A/" TargetMode="External"/><Relationship Id="rId244" Type="http://schemas.openxmlformats.org/officeDocument/2006/relationships/hyperlink" Target="https://www.instagram.com/p/C2hPgfEyYbg/" TargetMode="External"/><Relationship Id="rId122" Type="http://schemas.openxmlformats.org/officeDocument/2006/relationships/hyperlink" Target="https://www.instagram.com/p/C52dTf3Lg8A/" TargetMode="External"/><Relationship Id="rId243" Type="http://schemas.openxmlformats.org/officeDocument/2006/relationships/hyperlink" Target="https://www.instagram.com/p/C2hPgfEyYbg/" TargetMode="External"/><Relationship Id="rId95" Type="http://schemas.openxmlformats.org/officeDocument/2006/relationships/hyperlink" Target="https://www.instagram.com/p/C5aQFmMLb2A/" TargetMode="External"/><Relationship Id="rId94" Type="http://schemas.openxmlformats.org/officeDocument/2006/relationships/hyperlink" Target="https://www.instagram.com/p/C5aQFmMLb2A/" TargetMode="External"/><Relationship Id="rId97" Type="http://schemas.openxmlformats.org/officeDocument/2006/relationships/hyperlink" Target="https://www.instagram.com/p/C5aQFmMLb2A/" TargetMode="External"/><Relationship Id="rId96" Type="http://schemas.openxmlformats.org/officeDocument/2006/relationships/hyperlink" Target="https://www.instagram.com/p/C5aQFmMLb2A/" TargetMode="External"/><Relationship Id="rId99" Type="http://schemas.openxmlformats.org/officeDocument/2006/relationships/hyperlink" Target="https://www.instagram.com/p/C5aQFmMLb2A/" TargetMode="External"/><Relationship Id="rId98" Type="http://schemas.openxmlformats.org/officeDocument/2006/relationships/hyperlink" Target="https://www.instagram.com/p/C5aQFmMLb2A/" TargetMode="External"/><Relationship Id="rId91" Type="http://schemas.openxmlformats.org/officeDocument/2006/relationships/hyperlink" Target="https://www.instagram.com/p/C5aQFmMLb2A/" TargetMode="External"/><Relationship Id="rId90" Type="http://schemas.openxmlformats.org/officeDocument/2006/relationships/hyperlink" Target="https://www.instagram.com/p/C5aQFmMLb2A/" TargetMode="External"/><Relationship Id="rId93" Type="http://schemas.openxmlformats.org/officeDocument/2006/relationships/hyperlink" Target="https://www.instagram.com/p/C5aQFmMLb2A/" TargetMode="External"/><Relationship Id="rId92" Type="http://schemas.openxmlformats.org/officeDocument/2006/relationships/hyperlink" Target="https://www.instagram.com/p/C5aQFmMLb2A/" TargetMode="External"/><Relationship Id="rId118" Type="http://schemas.openxmlformats.org/officeDocument/2006/relationships/hyperlink" Target="https://www.instagram.com/p/C52dTf3Lg8A/" TargetMode="External"/><Relationship Id="rId239" Type="http://schemas.openxmlformats.org/officeDocument/2006/relationships/hyperlink" Target="https://www.instagram.com/p/C2hPgfEyYbg/" TargetMode="External"/><Relationship Id="rId117" Type="http://schemas.openxmlformats.org/officeDocument/2006/relationships/hyperlink" Target="https://www.instagram.com/p/C52dTf3Lg8A/" TargetMode="External"/><Relationship Id="rId238" Type="http://schemas.openxmlformats.org/officeDocument/2006/relationships/hyperlink" Target="https://www.instagram.com/p/C2hPgfEyYbg/" TargetMode="External"/><Relationship Id="rId116" Type="http://schemas.openxmlformats.org/officeDocument/2006/relationships/hyperlink" Target="https://www.instagram.com/p/C52dTf3Lg8A/" TargetMode="External"/><Relationship Id="rId237" Type="http://schemas.openxmlformats.org/officeDocument/2006/relationships/hyperlink" Target="https://www.instagram.com/p/C2hPgfEyYbg/" TargetMode="External"/><Relationship Id="rId115" Type="http://schemas.openxmlformats.org/officeDocument/2006/relationships/hyperlink" Target="https://www.instagram.com/p/C52dTf3Lg8A/" TargetMode="External"/><Relationship Id="rId236" Type="http://schemas.openxmlformats.org/officeDocument/2006/relationships/hyperlink" Target="https://www.instagram.com/p/C2hPgfEyYbg/" TargetMode="External"/><Relationship Id="rId119" Type="http://schemas.openxmlformats.org/officeDocument/2006/relationships/hyperlink" Target="https://www.instagram.com/p/C52dTf3Lg8A/" TargetMode="External"/><Relationship Id="rId110" Type="http://schemas.openxmlformats.org/officeDocument/2006/relationships/hyperlink" Target="https://www.instagram.com/p/C52dTf3Lg8A/" TargetMode="External"/><Relationship Id="rId231" Type="http://schemas.openxmlformats.org/officeDocument/2006/relationships/hyperlink" Target="https://www.instagram.com/p/C2yThLZy_74/" TargetMode="External"/><Relationship Id="rId230" Type="http://schemas.openxmlformats.org/officeDocument/2006/relationships/hyperlink" Target="https://www.instagram.com/p/C2yThLZy_74/" TargetMode="External"/><Relationship Id="rId114" Type="http://schemas.openxmlformats.org/officeDocument/2006/relationships/hyperlink" Target="https://www.instagram.com/p/C52dTf3Lg8A/" TargetMode="External"/><Relationship Id="rId235" Type="http://schemas.openxmlformats.org/officeDocument/2006/relationships/hyperlink" Target="https://www.instagram.com/p/C2hPgfEyYbg/" TargetMode="External"/><Relationship Id="rId113" Type="http://schemas.openxmlformats.org/officeDocument/2006/relationships/hyperlink" Target="https://www.instagram.com/p/C52dTf3Lg8A/" TargetMode="External"/><Relationship Id="rId234" Type="http://schemas.openxmlformats.org/officeDocument/2006/relationships/hyperlink" Target="https://www.instagram.com/p/C2hPgfEyYbg/" TargetMode="External"/><Relationship Id="rId112" Type="http://schemas.openxmlformats.org/officeDocument/2006/relationships/hyperlink" Target="https://www.instagram.com/p/C52dTf3Lg8A/" TargetMode="External"/><Relationship Id="rId233" Type="http://schemas.openxmlformats.org/officeDocument/2006/relationships/hyperlink" Target="https://www.instagram.com/p/C2hPgfEyYbg/" TargetMode="External"/><Relationship Id="rId111" Type="http://schemas.openxmlformats.org/officeDocument/2006/relationships/hyperlink" Target="https://www.instagram.com/p/C52dTf3Lg8A/" TargetMode="External"/><Relationship Id="rId232" Type="http://schemas.openxmlformats.org/officeDocument/2006/relationships/hyperlink" Target="https://www.instagram.com/p/C2yThLZy_74/" TargetMode="External"/><Relationship Id="rId206" Type="http://schemas.openxmlformats.org/officeDocument/2006/relationships/hyperlink" Target="https://www.instagram.com/p/C3K3sL7rNzG/" TargetMode="External"/><Relationship Id="rId205" Type="http://schemas.openxmlformats.org/officeDocument/2006/relationships/hyperlink" Target="https://www.instagram.com/p/C3K3sL7rNzG/" TargetMode="External"/><Relationship Id="rId204" Type="http://schemas.openxmlformats.org/officeDocument/2006/relationships/hyperlink" Target="https://www.instagram.com/p/C3K3sL7rNzG/" TargetMode="External"/><Relationship Id="rId203" Type="http://schemas.openxmlformats.org/officeDocument/2006/relationships/hyperlink" Target="https://www.instagram.com/p/C3K3sL7rNzG/" TargetMode="External"/><Relationship Id="rId209" Type="http://schemas.openxmlformats.org/officeDocument/2006/relationships/hyperlink" Target="https://www.instagram.com/p/C3K3sL7rNzG/" TargetMode="External"/><Relationship Id="rId208" Type="http://schemas.openxmlformats.org/officeDocument/2006/relationships/hyperlink" Target="https://www.instagram.com/p/C3K3sL7rNzG/" TargetMode="External"/><Relationship Id="rId207" Type="http://schemas.openxmlformats.org/officeDocument/2006/relationships/hyperlink" Target="https://www.instagram.com/p/C3K3sL7rNzG/" TargetMode="External"/><Relationship Id="rId202" Type="http://schemas.openxmlformats.org/officeDocument/2006/relationships/hyperlink" Target="https://www.instagram.com/p/C5AUR3MLan6/" TargetMode="External"/><Relationship Id="rId201" Type="http://schemas.openxmlformats.org/officeDocument/2006/relationships/hyperlink" Target="https://www.instagram.com/p/C5AUR3MLan6/" TargetMode="External"/><Relationship Id="rId200" Type="http://schemas.openxmlformats.org/officeDocument/2006/relationships/hyperlink" Target="https://www.instagram.com/p/C5AUR3MLan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2.0"/>
    <col customWidth="1" min="6" max="6" width="17.38"/>
    <col customWidth="1" min="7" max="7" width="28.25"/>
    <col customWidth="1" min="8" max="8" width="20.88"/>
    <col customWidth="1" min="10" max="10" width="12.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Q1" s="1" t="s">
        <v>15</v>
      </c>
      <c r="R1" s="1" t="s">
        <v>16</v>
      </c>
    </row>
    <row r="2">
      <c r="A2" s="1" t="s">
        <v>17</v>
      </c>
      <c r="B2" s="2" t="s">
        <v>18</v>
      </c>
      <c r="C2" s="3" t="s">
        <v>19</v>
      </c>
      <c r="D2" s="4" t="s">
        <v>20</v>
      </c>
      <c r="E2" s="5" t="s">
        <v>21</v>
      </c>
      <c r="F2" s="6" t="str">
        <f>IFERROR(__xludf.DUMMYFUNCTION("IFERROR(ARRAYFORMULA(REGEXREPLACE(E2, ""("" &amp; TEXTJOIN(""|"", TRUE, FILTER(Q2:Q17, E:E&lt;&gt;"""")) &amp; "")"", 
                     INDEX(R2:R17, MATCH(REGEXEXTRACT(E2:E965, ""("" &amp; TEXTJOIN(""|"", TRUE, FILTER(Q2:Q17, Q2:Q17&lt;&gt;"""")) &amp; "")""), Q2:Q17, 0)))), E2"&amp;")"),"Mohon maaf atas ketidaknyamanannya 🙏")</f>
        <v>Mohon maaf atas ketidaknyamanannya 🙏</v>
      </c>
      <c r="G2" s="6" t="str">
        <f>IFERROR(__xludf.DUMMYFUNCTION("GOOGLETRANSLATE(F2, ""id"", ""de"")
"),"Entschuldigung für die Unannehmlichkeiten 🙏")</f>
        <v>Entschuldigung für die Unannehmlichkeiten 🙏</v>
      </c>
      <c r="H2" s="6" t="str">
        <f>IFERROR(__xludf.DUMMYFUNCTION("GOOGLETRANSLATE(G2, ""de"", ""id"")"),"Maaf atas ketidaknyamanan ini 🙏")</f>
        <v>Maaf atas ketidaknyamanan ini 🙏</v>
      </c>
      <c r="I2" s="6" t="str">
        <f>IFERROR(__xludf.DUMMYFUNCTION("GOOGLETRANSLATE(G2, ""de"", ""en"")"),"Sorry for the inconvenience 🙏")</f>
        <v>Sorry for the inconvenience 🙏</v>
      </c>
      <c r="J2" s="6" t="str">
        <f>IFERROR(__xludf.DUMMYFUNCTION("GOOGLETRANSLATE(I2, ""en"", ""id"")"),"Maaf atas ketidaknyamanan ini 🙏")</f>
        <v>Maaf atas ketidaknyamanan ini 🙏</v>
      </c>
      <c r="K2" s="6" t="str">
        <f>IFERROR(__xludf.DUMMYFUNCTION("GOOGLETRANSLATE(F2, ""id"", ""en"")"),"Sorry for the inconvenience 🙏")</f>
        <v>Sorry for the inconvenience 🙏</v>
      </c>
      <c r="L2" s="6" t="s">
        <v>22</v>
      </c>
      <c r="M2" s="6" t="str">
        <f>IFERROR(__xludf.DUMMYFUNCTION("GOOGLETRANSLATE(L2, ""en"", ""de"")"),"Entschuldigung für die Unannehmlichkeiten 🙏")</f>
        <v>Entschuldigung für die Unannehmlichkeiten 🙏</v>
      </c>
      <c r="N2" s="6" t="s">
        <v>23</v>
      </c>
      <c r="O2" s="6" t="str">
        <f>IFERROR(__xludf.DUMMYFUNCTION("GOOGLETRANSLATE(N2, ""de"", ""id"")"),"Maaf atas ketidaknyamanan ini 🙏")</f>
        <v>Maaf atas ketidaknyamanan ini 🙏</v>
      </c>
      <c r="Q2" s="1" t="s">
        <v>24</v>
      </c>
      <c r="R2" s="1" t="s">
        <v>25</v>
      </c>
    </row>
    <row r="3">
      <c r="A3" s="1" t="s">
        <v>17</v>
      </c>
      <c r="B3" s="2" t="s">
        <v>18</v>
      </c>
      <c r="C3" s="3" t="s">
        <v>26</v>
      </c>
      <c r="D3" s="4" t="s">
        <v>20</v>
      </c>
      <c r="E3" s="5" t="s">
        <v>27</v>
      </c>
      <c r="F3" s="6" t="str">
        <f>IFERROR(__xludf.DUMMYFUNCTION("IFERROR(ARRAYFORMULA(REGEXREPLACE(E3, ""("" &amp; TEXTJOIN(""|"", TRUE, FILTER(Q3:Q18, E:E&lt;&gt;"""")) &amp; "")"", 
                     INDEX(R3:R18, MATCH(REGEXEXTRACT(E3:E965, ""("" &amp; TEXTJOIN(""|"", TRUE, FILTER(Q3:Q18, Q3:Q18&lt;&gt;"""")) &amp; "")""), Q3:Q18, 0)))), E3"&amp;")"),"rusak kmu ini ee ksian pe panas tong drumah kmu kse mati subuh""")</f>
        <v>rusak kmu ini ee ksian pe panas tong drumah kmu kse mati subuh"</v>
      </c>
      <c r="G3" s="6" t="str">
        <f>IFERROR(__xludf.DUMMYFUNCTION("GOOGLETRANSLATE(F3, ""id"", ""de"")
"),"Bei dir ist es kaputt, es ist so schlimm, dass die Hitze in deinem Haus im Morgengrauen vergeht.")</f>
        <v>Bei dir ist es kaputt, es ist so schlimm, dass die Hitze in deinem Haus im Morgengrauen vergeht.</v>
      </c>
      <c r="H3" s="6" t="str">
        <f>IFERROR(__xludf.DUMMYFUNCTION("GOOGLETRANSLATE(G3, ""de"", ""id"")"),"Milikmu rusak, parah sekali hingga panas di rumahmu hilang saat fajar.")</f>
        <v>Milikmu rusak, parah sekali hingga panas di rumahmu hilang saat fajar.</v>
      </c>
      <c r="I3" s="6" t="str">
        <f>IFERROR(__xludf.DUMMYFUNCTION("GOOGLETRANSLATE(G3, ""de"", ""en"")"),"Yours is broken, it's so bad that the heat in your house goes away at dawn.")</f>
        <v>Yours is broken, it's so bad that the heat in your house goes away at dawn.</v>
      </c>
      <c r="J3" s="6" t="str">
        <f>IFERROR(__xludf.DUMMYFUNCTION("GOOGLETRANSLATE(I3, ""en"", ""id"")"),"Milikmu rusak, parah sekali hingga panas di rumahmu hilang saat fajar.")</f>
        <v>Milikmu rusak, parah sekali hingga panas di rumahmu hilang saat fajar.</v>
      </c>
      <c r="K3" s="6" t="str">
        <f>IFERROR(__xludf.DUMMYFUNCTION("GOOGLETRANSLATE(F3, ""id"", ""en"")"),"It's broken for you, it's so bad that the heat in your house will die at dawn""")</f>
        <v>It's broken for you, it's so bad that the heat in your house will die at dawn"</v>
      </c>
      <c r="L3" s="6" t="s">
        <v>28</v>
      </c>
      <c r="M3" s="6" t="str">
        <f>IFERROR(__xludf.DUMMYFUNCTION("GOOGLETRANSLATE(L3, ""en"", ""de"")"),"Bei dir ist es kaputt, es ist so schlimm, dass die Hitze in deinem Haus im Morgengrauen vergeht.")</f>
        <v>Bei dir ist es kaputt, es ist so schlimm, dass die Hitze in deinem Haus im Morgengrauen vergeht.</v>
      </c>
      <c r="N3" s="6" t="s">
        <v>29</v>
      </c>
      <c r="O3" s="6" t="str">
        <f>IFERROR(__xludf.DUMMYFUNCTION("GOOGLETRANSLATE(N3, ""de"", ""id"")"),"Milikmu rusak, parah sekali hingga panas di rumahmu hilang saat fajar.")</f>
        <v>Milikmu rusak, parah sekali hingga panas di rumahmu hilang saat fajar.</v>
      </c>
      <c r="Q3" s="1" t="s">
        <v>30</v>
      </c>
      <c r="R3" s="1" t="s">
        <v>31</v>
      </c>
    </row>
    <row r="4">
      <c r="A4" s="1" t="s">
        <v>17</v>
      </c>
      <c r="B4" s="2" t="s">
        <v>18</v>
      </c>
      <c r="C4" s="3" t="s">
        <v>32</v>
      </c>
      <c r="D4" s="4" t="s">
        <v>20</v>
      </c>
      <c r="E4" s="5" t="s">
        <v>33</v>
      </c>
      <c r="F4" s="6" t="str">
        <f>IFERROR(__xludf.DUMMYFUNCTION("IFERROR(ARRAYFORMULA(REGEXREPLACE(E4, ""("" &amp; TEXTJOIN(""|"", TRUE, FILTER(Q4:Q19, E:E&lt;&gt;"""")) &amp; "")"", 
                     INDEX(R4:R19, MATCH(REGEXEXTRACT(E4:E965, ""("" &amp; TEXTJOIN(""|"", TRUE, FILTER(Q4:Q19, Q4:Q19&lt;&gt;"""")) &amp; "")""), Q4:Q19, 0)))), E4"&amp;")"),"Tai Memang Kamu Tinggal Mo mati turus kamu bikin luwuk tedek nanti bulan puasa baru mo mati manyala apalgi dekat buka sementara buka dekat sahur abis sahur bagitu turus kamu banya alasan ada gangguan tede lanya' kamu TELAT BAYAR MATI BAGITU SO DI BAYAR SE"&amp;"ENAAKNYA BAKASE MATI syukur di Luwuk di luar sulawesi kamu pe kalakuan bagini abis kamu di togor")</f>
        <v>Tai Memang Kamu Tinggal Mo mati turus kamu bikin luwuk tedek nanti bulan puasa baru mo mati manyala apalgi dekat buka sementara buka dekat sahur abis sahur bagitu turus kamu banya alasan ada gangguan tede lanya' kamu TELAT BAYAR MATI BAGITU SO DI BAYAR SEENAAKNYA BAKASE MATI syukur di Luwuk di luar sulawesi kamu pe kalakuan bagini abis kamu di togor</v>
      </c>
      <c r="G4" s="6" t="str">
        <f>IFERROR(__xludf.DUMMYFUNCTION("GOOGLETRANSLATE(F4, ""id"", ""de"")
"),"Es ist wahr, dass du noch lebst und dann Luwuk Tedek machst. Später im neuen Fastenmonat wirst du oft sterben, besonders wenn du kurz vor der Öffnung stehst , in der Nähe von Sahur, nach Sahur, dann wirst du viele Ausreden finden, es gibt eine Störung, te"&amp;"de lanya', du bist ZU SPÄT ZUM ZAHLEN, TOD, SO BEZAHLE, WIE DU WILLST, BAKASE DEAD, Gott sei Dank in Luwuk liegt außerhalb von Sulawesi, das haben Sie getan, nachdem Sie in Togor waren")</f>
        <v>Es ist wahr, dass du noch lebst und dann Luwuk Tedek machst. Später im neuen Fastenmonat wirst du oft sterben, besonders wenn du kurz vor der Öffnung stehst , in der Nähe von Sahur, nach Sahur, dann wirst du viele Ausreden finden, es gibt eine Störung, tede lanya', du bist ZU SPÄT ZUM ZAHLEN, TOD, SO BEZAHLE, WIE DU WILLST, BAKASE DEAD, Gott sei Dank in Luwuk liegt außerhalb von Sulawesi, das haben Sie getan, nachdem Sie in Togor waren</v>
      </c>
      <c r="H4" s="6" t="str">
        <f>IFERROR(__xludf.DUMMYFUNCTION("GOOGLETRANSLATE(G4, ""de"", ""id"")"),"Memang benar kamu masih hidup lalu melakukan Luwuk Tedek. Nanti di bulan puasa baru sering mati, apalagi dekat buka, dekat sahur, habis sahur nanti banyak cari alasan, ada gangguan, tede laya', TERLAMBAT BAYAR, MATI , BAYAR SESUAI MAU, BAKASE MATI, alhamd"&amp;"ulillah di Luwuk di luar Sulawesi, itu kamu lakukan setelah di Togor")</f>
        <v>Memang benar kamu masih hidup lalu melakukan Luwuk Tedek. Nanti di bulan puasa baru sering mati, apalagi dekat buka, dekat sahur, habis sahur nanti banyak cari alasan, ada gangguan, tede laya', TERLAMBAT BAYAR, MATI , BAYAR SESUAI MAU, BAKASE MATI, alhamdulillah di Luwuk di luar Sulawesi, itu kamu lakukan setelah di Togor</v>
      </c>
      <c r="I4" s="6" t="str">
        <f>IFERROR(__xludf.DUMMYFUNCTION("GOOGLETRANSLATE(G4, ""de"", ""en"")"),"It is true that you are still alive and then do Luwuk Tedek. Later in the new fasting month you will often die, especially when you are close to the opening, near Sahur, after Sahur, then you will find many excuses, there is a disturbance, tede laya', you"&amp;" are TOO LATE TO PAY, DEATH, PAY AS YOU WANT, BAKASE DEAD, thank God in Luwuk is outside Sulawesi, you did that after you were in Togor")</f>
        <v>It is true that you are still alive and then do Luwuk Tedek. Later in the new fasting month you will often die, especially when you are close to the opening, near Sahur, after Sahur, then you will find many excuses, there is a disturbance, tede laya', you are TOO LATE TO PAY, DEATH, PAY AS YOU WANT, BAKASE DEAD, thank God in Luwuk is outside Sulawesi, you did that after you were in Togor</v>
      </c>
      <c r="J4" s="6" t="str">
        <f>IFERROR(__xludf.DUMMYFUNCTION("GOOGLETRANSLATE(I4, ""en"", ""id"")"),"Memang benar kamu masih hidup lalu melakukan Luwuk Tedek. Nanti di bulan puasa baru sering mati, apalagi dekat buka, dekat sahur, habis sahur nanti banyak cari alasan, ada gangguan, tede laya', TERLAMBAT BAYAR, MATI , BAYAR SESUAI MAU, BAKASE MATI, alhamd"&amp;"ulillah di Luwuk di luar Sulawesi, itu kamu lakukan setelah di Togor")</f>
        <v>Memang benar kamu masih hidup lalu melakukan Luwuk Tedek. Nanti di bulan puasa baru sering mati, apalagi dekat buka, dekat sahur, habis sahur nanti banyak cari alasan, ada gangguan, tede laya', TERLAMBAT BAYAR, MATI , BAYAR SESUAI MAU, BAKASE MATI, alhamdulillah di Luwuk di luar Sulawesi, itu kamu lakukan setelah di Togor</v>
      </c>
      <c r="K4" s="6" t="str">
        <f>IFERROR(__xludf.DUMMYFUNCTION("GOOGLETRANSLATE(F4, ""id"", ""en"")"),"It's true that you're still alive. You'll die and then you'll make luwuk tedek. Later in the new fasting month, you'll die a lot, especially when you're close to open, while you're open, close to sahur, after sahur, then you're going to make a lot of excu"&amp;"ses, there's a disturbance, tede lanya', you're LATE TO PAY, DEATH, SO PAY AS YOU WILL, BAKASE DEAD, thank God in Luwuk is outside Sulawesi, you did this after you were in Togor")</f>
        <v>It's true that you're still alive. You'll die and then you'll make luwuk tedek. Later in the new fasting month, you'll die a lot, especially when you're close to open, while you're open, close to sahur, after sahur, then you're going to make a lot of excuses, there's a disturbance, tede lanya', you're LATE TO PAY, DEATH, SO PAY AS YOU WILL, BAKASE DEAD, thank God in Luwuk is outside Sulawesi, you did this after you were in Togor</v>
      </c>
      <c r="L4" s="6" t="s">
        <v>34</v>
      </c>
      <c r="M4" s="6" t="str">
        <f>IFERROR(__xludf.DUMMYFUNCTION("GOOGLETRANSLATE(L4, ""en"", ""de"")"),"Es ist wahr, dass Mo tot zurückbleibt und man dann später im neuen Fastenmonat Luwuk Tedek macht, man wird oft tot sein, besonders wenn man kurz vor der Öffnung steht, während man offen ist, kurz davor Sahur, nach Sahur, dann wirst du viele Ausreden haben"&amp;", es gibt eine Störung, tede lanya', du bist SPÄT ZUM ZAHLEN, DU BIST TOT, ALSO BEZAHLE WIE DU WILLST, BAKASE DEAD, Gott sei Dank in Luwuk liegt außerhalb von Sulawesi, das haben Sie getan, nachdem Sie in Togor waren")</f>
        <v>Es ist wahr, dass Mo tot zurückbleibt und man dann später im neuen Fastenmonat Luwuk Tedek macht, man wird oft tot sein, besonders wenn man kurz vor der Öffnung steht, während man offen ist, kurz davor Sahur, nach Sahur, dann wirst du viele Ausreden haben, es gibt eine Störung, tede lanya', du bist SPÄT ZUM ZAHLEN, DU BIST TOT, ALSO BEZAHLE WIE DU WILLST, BAKASE DEAD, Gott sei Dank in Luwuk liegt außerhalb von Sulawesi, das haben Sie getan, nachdem Sie in Togor waren</v>
      </c>
      <c r="N4" s="6" t="s">
        <v>35</v>
      </c>
      <c r="O4" s="6" t="str">
        <f>IFERROR(__xludf.DUMMYFUNCTION("GOOGLETRANSLATE(N4, ""de"", ""id"")"),"Memang benar Mo tetap mati lalu nanti di bulan puasa baru kamu melakukan Luwuk Tedek pasti banyak yang mati, apalagi kalau mau buka, mumpung buka, pas sebelum Sahur, setelah Sahur, barulah kamu jadi banyak yang beralasan, ada gangguan, tede laya', kamu TE"&amp;"RLAMBAT BAYAR, KAMU MATI JADI BAYAR SESUAI INGIN, BAKASE MATI, alhamdulillah di Luwuk luar Sulawesi, kamu melakukan itu setelah kamu di Togor berada")</f>
        <v>Memang benar Mo tetap mati lalu nanti di bulan puasa baru kamu melakukan Luwuk Tedek pasti banyak yang mati, apalagi kalau mau buka, mumpung buka, pas sebelum Sahur, setelah Sahur, barulah kamu jadi banyak yang beralasan, ada gangguan, tede laya', kamu TERLAMBAT BAYAR, KAMU MATI JADI BAYAR SESUAI INGIN, BAKASE MATI, alhamdulillah di Luwuk luar Sulawesi, kamu melakukan itu setelah kamu di Togor berada</v>
      </c>
      <c r="Q4" s="1" t="s">
        <v>36</v>
      </c>
      <c r="R4" s="1" t="s">
        <v>37</v>
      </c>
    </row>
    <row r="5">
      <c r="A5" s="1" t="s">
        <v>17</v>
      </c>
      <c r="B5" s="2" t="s">
        <v>18</v>
      </c>
      <c r="C5" s="3" t="s">
        <v>38</v>
      </c>
      <c r="D5" s="4" t="s">
        <v>20</v>
      </c>
      <c r="E5" s="7" t="s">
        <v>39</v>
      </c>
      <c r="F5" s="8" t="str">
        <f>IFERROR(__xludf.DUMMYFUNCTION("IFERROR(ARRAYFORMULA(REGEXREPLACE(E5, ""("" &amp; TEXTJOIN(""|"", TRUE, FILTER(Q5:Q20, E:E&lt;&gt;"""")) &amp; "")"", 
                     INDEX(R5:R20, MATCH(REGEXEXTRACT(E5:E965, ""("" &amp; TEXTJOIN(""|"", TRUE, FILTER(Q5:Q20, Q5:Q20&lt;&gt;"""")) &amp; "")""), Q5:Q20, 0)))), E5"&amp;")"),"@layananplnluwuk ini mau berbuka Puasa Lampunya Mati🙈🙈🙈🙈🙄🙄🙄ada apa ini...Selama bulan ramadhan SDH lebih dari 10 X Mati LAMPUUU")</f>
        <v>@layananplnluwuk ini mau berbuka Puasa Lampunya Mati🙈🙈🙈🙈🙄🙄🙄ada apa ini...Selama bulan ramadhan SDH lebih dari 10 X Mati LAMPUUU</v>
      </c>
      <c r="G5" s="6" t="str">
        <f>IFERROR(__xludf.DUMMYFUNCTION("GOOGLETRANSLATE(F5, ""id"", ""de"")
"),"@jasaplnluwuk steht kurz vor dem Fastenbrechen, die Lichter sind aus🙈🙈🙈🙈🙄🙄🙄 was ist los...Während des Ramadan (SDH) gingen die Lichter mehr als 10 Mal aus")</f>
        <v>@jasaplnluwuk steht kurz vor dem Fastenbrechen, die Lichter sind aus🙈🙈🙈🙈🙄🙄🙄 was ist los...Während des Ramadan (SDH) gingen die Lichter mehr als 10 Mal aus</v>
      </c>
      <c r="H5" s="6" t="str">
        <f>IFERROR(__xludf.DUMMYFUNCTION("GOOGLETRANSLATE(G5, ""de"", ""id"")"),"@jasaplnluwuk mau berbuka puasa, mati lampu🙈🙈🙈🙈🙄🙄🙄 apa kabar...selama ramadhan (SDH), mati lampu lebih dari 10 kali")</f>
        <v>@jasaplnluwuk mau berbuka puasa, mati lampu🙈🙈🙈🙈🙄🙄🙄 apa kabar...selama ramadhan (SDH), mati lampu lebih dari 10 kali</v>
      </c>
      <c r="I5" s="6" t="str">
        <f>IFERROR(__xludf.DUMMYFUNCTION("GOOGLETRANSLATE(G5, ""de"", ""en"")"),"@jasaplnluwuk is about to break the fast, the lights are out🙈🙈🙈🙈🙄🙄🙄 what's going on...During Ramadan (SDH), the lights went out more than 10 times")</f>
        <v>@jasaplnluwuk is about to break the fast, the lights are out🙈🙈🙈🙈🙄🙄🙄 what's going on...During Ramadan (SDH), the lights went out more than 10 times</v>
      </c>
      <c r="J5" s="6" t="str">
        <f>IFERROR(__xludf.DUMMYFUNCTION("GOOGLETRANSLATE(I5, ""en"", ""id"")"),"@jasaplnluwuk mau berbuka puasa, mati lampu🙈🙈🙈🙈🙄🙄🙄 apa kabar...selama ramadhan (SDH), mati lampu lebih dari 10 kali")</f>
        <v>@jasaplnluwuk mau berbuka puasa, mati lampu🙈🙈🙈🙈🙄🙄🙄 apa kabar...selama ramadhan (SDH), mati lampu lebih dari 10 kali</v>
      </c>
      <c r="K5" s="6" t="str">
        <f>IFERROR(__xludf.DUMMYFUNCTION("GOOGLETRANSLATE(F5, ""id"", ""en"")"),"@ jasaplnluwuk is about to break the fast, the lights are off🙈🙈🙈🙈🙄🙄🙄 what's going on...During the month of Ramadhan SDH the lights went out more than 10 times")</f>
        <v>@ jasaplnluwuk is about to break the fast, the lights are off🙈🙈🙈🙈🙄🙄🙄 what's going on...During the month of Ramadhan SDH the lights went out more than 10 times</v>
      </c>
      <c r="L5" s="6" t="s">
        <v>40</v>
      </c>
      <c r="M5" s="6" t="str">
        <f>IFERROR(__xludf.DUMMYFUNCTION("GOOGLETRANSLATE(L5, ""en"", ""de"")"),"@jasaplnluwuk steht kurz vor dem Fastenbrechen, die Lichter sind aus🙈🙈🙈🙈🙄🙄🙄 was ist los...Während des Ramadan (SDH) gingen die Lichter mehr als 10 Mal aus")</f>
        <v>@jasaplnluwuk steht kurz vor dem Fastenbrechen, die Lichter sind aus🙈🙈🙈🙈🙄🙄🙄 was ist los...Während des Ramadan (SDH) gingen die Lichter mehr als 10 Mal aus</v>
      </c>
      <c r="N5" s="6" t="s">
        <v>41</v>
      </c>
      <c r="O5" s="6" t="str">
        <f>IFERROR(__xludf.DUMMYFUNCTION("GOOGLETRANSLATE(N5, ""de"", ""id"")"),"@jasaplnluwuk mau berbuka puasa, mati lampu🙈🙈🙈🙈🙄🙄🙄 apa kabar...selama ramadhan (SDH), mati lampu lebih dari 10 kali")</f>
        <v>@jasaplnluwuk mau berbuka puasa, mati lampu🙈🙈🙈🙈🙄🙄🙄 apa kabar...selama ramadhan (SDH), mati lampu lebih dari 10 kali</v>
      </c>
      <c r="Q5" s="1" t="s">
        <v>42</v>
      </c>
      <c r="R5" s="1" t="s">
        <v>43</v>
      </c>
    </row>
    <row r="6">
      <c r="A6" s="1" t="s">
        <v>17</v>
      </c>
      <c r="B6" s="2" t="s">
        <v>18</v>
      </c>
      <c r="C6" s="3" t="s">
        <v>44</v>
      </c>
      <c r="D6" s="4" t="s">
        <v>20</v>
      </c>
      <c r="E6" s="5" t="s">
        <v>45</v>
      </c>
      <c r="F6" s="6" t="str">
        <f>IFERROR(__xludf.DUMMYFUNCTION("IFERROR(ARRAYFORMULA(REGEXREPLACE(E6, ""("" &amp; TEXTJOIN(""|"", TRUE, FILTER(Q6:Q21, E:E&lt;&gt;"""")) &amp; "")"", 
                     INDEX(R6:R21, MATCH(REGEXEXTRACT(E6:E965, ""("" &amp; TEXTJOIN(""|"", TRUE, FILTER(Q6:Q21, Q6:Q21&lt;&gt;"""")) &amp; "")""), Q6:Q21, 0)))), E6"&amp;")"),"Adoh..")</f>
        <v>Adoh..</v>
      </c>
      <c r="G6" s="6" t="str">
        <f>IFERROR(__xludf.DUMMYFUNCTION("GOOGLETRANSLATE(F6, ""id"", ""de"")
"),"Autsch..")</f>
        <v>Autsch..</v>
      </c>
      <c r="H6" s="6" t="str">
        <f>IFERROR(__xludf.DUMMYFUNCTION("GOOGLETRANSLATE(G6, ""de"", ""id"")"),"Aduh..")</f>
        <v>Aduh..</v>
      </c>
      <c r="I6" s="6" t="str">
        <f>IFERROR(__xludf.DUMMYFUNCTION("GOOGLETRANSLATE(G6, ""de"", ""en"")"),"Ouch..")</f>
        <v>Ouch..</v>
      </c>
      <c r="J6" s="6" t="str">
        <f>IFERROR(__xludf.DUMMYFUNCTION("GOOGLETRANSLATE(I6, ""en"", ""id"")"),"Aduh..")</f>
        <v>Aduh..</v>
      </c>
      <c r="K6" s="6" t="str">
        <f>IFERROR(__xludf.DUMMYFUNCTION("GOOGLETRANSLATE(F6, ""id"", ""en"")"),"Ouch..")</f>
        <v>Ouch..</v>
      </c>
      <c r="L6" s="6" t="s">
        <v>46</v>
      </c>
      <c r="M6" s="6" t="str">
        <f>IFERROR(__xludf.DUMMYFUNCTION("GOOGLETRANSLATE(L6, ""en"", ""de"")"),"Autsch..")</f>
        <v>Autsch..</v>
      </c>
      <c r="N6" s="6" t="s">
        <v>47</v>
      </c>
      <c r="O6" s="6" t="str">
        <f>IFERROR(__xludf.DUMMYFUNCTION("GOOGLETRANSLATE(N6, ""de"", ""id"")"),"Aduh..")</f>
        <v>Aduh..</v>
      </c>
      <c r="Q6" s="1" t="s">
        <v>48</v>
      </c>
      <c r="R6" s="1" t="s">
        <v>49</v>
      </c>
    </row>
    <row r="7">
      <c r="A7" s="1" t="s">
        <v>17</v>
      </c>
      <c r="B7" s="2" t="s">
        <v>18</v>
      </c>
      <c r="C7" s="9" t="s">
        <v>50</v>
      </c>
      <c r="D7" s="4" t="s">
        <v>51</v>
      </c>
      <c r="E7" s="1" t="s">
        <v>52</v>
      </c>
      <c r="F7" s="6" t="str">
        <f>IFERROR(__xludf.DUMMYFUNCTION("IFERROR(ARRAYFORMULA(REGEXREPLACE(E7, ""("" &amp; TEXTJOIN(""|"", TRUE, FILTER(Q7:Q22, E:E&lt;&gt;"""")) &amp; "")"", 
                     INDEX(R7:R22, MATCH(REGEXEXTRACT(E7:E965, ""("" &amp; TEXTJOIN(""|"", TRUE, FILTER(Q7:Q22, Q7:Q22&lt;&gt;"""")) &amp; "")""), Q7:Q22, 0)))), E7"&amp;")"),"Terbaik")</f>
        <v>Terbaik</v>
      </c>
      <c r="G7" s="6" t="str">
        <f>IFERROR(__xludf.DUMMYFUNCTION("GOOGLETRANSLATE(F7, ""id"", ""de"")
"),"Am besten")</f>
        <v>Am besten</v>
      </c>
      <c r="H7" s="6" t="str">
        <f>IFERROR(__xludf.DUMMYFUNCTION("GOOGLETRANSLATE(G7, ""de"", ""id"")"),"Lebih disukai")</f>
        <v>Lebih disukai</v>
      </c>
      <c r="I7" s="6" t="str">
        <f>IFERROR(__xludf.DUMMYFUNCTION("GOOGLETRANSLATE(G7, ""de"", ""en"")"),"Preferably")</f>
        <v>Preferably</v>
      </c>
      <c r="J7" s="6" t="str">
        <f>IFERROR(__xludf.DUMMYFUNCTION("GOOGLETRANSLATE(I7, ""en"", ""id"")"),"Lebih disukai")</f>
        <v>Lebih disukai</v>
      </c>
      <c r="K7" s="6" t="str">
        <f>IFERROR(__xludf.DUMMYFUNCTION("GOOGLETRANSLATE(F7, ""id"", ""en"")"),"Best")</f>
        <v>Best</v>
      </c>
      <c r="L7" s="6" t="s">
        <v>53</v>
      </c>
      <c r="M7" s="6" t="str">
        <f>IFERROR(__xludf.DUMMYFUNCTION("GOOGLETRANSLATE(L7, ""en"", ""de"")"),"Am besten")</f>
        <v>Am besten</v>
      </c>
      <c r="N7" s="6" t="s">
        <v>54</v>
      </c>
      <c r="O7" s="6" t="str">
        <f>IFERROR(__xludf.DUMMYFUNCTION("GOOGLETRANSLATE(N7, ""de"", ""id"")"),"Lebih disukai")</f>
        <v>Lebih disukai</v>
      </c>
      <c r="Q7" s="1" t="s">
        <v>55</v>
      </c>
      <c r="R7" s="1" t="s">
        <v>56</v>
      </c>
    </row>
    <row r="8">
      <c r="A8" s="1" t="s">
        <v>17</v>
      </c>
      <c r="B8" s="2" t="s">
        <v>18</v>
      </c>
      <c r="C8" s="3" t="s">
        <v>38</v>
      </c>
      <c r="D8" s="4" t="s">
        <v>57</v>
      </c>
      <c r="E8" s="10" t="s">
        <v>58</v>
      </c>
      <c r="F8" s="6" t="str">
        <f>IFERROR(__xludf.DUMMYFUNCTION("IFERROR(ARRAYFORMULA(REGEXREPLACE(E8, ""("" &amp; TEXTJOIN(""|"", TRUE, FILTER(Q8:Q23, E:E&lt;&gt;"""")) &amp; "")"", 
                     INDEX(R8:R23, MATCH(REGEXEXTRACT(E8:E965, ""("" &amp; TEXTJOIN(""|"", TRUE, FILTER(Q8:Q23, Q8:Q23&lt;&gt;"""")) &amp; "")""), Q8:Q23, 0)))), E8"&amp;")"),"@layananplnluwuk Min...kalau bisa Update juga terkait kondisi di lapangan setiap adanya Pemadaman...giliran urusan tagihan PLN dan sangsi baru update")</f>
        <v>@layananplnluwuk Min...kalau bisa Update juga terkait kondisi di lapangan setiap adanya Pemadaman...giliran urusan tagihan PLN dan sangsi baru update</v>
      </c>
      <c r="G8" s="6" t="str">
        <f>IFERROR(__xludf.DUMMYFUNCTION("GOOGLETRANSLATE(F8, ""id"", ""de"")
"),"@jasaplnluwuk Min... wenn möglich, aktualisieren Sie auch die Bedingungen vor Ort bei jedem Stromausfall... Sie sind an der Reihe, sich um PLN-Rechnungen und Sanktionen zu kümmern und dann zu aktualisieren")</f>
        <v>@jasaplnluwuk Min... wenn möglich, aktualisieren Sie auch die Bedingungen vor Ort bei jedem Stromausfall... Sie sind an der Reihe, sich um PLN-Rechnungen und Sanktionen zu kümmern und dann zu aktualisieren</v>
      </c>
      <c r="H8" s="6" t="str">
        <f>IFERROR(__xludf.DUMMYFUNCTION("GOOGLETRANSLATE(G8, ""de"", ""id"")"),"@jasaplnluwuk Min...kalau bisa update juga kondisi di lokasi setiap ada pemadaman listrik...Giliran anda yang urus tagihan PLN dan dendanya lalu update")</f>
        <v>@jasaplnluwuk Min...kalau bisa update juga kondisi di lokasi setiap ada pemadaman listrik...Giliran anda yang urus tagihan PLN dan dendanya lalu update</v>
      </c>
      <c r="I8" s="6" t="str">
        <f>IFERROR(__xludf.DUMMYFUNCTION("GOOGLETRANSLATE(G8, ""de"", ""en"")"),"@jasaplnluwuk Min... if possible, also update the conditions on site every time there is a power outage... It's your turn to take care of PLN bills and penalties and then update")</f>
        <v>@jasaplnluwuk Min... if possible, also update the conditions on site every time there is a power outage... It's your turn to take care of PLN bills and penalties and then update</v>
      </c>
      <c r="J8" s="6" t="str">
        <f>IFERROR(__xludf.DUMMYFUNCTION("GOOGLETRANSLATE(I8, ""en"", ""id"")"),"@jasaplnluwuk Min...kalau bisa update juga kondisi di lokasi setiap ada pemadaman listrik...Giliran anda yang urus tagihan PLN dan dendanya lalu update")</f>
        <v>@jasaplnluwuk Min...kalau bisa update juga kondisi di lokasi setiap ada pemadaman listrik...Giliran anda yang urus tagihan PLN dan dendanya lalu update</v>
      </c>
      <c r="K8" s="6" t="str">
        <f>IFERROR(__xludf.DUMMYFUNCTION("GOOGLETRANSLATE(F8, ""id"", ""en"")"),"@ jasaplnluwuk Min... if possible also update regarding conditions in the field every time there is a blackout... it's your turn to deal with PLN bills and sanctions then update")</f>
        <v>@ jasaplnluwuk Min... if possible also update regarding conditions in the field every time there is a blackout... it's your turn to deal with PLN bills and sanctions then update</v>
      </c>
      <c r="L8" s="6" t="s">
        <v>59</v>
      </c>
      <c r="M8" s="6" t="str">
        <f>IFERROR(__xludf.DUMMYFUNCTION("GOOGLETRANSLATE(L8, ""en"", ""de"")"),"@jasaplnluwuk Min... wenn möglich, aktualisieren Sie auch die Bedingungen vor Ort bei jedem Stromausfall... Sie sind an der Reihe, sich um PLN-Rechnungen und Sanktionen zu kümmern und dann zu aktualisieren")</f>
        <v>@jasaplnluwuk Min... wenn möglich, aktualisieren Sie auch die Bedingungen vor Ort bei jedem Stromausfall... Sie sind an der Reihe, sich um PLN-Rechnungen und Sanktionen zu kümmern und dann zu aktualisieren</v>
      </c>
      <c r="N8" s="6" t="s">
        <v>60</v>
      </c>
      <c r="O8" s="6" t="str">
        <f>IFERROR(__xludf.DUMMYFUNCTION("GOOGLETRANSLATE(N8, ""de"", ""id"")"),"@jasaplnluwuk Min...kalau bisa update juga kondisi di lokasi setiap ada pemadaman listrik...Giliran anda yang urus tagihan PLN dan dendanya lalu update")</f>
        <v>@jasaplnluwuk Min...kalau bisa update juga kondisi di lokasi setiap ada pemadaman listrik...Giliran anda yang urus tagihan PLN dan dendanya lalu update</v>
      </c>
      <c r="Q8" s="1" t="s">
        <v>61</v>
      </c>
      <c r="R8" s="1" t="s">
        <v>62</v>
      </c>
    </row>
    <row r="9">
      <c r="A9" s="1" t="s">
        <v>17</v>
      </c>
      <c r="B9" s="2" t="s">
        <v>18</v>
      </c>
      <c r="C9" s="3" t="s">
        <v>19</v>
      </c>
      <c r="D9" s="4" t="s">
        <v>57</v>
      </c>
      <c r="E9" s="10" t="s">
        <v>63</v>
      </c>
      <c r="F9" s="6" t="str">
        <f>IFERROR(__xludf.DUMMYFUNCTION("IFERROR(ARRAYFORMULA(REGEXREPLACE(E9, ""("" &amp; TEXTJOIN(""|"", TRUE, FILTER(Q9:Q24, E:E&lt;&gt;"""")) &amp; "")"", 
                     INDEX(R9:R24, MATCH(REGEXEXTRACT(E9:E965, ""("" &amp; TEXTJOIN(""|"", TRUE, FILTER(Q9:Q24, Q9:Q24&lt;&gt;"""")) &amp; "")""), Q9:Q24, 0)))), E9"&amp;")"),"@budhy_kaget Baik Pak, kami akan update terkait pemadaman juga. Terima kasih masukannya 🙏")</f>
        <v>@budhy_kaget Baik Pak, kami akan update terkait pemadaman juga. Terima kasih masukannya 🙏</v>
      </c>
      <c r="G9" s="6" t="str">
        <f>IFERROR(__xludf.DUMMYFUNCTION("GOOGLETRANSLATE(F9, ""id"", ""de"")
"),"@budhy_kaget OK, Sir, wir werden auch bezüglich des Ausfalls auf dem Laufenden bleiben. Vielen Dank für deinen Beitrag 🙏")</f>
        <v>@budhy_kaget OK, Sir, wir werden auch bezüglich des Ausfalls auf dem Laufenden bleiben. Vielen Dank für deinen Beitrag 🙏</v>
      </c>
      <c r="H9" s="6" t="str">
        <f>IFERROR(__xludf.DUMMYFUNCTION("GOOGLETRANSLATE(G9, ""de"", ""id"")"),"@budhy_kaget Oke pak, kami juga akan terus update terkait pemadaman tersebut. Terima kasih atas kontribusi Anda 🙏")</f>
        <v>@budhy_kaget Oke pak, kami juga akan terus update terkait pemadaman tersebut. Terima kasih atas kontribusi Anda 🙏</v>
      </c>
      <c r="I9" s="6" t="str">
        <f>IFERROR(__xludf.DUMMYFUNCTION("GOOGLETRANSLATE(G9, ""de"", ""en"")"),"@budhy_kaget OK sir, we will also keep updated regarding the outage. Thank you for your contribution 🙏")</f>
        <v>@budhy_kaget OK sir, we will also keep updated regarding the outage. Thank you for your contribution 🙏</v>
      </c>
      <c r="J9" s="6" t="str">
        <f>IFERROR(__xludf.DUMMYFUNCTION("GOOGLETRANSLATE(I9, ""en"", ""id"")"),"@budhy_kaget Oke pak, kami juga akan terus update terkait pemadaman tersebut. Terima kasih atas kontribusi Anda 🙏")</f>
        <v>@budhy_kaget Oke pak, kami juga akan terus update terkait pemadaman tersebut. Terima kasih atas kontribusi Anda 🙏</v>
      </c>
      <c r="K9" s="6" t="str">
        <f>IFERROR(__xludf.DUMMYFUNCTION("GOOGLETRANSLATE(F9, ""id"", ""en"")"),"@budhy_kaget OK sir, we will update regarding the outage too. Thank you for your input 🙏")</f>
        <v>@budhy_kaget OK sir, we will update regarding the outage too. Thank you for your input 🙏</v>
      </c>
      <c r="L9" s="6" t="s">
        <v>64</v>
      </c>
      <c r="M9" s="6" t="str">
        <f>IFERROR(__xludf.DUMMYFUNCTION("GOOGLETRANSLATE(L9, ""en"", ""de"")"),"@budhy_kaget OK, Sir, wir werden auch bezüglich des Ausfalls auf dem Laufenden bleiben. Vielen Dank für deinen Beitrag 🙏")</f>
        <v>@budhy_kaget OK, Sir, wir werden auch bezüglich des Ausfalls auf dem Laufenden bleiben. Vielen Dank für deinen Beitrag 🙏</v>
      </c>
      <c r="N9" s="6" t="s">
        <v>65</v>
      </c>
      <c r="O9" s="6" t="str">
        <f>IFERROR(__xludf.DUMMYFUNCTION("GOOGLETRANSLATE(N9, ""de"", ""id"")"),"@budhy_kaget Oke pak, kami juga akan terus update terkait pemadaman tersebut. Terima kasih atas kontribusi Anda 🙏")</f>
        <v>@budhy_kaget Oke pak, kami juga akan terus update terkait pemadaman tersebut. Terima kasih atas kontribusi Anda 🙏</v>
      </c>
      <c r="Q9" s="1" t="s">
        <v>66</v>
      </c>
      <c r="R9" s="1" t="s">
        <v>67</v>
      </c>
    </row>
    <row r="10">
      <c r="A10" s="1" t="s">
        <v>17</v>
      </c>
      <c r="B10" s="2" t="s">
        <v>18</v>
      </c>
      <c r="C10" s="3" t="s">
        <v>68</v>
      </c>
      <c r="D10" s="4" t="s">
        <v>69</v>
      </c>
      <c r="E10" s="5" t="s">
        <v>70</v>
      </c>
      <c r="F10" s="6" t="str">
        <f>IFERROR(__xludf.DUMMYFUNCTION("IFERROR(ARRAYFORMULA(REGEXREPLACE(E10, ""("" &amp; TEXTJOIN(""|"", TRUE, FILTER(Q10:Q25, E:E&lt;&gt;"""")) &amp; "")"", 
                     INDEX(R10:R25, MATCH(REGEXEXTRACT(E10:E965, ""("" &amp; TEXTJOIN(""|"", TRUE, FILTER(Q10:Q25, Q10:Q25&lt;&gt;"""")) &amp; "")""), Q10:Q25, 0)"&amp;"))), E10)"),"Terima kasih infonya 🙏🏻")</f>
        <v>Terima kasih infonya 🙏🏻</v>
      </c>
      <c r="G10" s="6" t="str">
        <f>IFERROR(__xludf.DUMMYFUNCTION("GOOGLETRANSLATE(F10, ""id"", ""de"")
"),"Vielen Dank für die Info 🙏🏻")</f>
        <v>Vielen Dank für die Info 🙏🏻</v>
      </c>
      <c r="H10" s="6" t="str">
        <f>IFERROR(__xludf.DUMMYFUNCTION("GOOGLETRANSLATE(G10, ""de"", ""id"")"),"Terima kasih atas informasinya 🙏🏻")</f>
        <v>Terima kasih atas informasinya 🙏🏻</v>
      </c>
      <c r="I10" s="6" t="str">
        <f>IFERROR(__xludf.DUMMYFUNCTION("GOOGLETRANSLATE(G10, ""de"", ""en"")"),"Thank you for the information 🙏🏻")</f>
        <v>Thank you for the information 🙏🏻</v>
      </c>
      <c r="J10" s="6" t="str">
        <f>IFERROR(__xludf.DUMMYFUNCTION("GOOGLETRANSLATE(I10, ""en"", ""id"")"),"Terima kasih atas informasinya 🙏🏻")</f>
        <v>Terima kasih atas informasinya 🙏🏻</v>
      </c>
      <c r="K10" s="6" t="str">
        <f>IFERROR(__xludf.DUMMYFUNCTION("GOOGLETRANSLATE(F10, ""id"", ""en"")"),"Thank you for the info 🙏🏻")</f>
        <v>Thank you for the info 🙏🏻</v>
      </c>
      <c r="L10" s="6" t="s">
        <v>71</v>
      </c>
      <c r="M10" s="6" t="str">
        <f>IFERROR(__xludf.DUMMYFUNCTION("GOOGLETRANSLATE(L10, ""en"", ""de"")"),"Vielen Dank für die Info 🙏🏻")</f>
        <v>Vielen Dank für die Info 🙏🏻</v>
      </c>
      <c r="N10" s="6" t="s">
        <v>72</v>
      </c>
      <c r="O10" s="6" t="str">
        <f>IFERROR(__xludf.DUMMYFUNCTION("GOOGLETRANSLATE(N10, ""de"", ""id"")"),"Terima kasih atas informasinya 🙏🏻")</f>
        <v>Terima kasih atas informasinya 🙏🏻</v>
      </c>
      <c r="Q10" s="1" t="s">
        <v>73</v>
      </c>
      <c r="R10" s="1" t="s">
        <v>74</v>
      </c>
    </row>
    <row r="11">
      <c r="A11" s="1" t="s">
        <v>17</v>
      </c>
      <c r="B11" s="2" t="s">
        <v>18</v>
      </c>
      <c r="C11" s="3" t="s">
        <v>44</v>
      </c>
      <c r="D11" s="4" t="s">
        <v>69</v>
      </c>
      <c r="E11" s="5" t="s">
        <v>75</v>
      </c>
      <c r="F11" s="6" t="str">
        <f>IFERROR(__xludf.DUMMYFUNCTION("IFERROR(ARRAYFORMULA(REGEXREPLACE(E11, ""("" &amp; TEXTJOIN(""|"", TRUE, FILTER(Q11:Q26, E:E&lt;&gt;"""")) &amp; "")"", 
                     INDEX(R11:R26, MATCH(REGEXEXTRACT(E11:E965, ""("" &amp; TEXTJOIN(""|"", TRUE, FILTER(Q11:Q26, Q11:Q26&lt;&gt;"""")) &amp; "")""), Q11:Q26, 0)"&amp;"))), E11)"),"Siap..terimakasih infonya")</f>
        <v>Siap..terimakasih infonya</v>
      </c>
      <c r="G11" s="6" t="str">
        <f>IFERROR(__xludf.DUMMYFUNCTION("GOOGLETRANSLATE(F11, ""id"", ""de"")
"),"Fertig. Danke für die Info")</f>
        <v>Fertig. Danke für die Info</v>
      </c>
      <c r="H11" s="6" t="str">
        <f>IFERROR(__xludf.DUMMYFUNCTION("GOOGLETRANSLATE(G11, ""de"", ""id"")"),"Menyelesaikan. Terimakasih atas infonya")</f>
        <v>Menyelesaikan. Terimakasih atas infonya</v>
      </c>
      <c r="I11" s="6" t="str">
        <f>IFERROR(__xludf.DUMMYFUNCTION("GOOGLETRANSLATE(G11, ""de"", ""en"")"),"Complete. Thanks for the info")</f>
        <v>Complete. Thanks for the info</v>
      </c>
      <c r="J11" s="6" t="str">
        <f>IFERROR(__xludf.DUMMYFUNCTION("GOOGLETRANSLATE(I11, ""en"", ""id"")"),"Menyelesaikan. Terimakasih atas infonya")</f>
        <v>Menyelesaikan. Terimakasih atas infonya</v>
      </c>
      <c r="K11" s="6" t="str">
        <f>IFERROR(__xludf.DUMMYFUNCTION("GOOGLETRANSLATE(F11, ""id"", ""en"")"),"Ready..thanks for the info")</f>
        <v>Ready..thanks for the info</v>
      </c>
      <c r="L11" s="6" t="s">
        <v>76</v>
      </c>
      <c r="M11" s="6" t="str">
        <f>IFERROR(__xludf.DUMMYFUNCTION("GOOGLETRANSLATE(L11, ""en"", ""de"")"),"Fertig. Danke für die Info")</f>
        <v>Fertig. Danke für die Info</v>
      </c>
      <c r="N11" s="6" t="s">
        <v>77</v>
      </c>
      <c r="O11" s="6" t="str">
        <f>IFERROR(__xludf.DUMMYFUNCTION("GOOGLETRANSLATE(N11, ""de"", ""id"")"),"Menyelesaikan. Terimakasih atas infonya")</f>
        <v>Menyelesaikan. Terimakasih atas infonya</v>
      </c>
      <c r="Q11" s="1" t="s">
        <v>78</v>
      </c>
      <c r="R11" s="1" t="s">
        <v>79</v>
      </c>
    </row>
    <row r="12">
      <c r="A12" s="1" t="s">
        <v>17</v>
      </c>
      <c r="B12" s="2" t="s">
        <v>18</v>
      </c>
      <c r="C12" s="3" t="s">
        <v>44</v>
      </c>
      <c r="D12" s="4" t="s">
        <v>80</v>
      </c>
      <c r="E12" s="1" t="s">
        <v>81</v>
      </c>
      <c r="F12" s="6" t="str">
        <f>IFERROR(__xludf.DUMMYFUNCTION("IFERROR(ARRAYFORMULA(REGEXREPLACE(E12, ""("" &amp; TEXTJOIN(""|"", TRUE, FILTER(Q12:Q27, E:E&lt;&gt;"""")) &amp; "")"", 
                     INDEX(R12:R27, MATCH(REGEXEXTRACT(E12:E965, ""("" &amp; TEXTJOIN(""|"", TRUE, FILTER(Q12:Q27, Q12:Q27&lt;&gt;"""")) &amp; "")""), Q12:Q27, 0)"&amp;"))), E12)"),"Siap")</f>
        <v>Siap</v>
      </c>
      <c r="G12" s="6" t="str">
        <f>IFERROR(__xludf.DUMMYFUNCTION("GOOGLETRANSLATE(F12, ""id"", ""de"")
"),"Bereit")</f>
        <v>Bereit</v>
      </c>
      <c r="H12" s="6" t="str">
        <f>IFERROR(__xludf.DUMMYFUNCTION("GOOGLETRANSLATE(G12, ""de"", ""id"")"),"Siap")</f>
        <v>Siap</v>
      </c>
      <c r="I12" s="6" t="str">
        <f>IFERROR(__xludf.DUMMYFUNCTION("GOOGLETRANSLATE(G12, ""de"", ""en"")"),"Ready")</f>
        <v>Ready</v>
      </c>
      <c r="J12" s="6" t="str">
        <f>IFERROR(__xludf.DUMMYFUNCTION("GOOGLETRANSLATE(I12, ""en"", ""id"")"),"Siap")</f>
        <v>Siap</v>
      </c>
      <c r="K12" s="6" t="str">
        <f>IFERROR(__xludf.DUMMYFUNCTION("GOOGLETRANSLATE(F12, ""id"", ""en"")"),"Ready")</f>
        <v>Ready</v>
      </c>
      <c r="L12" s="6" t="s">
        <v>82</v>
      </c>
      <c r="M12" s="6" t="str">
        <f>IFERROR(__xludf.DUMMYFUNCTION("GOOGLETRANSLATE(L12, ""en"", ""de"")"),"Bereit")</f>
        <v>Bereit</v>
      </c>
      <c r="N12" s="6" t="s">
        <v>83</v>
      </c>
      <c r="O12" s="6" t="str">
        <f>IFERROR(__xludf.DUMMYFUNCTION("GOOGLETRANSLATE(N12, ""de"", ""id"")"),"Siap")</f>
        <v>Siap</v>
      </c>
      <c r="Q12" s="1" t="s">
        <v>84</v>
      </c>
      <c r="R12" s="1" t="s">
        <v>85</v>
      </c>
    </row>
    <row r="13">
      <c r="A13" s="1" t="s">
        <v>17</v>
      </c>
      <c r="B13" s="2" t="s">
        <v>18</v>
      </c>
      <c r="C13" s="11" t="s">
        <v>86</v>
      </c>
      <c r="D13" s="12" t="s">
        <v>87</v>
      </c>
      <c r="E13" s="13" t="s">
        <v>88</v>
      </c>
      <c r="F13" s="6" t="str">
        <f>IFERROR(__xludf.DUMMYFUNCTION("IFERROR(ARRAYFORMULA(REGEXREPLACE(E13, ""("" &amp; TEXTJOIN(""|"", TRUE, FILTER(Q13:Q28, E:E&lt;&gt;"""")) &amp; "")"", 
                     INDEX(R13:R28, MATCH(REGEXEXTRACT(E13:E965, ""("" &amp; TEXTJOIN(""|"", TRUE, FILTER(Q13:Q28, Q13:Q28&lt;&gt;"""")) &amp; "")""), Q13:Q28, 0)"&amp;"))), E13)"),"Saya mau nanya min,apakah daftar pasang baru lewat online sendiri itu lama,beda lewat orang atau kantor ulp terdekat? Saya daftar online blm di proses printah kerja,sedngkan lewat orang 1 hari sudah di proses ? Mksh min ... @plnsuluttenggo @pln_id")</f>
        <v>Saya mau nanya min,apakah daftar pasang baru lewat online sendiri itu lama,beda lewat orang atau kantor ulp terdekat? Saya daftar online blm di proses printah kerja,sedngkan lewat orang 1 hari sudah di proses ? Mksh min ... @plnsuluttenggo @pln_id</v>
      </c>
      <c r="G13" s="6" t="str">
        <f>IFERROR(__xludf.DUMMYFUNCTION("GOOGLETRANSLATE(F13, ""id"", ""de"")
"),"Ich möchte fragen: Dauert die Online-Registrierung für neue Paare länger, als wenn man sich an eine Person oder das nächstgelegene ulp-Büro wendet? Ich habe mich online registriert, bevor der Arbeitsauftrag bearbeitet wurde, während die persönliche Bearbe"&amp;"itung bei mir einen Tag gedauert hat? Danke min... @plnsuluttenggo @pln_id")</f>
        <v>Ich möchte fragen: Dauert die Online-Registrierung für neue Paare länger, als wenn man sich an eine Person oder das nächstgelegene ulp-Büro wendet? Ich habe mich online registriert, bevor der Arbeitsauftrag bearbeitet wurde, während die persönliche Bearbeitung bei mir einen Tag gedauert hat? Danke min... @plnsuluttenggo @pln_id</v>
      </c>
      <c r="H13" s="6" t="str">
        <f>IFERROR(__xludf.DUMMYFUNCTION("GOOGLETRANSLATE(G13, ""de"", ""id"")"),"Saya ingin bertanya: Apakah pendaftaran pasangan baru secara online memakan waktu lebih lama dibandingkan menghubungi orang atau kantor ulp terdekat? Saya mendaftar online sebelum perintah kerja diproses, padahal saya butuh waktu sehari untuk memprosesnya"&amp;" secara langsung? Terima kasih min... @plnsuluttenggo @pln_id")</f>
        <v>Saya ingin bertanya: Apakah pendaftaran pasangan baru secara online memakan waktu lebih lama dibandingkan menghubungi orang atau kantor ulp terdekat? Saya mendaftar online sebelum perintah kerja diproses, padahal saya butuh waktu sehari untuk memprosesnya secara langsung? Terima kasih min... @plnsuluttenggo @pln_id</v>
      </c>
      <c r="I13" s="6" t="str">
        <f>IFERROR(__xludf.DUMMYFUNCTION("GOOGLETRANSLATE(G13, ""de"", ""en"")"),"I would like to ask: Does online registration for new couples take longer than contacting a person or the nearest ulp office? I registered online before the work order was processed, while it took me a day to process it in person? Thanks min... @plnsulutt"&amp;"enggo @pln_id")</f>
        <v>I would like to ask: Does online registration for new couples take longer than contacting a person or the nearest ulp office? I registered online before the work order was processed, while it took me a day to process it in person? Thanks min... @plnsuluttenggo @pln_id</v>
      </c>
      <c r="J13" s="6" t="str">
        <f>IFERROR(__xludf.DUMMYFUNCTION("GOOGLETRANSLATE(I13, ""en"", ""id"")"),"Saya ingin bertanya: Apakah pendaftaran pasangan baru secara online memakan waktu lebih lama dibandingkan menghubungi orang atau kantor ulp terdekat? Saya mendaftar online sebelum perintah kerja diproses, padahal saya butuh waktu sehari untuk memprosesnya"&amp;" secara langsung? Terima kasih min... @plnsuluttenggo @pln_id")</f>
        <v>Saya ingin bertanya: Apakah pendaftaran pasangan baru secara online memakan waktu lebih lama dibandingkan menghubungi orang atau kantor ulp terdekat? Saya mendaftar online sebelum perintah kerja diproses, padahal saya butuh waktu sehari untuk memprosesnya secara langsung? Terima kasih min... @plnsuluttenggo @pln_id</v>
      </c>
      <c r="K13" s="6" t="str">
        <f>IFERROR(__xludf.DUMMYFUNCTION("GOOGLETRANSLATE(F13, ""id"", ""en"")"),"I want to ask, min, does registering for new pairs online take a long time, different from going through a person or the nearest ulp office? I registered online before the work order was processed, whereas it took 1 day for me to process it in person? Tha"&amp;"nks min... @plnsuluttenggo @pln_id")</f>
        <v>I want to ask, min, does registering for new pairs online take a long time, different from going through a person or the nearest ulp office? I registered online before the work order was processed, whereas it took 1 day for me to process it in person? Thanks min... @plnsuluttenggo @pln_id</v>
      </c>
      <c r="L13" s="6" t="s">
        <v>89</v>
      </c>
      <c r="M13" s="6" t="str">
        <f>IFERROR(__xludf.DUMMYFUNCTION("GOOGLETRANSLATE(L13, ""en"", ""de"")"),"Ich möchte fragen: Dauert die Online-Registrierung für neue Paare länger, als wenn man sich an eine Person oder das nächstgelegene ulp-Büro wendet? Ich habe mich online registriert, bevor der Arbeitsauftrag bearbeitet wurde, während er persönlich innerhal"&amp;"b eines Tages bearbeitet wurde? Danke min... @plnsuluttenggo @pln_id")</f>
        <v>Ich möchte fragen: Dauert die Online-Registrierung für neue Paare länger, als wenn man sich an eine Person oder das nächstgelegene ulp-Büro wendet? Ich habe mich online registriert, bevor der Arbeitsauftrag bearbeitet wurde, während er persönlich innerhalb eines Tages bearbeitet wurde? Danke min... @plnsuluttenggo @pln_id</v>
      </c>
      <c r="N13" s="6" t="s">
        <v>90</v>
      </c>
      <c r="O13" s="6" t="str">
        <f>IFERROR(__xludf.DUMMYFUNCTION("GOOGLETRANSLATE(N13, ""de"", ""id"")"),"Saya ingin bertanya: Apakah pendaftaran pasangan baru secara online memakan waktu lebih lama dibandingkan menghubungi orang atau kantor ulp terdekat? Saya mendaftar online sebelum perintah kerja diproses, sedangkan secara langsung diproses dalam sehari? T"&amp;"erima kasih min... @plnsuluttenggo @pln_id")</f>
        <v>Saya ingin bertanya: Apakah pendaftaran pasangan baru secara online memakan waktu lebih lama dibandingkan menghubungi orang atau kantor ulp terdekat? Saya mendaftar online sebelum perintah kerja diproses, sedangkan secara langsung diproses dalam sehari? Terima kasih min... @plnsuluttenggo @pln_id</v>
      </c>
      <c r="Q13" s="1" t="s">
        <v>91</v>
      </c>
      <c r="R13" s="1" t="s">
        <v>92</v>
      </c>
    </row>
    <row r="14">
      <c r="A14" s="1" t="s">
        <v>17</v>
      </c>
      <c r="B14" s="2" t="s">
        <v>18</v>
      </c>
      <c r="C14" s="11" t="s">
        <v>86</v>
      </c>
      <c r="D14" s="12" t="s">
        <v>87</v>
      </c>
      <c r="E14" s="14" t="s">
        <v>93</v>
      </c>
      <c r="F14" s="6" t="str">
        <f>IFERROR(__xludf.DUMMYFUNCTION("IFERROR(ARRAYFORMULA(REGEXREPLACE(E14, ""("" &amp; TEXTJOIN(""|"", TRUE, FILTER(Q14:Q29, E:E&lt;&gt;"""")) &amp; "")"", 
                     INDEX(R14:R29, MATCH(REGEXEXTRACT(E14:E965, ""("" &amp; TEXTJOIN(""|"", TRUE, FILTER(Q14:Q29, Q14:Q29&lt;&gt;"""")) &amp; "")""), Q14:Q29, 0)"&amp;"))), E14)"),"DM MIN")</f>
        <v>DM MIN</v>
      </c>
      <c r="G14" s="6" t="str">
        <f>IFERROR(__xludf.DUMMYFUNCTION("GOOGLETRANSLATE(F14, ""id"", ""de"")
"),"DM MIN")</f>
        <v>DM MIN</v>
      </c>
      <c r="H14" s="6" t="str">
        <f>IFERROR(__xludf.DUMMYFUNCTION("GOOGLETRANSLATE(G14, ""de"", ""id"")"),"DM MIN")</f>
        <v>DM MIN</v>
      </c>
      <c r="I14" s="6" t="str">
        <f>IFERROR(__xludf.DUMMYFUNCTION("GOOGLETRANSLATE(G14, ""de"", ""en"")"),"DM MIN")</f>
        <v>DM MIN</v>
      </c>
      <c r="J14" s="6" t="str">
        <f>IFERROR(__xludf.DUMMYFUNCTION("GOOGLETRANSLATE(I14, ""en"", ""id"")"),"DM MIN")</f>
        <v>DM MIN</v>
      </c>
      <c r="K14" s="6" t="str">
        <f>IFERROR(__xludf.DUMMYFUNCTION("GOOGLETRANSLATE(F14, ""id"", ""en"")"),"DM MIN")</f>
        <v>DM MIN</v>
      </c>
      <c r="L14" s="6" t="s">
        <v>93</v>
      </c>
      <c r="M14" s="6" t="str">
        <f>IFERROR(__xludf.DUMMYFUNCTION("GOOGLETRANSLATE(L14, ""en"", ""de"")"),"DM MIN")</f>
        <v>DM MIN</v>
      </c>
      <c r="N14" s="6" t="s">
        <v>93</v>
      </c>
      <c r="O14" s="6" t="str">
        <f>IFERROR(__xludf.DUMMYFUNCTION("GOOGLETRANSLATE(N14, ""de"", ""id"")"),"DM MIN")</f>
        <v>DM MIN</v>
      </c>
      <c r="Q14" s="1" t="s">
        <v>94</v>
      </c>
      <c r="R14" s="1" t="s">
        <v>95</v>
      </c>
    </row>
    <row r="15" ht="63.0" customHeight="1">
      <c r="A15" s="1" t="s">
        <v>17</v>
      </c>
      <c r="B15" s="1" t="s">
        <v>96</v>
      </c>
      <c r="C15" s="1" t="s">
        <v>97</v>
      </c>
      <c r="D15" s="4" t="s">
        <v>98</v>
      </c>
      <c r="E15" s="15" t="s">
        <v>99</v>
      </c>
      <c r="F15" s="6" t="str">
        <f>IFERROR(__xludf.DUMMYFUNCTION("IFERROR(ARRAYFORMULA(REGEXREPLACE(E15, ""("" &amp; TEXTJOIN(""|"", TRUE, FILTER(Q15:Q30, E:E&lt;&gt;"""")) &amp; "")"", 
                     INDEX(R15:R30, MATCH(REGEXEXTRACT(E15:E965, ""("" &amp; TEXTJOIN(""|"", TRUE, FILTER(Q15:Q30, Q15:Q30&lt;&gt;"""")) &amp; "")""), Q15:Q30, 0)"&amp;"))), E15)"),"HAI SOBATKOM!
INILAH SALAH SATU TEMPAT WISATA TERFAVORIT MASYARAKAT KAB. BANGGAI ""PANTAI KILO 5"" KECAMATAN LUWUK SELATAN.
#pemkabbanggai
#wonderfulbanggai")</f>
        <v>HAI SOBATKOM!
INILAH SALAH SATU TEMPAT WISATA TERFAVORIT MASYARAKAT KAB. BANGGAI "PANTAI KILO 5" KECAMATAN LUWUK SELATAN.
#pemkabbanggai
#wonderfulbanggai</v>
      </c>
      <c r="G15" s="6" t="str">
        <f>IFERROR(__xludf.DUMMYFUNCTION("GOOGLETRANSLATE(F15, ""id"", ""de"")
"),"HEY SOBATCOM!
Dies ist einer der beliebtesten Touristenorte der Regentschaft. BANGGAI „KILO 5 BEACH“ SÜD-LUWUK-BEZIRK.
#Bezirksregierung
#wundervollbanggai")</f>
        <v>HEY SOBATCOM!
Dies ist einer der beliebtesten Touristenorte der Regentschaft. BANGGAI „KILO 5 BEACH“ SÜD-LUWUK-BEZIRK.
#Bezirksregierung
#wundervollbanggai</v>
      </c>
      <c r="H15" s="6" t="str">
        <f>IFERROR(__xludf.DUMMYFUNCTION("GOOGLETRANSLATE(G15, ""de"", ""id"")"),"HEI SOBATCOM!
Ini adalah salah satu tempat wisata paling populer di kabupaten ini. BANGGAI “PANTAI KILO 5” KABUPATEN LUWUK SELATAN.
#Pemerintah Kabupaten
#wonderfulbanggai")</f>
        <v>HEI SOBATCOM!
Ini adalah salah satu tempat wisata paling populer di kabupaten ini. BANGGAI “PANTAI KILO 5” KABUPATEN LUWUK SELATAN.
#Pemerintah Kabupaten
#wonderfulbanggai</v>
      </c>
      <c r="I15" s="6" t="str">
        <f>IFERROR(__xludf.DUMMYFUNCTION("GOOGLETRANSLATE(G15, ""de"", ""en"")"),"HEY SOBATCOM!
This is one of the most popular tourist spots in the regency. BANGGAI “KILO 5 BEACH” SOUTH LUWUK DISTRICT.
#DistrictGovernment
#wonderfulbanggai")</f>
        <v>HEY SOBATCOM!
This is one of the most popular tourist spots in the regency. BANGGAI “KILO 5 BEACH” SOUTH LUWUK DISTRICT.
#DistrictGovernment
#wonderfulbanggai</v>
      </c>
      <c r="J15" s="6" t="str">
        <f>IFERROR(__xludf.DUMMYFUNCTION("GOOGLETRANSLATE(I15, ""en"", ""id"")"),"HEI SOBATCOM!
Ini adalah salah satu tempat wisata paling populer di kabupaten ini. BANGGAI “PANTAI KILO 5” KABUPATEN LUWUK SELATAN.
#Pemerintah Kabupaten
#wonderfulbanggai")</f>
        <v>HEI SOBATCOM!
Ini adalah salah satu tempat wisata paling populer di kabupaten ini. BANGGAI “PANTAI KILO 5” KABUPATEN LUWUK SELATAN.
#Pemerintah Kabupaten
#wonderfulbanggai</v>
      </c>
      <c r="K15" s="6" t="str">
        <f>IFERROR(__xludf.DUMMYFUNCTION("GOOGLETRANSLATE(F15, ""id"", ""en"")"),"HEY SOBATCOM!
THIS IS ONE OF THE MOST FAVORITE TOURISM PLACES OF THE REGENCY PEOPLE. BANGGAI ""KILO 5 BEACH"" SOUTH LUWUK DISTRICT.
#district government
#wonderfulbanggai")</f>
        <v>HEY SOBATCOM!
THIS IS ONE OF THE MOST FAVORITE TOURISM PLACES OF THE REGENCY PEOPLE. BANGGAI "KILO 5 BEACH" SOUTH LUWUK DISTRICT.
#district government
#wonderfulbanggai</v>
      </c>
      <c r="L15" s="6" t="s">
        <v>100</v>
      </c>
      <c r="M15" s="6" t="str">
        <f>IFERROR(__xludf.DUMMYFUNCTION("GOOGLETRANSLATE(L15, ""en"", ""de"")"),"HEY SOBATCOM!
Dies ist einer der beliebtesten Touristenorte der Regentschaft. BANGGAI „KILO 5 BEACH“ SÜD-LUWUK-BEZIRK.
#Bezirksregierung
#wundervollbanggai")</f>
        <v>HEY SOBATCOM!
Dies ist einer der beliebtesten Touristenorte der Regentschaft. BANGGAI „KILO 5 BEACH“ SÜD-LUWUK-BEZIRK.
#Bezirksregierung
#wundervollbanggai</v>
      </c>
      <c r="N15" s="6" t="s">
        <v>101</v>
      </c>
      <c r="O15" s="6" t="str">
        <f>IFERROR(__xludf.DUMMYFUNCTION("GOOGLETRANSLATE(N15, ""de"", ""id"")"),"HEI SOBATCOM!
Ini adalah salah satu tempat wisata paling populer di kabupaten ini. BANGGAI “PANTAI KILO 5” KABUPATEN LUWUK SELATAN.
#Pemerintah Kabupaten
#wonderfulbanggai")</f>
        <v>HEI SOBATCOM!
Ini adalah salah satu tempat wisata paling populer di kabupaten ini. BANGGAI “PANTAI KILO 5” KABUPATEN LUWUK SELATAN.
#Pemerintah Kabupaten
#wonderfulbanggai</v>
      </c>
      <c r="Q15" s="1" t="s">
        <v>102</v>
      </c>
      <c r="R15" s="1" t="s">
        <v>103</v>
      </c>
    </row>
    <row r="16">
      <c r="A16" s="1" t="s">
        <v>17</v>
      </c>
      <c r="B16" s="1" t="s">
        <v>96</v>
      </c>
      <c r="C16" s="16" t="s">
        <v>104</v>
      </c>
      <c r="D16" s="4" t="s">
        <v>98</v>
      </c>
      <c r="E16" s="15" t="s">
        <v>105</v>
      </c>
      <c r="F16" s="6" t="str">
        <f>IFERROR(__xludf.DUMMYFUNCTION("IFERROR(ARRAYFORMULA(REGEXREPLACE(E16, ""("" &amp; TEXTJOIN(""|"", TRUE, FILTER(Q16:Q31, E:E&lt;&gt;"""")) &amp; "")"", 
                     INDEX(R16:R31, MATCH(REGEXEXTRACT(E16:E965, ""("" &amp; TEXTJOIN(""|"", TRUE, FILTER(Q16:Q31, Q16:Q31&lt;&gt;"""")) &amp; "")""), Q16:Q31, 0)"&amp;"))), E16)"),"Wonderful banggai🔥")</f>
        <v>Wonderful banggai🔥</v>
      </c>
      <c r="G16" s="6" t="str">
        <f>IFERROR(__xludf.DUMMYFUNCTION("GOOGLETRANSLATE(F16, ""id"", ""de"")
"),"Wunderbar, darauf stolz zu sein🔥")</f>
        <v>Wunderbar, darauf stolz zu sein🔥</v>
      </c>
      <c r="H16" s="6" t="str">
        <f>IFERROR(__xludf.DUMMYFUNCTION("GOOGLETRANSLATE(G16, ""de"", ""id"")"),"Luar biasa bisa dibanggakan akan hal itu🔥")</f>
        <v>Luar biasa bisa dibanggakan akan hal itu🔥</v>
      </c>
      <c r="I16" s="6" t="str">
        <f>IFERROR(__xludf.DUMMYFUNCTION("GOOGLETRANSLATE(G16, ""de"", ""en"")"),"Wonderful to be proud of that🔥")</f>
        <v>Wonderful to be proud of that🔥</v>
      </c>
      <c r="J16" s="6" t="str">
        <f>IFERROR(__xludf.DUMMYFUNCTION("GOOGLETRANSLATE(I16, ""en"", ""id"")"),"Luar biasa bisa dibanggakan akan hal itu🔥")</f>
        <v>Luar biasa bisa dibanggakan akan hal itu🔥</v>
      </c>
      <c r="K16" s="6" t="str">
        <f>IFERROR(__xludf.DUMMYFUNCTION("GOOGLETRANSLATE(F16, ""id"", ""en"")"),"Wonderful to be proud of🔥")</f>
        <v>Wonderful to be proud of🔥</v>
      </c>
      <c r="L16" s="6" t="s">
        <v>106</v>
      </c>
      <c r="M16" s="6" t="str">
        <f>IFERROR(__xludf.DUMMYFUNCTION("GOOGLETRANSLATE(L16, ""en"", ""de"")"),"Wunderbar, darauf stolz zu sein🔥")</f>
        <v>Wunderbar, darauf stolz zu sein🔥</v>
      </c>
      <c r="N16" s="6" t="s">
        <v>107</v>
      </c>
      <c r="O16" s="6" t="str">
        <f>IFERROR(__xludf.DUMMYFUNCTION("GOOGLETRANSLATE(N16, ""de"", ""id"")"),"Luar biasa bisa dibanggakan akan hal itu🔥")</f>
        <v>Luar biasa bisa dibanggakan akan hal itu🔥</v>
      </c>
      <c r="Q16" s="1" t="s">
        <v>108</v>
      </c>
      <c r="R16" s="1" t="s">
        <v>109</v>
      </c>
    </row>
    <row r="17">
      <c r="A17" s="1" t="s">
        <v>17</v>
      </c>
      <c r="B17" s="1" t="s">
        <v>96</v>
      </c>
      <c r="C17" s="16" t="s">
        <v>110</v>
      </c>
      <c r="D17" s="4" t="s">
        <v>98</v>
      </c>
      <c r="E17" s="15" t="s">
        <v>111</v>
      </c>
      <c r="F17" s="6" t="str">
        <f>IFERROR(__xludf.DUMMYFUNCTION("IFERROR(ARRAYFORMULA(REGEXREPLACE(E17, ""("" &amp; TEXTJOIN(""|"", TRUE, FILTER(Q17:Q32, E:E&lt;&gt;"""")) &amp; "")"", 
                     INDEX(R17:R32, MATCH(REGEXEXTRACT(E17:E965, ""("" &amp; TEXTJOIN(""|"", TRUE, FILTER(Q17:Q32, Q17:Q32&lt;&gt;"""")) &amp; "")""), Q17:Q32, 0)"&amp;"))), E17)"),"Kerennnn😍😍😍")</f>
        <v>Kerennnn😍😍😍</v>
      </c>
      <c r="G17" s="6" t="str">
        <f>IFERROR(__xludf.DUMMYFUNCTION("GOOGLETRANSLATE(F17, ""id"", ""de"")
"),"Cool😍😍😍")</f>
        <v>Cool😍😍😍</v>
      </c>
      <c r="H17" s="6" t="str">
        <f>IFERROR(__xludf.DUMMYFUNCTION("GOOGLETRANSLATE(G17, ""de"", ""id"")"),"Keren😍😍😍")</f>
        <v>Keren😍😍😍</v>
      </c>
      <c r="I17" s="6" t="str">
        <f>IFERROR(__xludf.DUMMYFUNCTION("GOOGLETRANSLATE(G17, ""de"", ""en"")"),"Cool😍😍😍")</f>
        <v>Cool😍😍😍</v>
      </c>
      <c r="J17" s="6" t="str">
        <f>IFERROR(__xludf.DUMMYFUNCTION("GOOGLETRANSLATE(I17, ""en"", ""id"")"),"Keren😍😍😍")</f>
        <v>Keren😍😍😍</v>
      </c>
      <c r="K17" s="6" t="str">
        <f>IFERROR(__xludf.DUMMYFUNCTION("GOOGLETRANSLATE(F17, ""id"", ""en"")"),"Cool😍😍😍")</f>
        <v>Cool😍😍😍</v>
      </c>
      <c r="L17" s="6" t="s">
        <v>112</v>
      </c>
      <c r="M17" s="6" t="str">
        <f>IFERROR(__xludf.DUMMYFUNCTION("GOOGLETRANSLATE(L17, ""en"", ""de"")"),"Cool😍😍😍")</f>
        <v>Cool😍😍😍</v>
      </c>
      <c r="N17" s="6" t="s">
        <v>112</v>
      </c>
      <c r="O17" s="6" t="str">
        <f>IFERROR(__xludf.DUMMYFUNCTION("GOOGLETRANSLATE(N17, ""de"", ""id"")"),"Keren😍😍😍")</f>
        <v>Keren😍😍😍</v>
      </c>
      <c r="Q17" s="1" t="s">
        <v>113</v>
      </c>
      <c r="R17" s="1" t="s">
        <v>109</v>
      </c>
    </row>
    <row r="18">
      <c r="A18" s="1" t="s">
        <v>17</v>
      </c>
      <c r="B18" s="1" t="s">
        <v>96</v>
      </c>
      <c r="C18" s="16" t="s">
        <v>114</v>
      </c>
      <c r="D18" s="4" t="s">
        <v>98</v>
      </c>
      <c r="E18" s="15" t="s">
        <v>115</v>
      </c>
      <c r="F18" s="6" t="str">
        <f>IFERROR(__xludf.DUMMYFUNCTION("IFERROR(ARRAYFORMULA(REGEXREPLACE(E18, ""("" &amp; TEXTJOIN(""|"", TRUE, FILTER(Q18:Q33, E:E&lt;&gt;"""")) &amp; "")"", 
                     INDEX(R18:R33, MATCH(REGEXEXTRACT(E18:E965, ""("" &amp; TEXTJOIN(""|"", TRUE, FILTER(Q18:Q33, Q18:Q33&lt;&gt;"""")) &amp; "")""), Q18:Q33, 0)"&amp;"))), E18)"),"Menyala kota kuuuuuu 🔥🔥🔥❤️❤️")</f>
        <v>Menyala kota kuuuuuu 🔥🔥🔥❤️❤️</v>
      </c>
      <c r="G18" s="6" t="str">
        <f>IFERROR(__xludf.DUMMYFUNCTION("GOOGLETRANSLATE(F18, ""id"", ""de"")
"),"Erleuchte meine Stadt 🔥🔥🔥❤️❤️")</f>
        <v>Erleuchte meine Stadt 🔥🔥🔥❤️❤️</v>
      </c>
      <c r="H18" s="6" t="str">
        <f>IFERROR(__xludf.DUMMYFUNCTION("GOOGLETRANSLATE(G18, ""de"", ""id"")"),"Terangi kotaku 🔥🔥🔥❤️❤️")</f>
        <v>Terangi kotaku 🔥🔥🔥❤️❤️</v>
      </c>
      <c r="I18" s="6" t="str">
        <f>IFERROR(__xludf.DUMMYFUNCTION("GOOGLETRANSLATE(G18, ""de"", ""en"")"),"Light up my city 🔥🔥🔥❤️❤️")</f>
        <v>Light up my city 🔥🔥🔥❤️❤️</v>
      </c>
      <c r="J18" s="6" t="str">
        <f>IFERROR(__xludf.DUMMYFUNCTION("GOOGLETRANSLATE(I18, ""en"", ""id"")"),"Terangi kotaku 🔥🔥🔥❤️❤️")</f>
        <v>Terangi kotaku 🔥🔥🔥❤️❤️</v>
      </c>
      <c r="K18" s="6" t="str">
        <f>IFERROR(__xludf.DUMMYFUNCTION("GOOGLETRANSLATE(F18, ""id"", ""en"")"),"Light up my city 🔥🔥🔥❤️❤️")</f>
        <v>Light up my city 🔥🔥🔥❤️❤️</v>
      </c>
      <c r="L18" s="6" t="s">
        <v>116</v>
      </c>
      <c r="M18" s="6" t="str">
        <f>IFERROR(__xludf.DUMMYFUNCTION("GOOGLETRANSLATE(L18, ""en"", ""de"")"),"Erleuchte meine Stadt 🔥🔥🔥❤️❤️")</f>
        <v>Erleuchte meine Stadt 🔥🔥🔥❤️❤️</v>
      </c>
      <c r="N18" s="6" t="s">
        <v>117</v>
      </c>
      <c r="O18" s="6" t="str">
        <f>IFERROR(__xludf.DUMMYFUNCTION("GOOGLETRANSLATE(N18, ""de"", ""id"")"),"Terangi kotaku 🔥🔥🔥❤️❤️")</f>
        <v>Terangi kotaku 🔥🔥🔥❤️❤️</v>
      </c>
    </row>
    <row r="19">
      <c r="A19" s="1" t="s">
        <v>17</v>
      </c>
      <c r="B19" s="1" t="s">
        <v>96</v>
      </c>
      <c r="C19" s="16" t="s">
        <v>118</v>
      </c>
      <c r="D19" s="4" t="s">
        <v>98</v>
      </c>
      <c r="E19" s="15" t="s">
        <v>119</v>
      </c>
      <c r="F19" s="6" t="str">
        <f>IFERROR(__xludf.DUMMYFUNCTION("IFERROR(ARRAYFORMULA(REGEXREPLACE(E19, ""("" &amp; TEXTJOIN(""|"", TRUE, FILTER(Q19:Q34, E:E&lt;&gt;"""")) &amp; "")"", 
                     INDEX(R19:R34, MATCH(REGEXEXTRACT(E19:E965, ""("" &amp; TEXTJOIN(""|"", TRUE, FILTER(Q19:Q34, Q19:Q34&lt;&gt;"""")) &amp; "")""), Q19:Q34, 0)"&amp;"))), E19)"),"🔥🔥🔥🔥")</f>
        <v>🔥🔥🔥🔥</v>
      </c>
      <c r="G19" s="6" t="str">
        <f>IFERROR(__xludf.DUMMYFUNCTION("GOOGLETRANSLATE(F19, ""id"", ""de"")
"),"🔥🔥🔥🔥")</f>
        <v>🔥🔥🔥🔥</v>
      </c>
      <c r="H19" s="6" t="str">
        <f>IFERROR(__xludf.DUMMYFUNCTION("GOOGLETRANSLATE(G19, ""de"", ""id"")"),"🔥🔥🔥🔥")</f>
        <v>🔥🔥🔥🔥</v>
      </c>
      <c r="I19" s="6" t="str">
        <f>IFERROR(__xludf.DUMMYFUNCTION("GOOGLETRANSLATE(G19, ""de"", ""en"")"),"🔥🔥🔥🔥")</f>
        <v>🔥🔥🔥🔥</v>
      </c>
      <c r="J19" s="6" t="str">
        <f>IFERROR(__xludf.DUMMYFUNCTION("GOOGLETRANSLATE(I19, ""en"", ""id"")"),"🔥🔥🔥🔥")</f>
        <v>🔥🔥🔥🔥</v>
      </c>
      <c r="K19" s="6" t="str">
        <f>IFERROR(__xludf.DUMMYFUNCTION("GOOGLETRANSLATE(F19, ""id"", ""en"")"),"🔥🔥🔥🔥")</f>
        <v>🔥🔥🔥🔥</v>
      </c>
      <c r="L19" s="6" t="s">
        <v>119</v>
      </c>
      <c r="M19" s="6" t="str">
        <f>IFERROR(__xludf.DUMMYFUNCTION("GOOGLETRANSLATE(L19, ""en"", ""de"")"),"🔥🔥🔥🔥")</f>
        <v>🔥🔥🔥🔥</v>
      </c>
      <c r="N19" s="6" t="s">
        <v>119</v>
      </c>
      <c r="O19" s="6" t="str">
        <f>IFERROR(__xludf.DUMMYFUNCTION("GOOGLETRANSLATE(N19, ""de"", ""id"")"),"🔥🔥🔥🔥")</f>
        <v>🔥🔥🔥🔥</v>
      </c>
    </row>
    <row r="20">
      <c r="A20" s="1" t="s">
        <v>17</v>
      </c>
      <c r="B20" s="1" t="s">
        <v>96</v>
      </c>
      <c r="C20" s="15" t="s">
        <v>120</v>
      </c>
      <c r="D20" s="4" t="s">
        <v>98</v>
      </c>
      <c r="E20" s="15" t="s">
        <v>121</v>
      </c>
      <c r="F20" s="6" t="str">
        <f>IFERROR(__xludf.DUMMYFUNCTION("IFERROR(ARRAYFORMULA(REGEXREPLACE(E20, ""("" &amp; TEXTJOIN(""|"", TRUE, FILTER(Q20:Q35, E:E&lt;&gt;"""")) &amp; "")"", 
                     INDEX(R20:R35, MATCH(REGEXEXTRACT(E20:E965, ""("" &amp; TEXTJOIN(""|"", TRUE, FILTER(Q20:Q35, Q20:Q35&lt;&gt;"""")) &amp; "")""), Q20:Q35, 0)"&amp;"))), E20)"),"😍😍")</f>
        <v>😍😍</v>
      </c>
      <c r="G20" s="6" t="str">
        <f>IFERROR(__xludf.DUMMYFUNCTION("GOOGLETRANSLATE(F20, ""id"", ""de"")
"),"😍😍")</f>
        <v>😍😍</v>
      </c>
      <c r="H20" s="6" t="str">
        <f>IFERROR(__xludf.DUMMYFUNCTION("GOOGLETRANSLATE(G20, ""de"", ""id"")"),"😍😍")</f>
        <v>😍😍</v>
      </c>
      <c r="I20" s="6" t="str">
        <f>IFERROR(__xludf.DUMMYFUNCTION("GOOGLETRANSLATE(G20, ""de"", ""en"")"),"😍😍")</f>
        <v>😍😍</v>
      </c>
      <c r="J20" s="6" t="str">
        <f>IFERROR(__xludf.DUMMYFUNCTION("GOOGLETRANSLATE(I20, ""en"", ""id"")"),"😍😍")</f>
        <v>😍😍</v>
      </c>
      <c r="K20" s="6" t="str">
        <f>IFERROR(__xludf.DUMMYFUNCTION("GOOGLETRANSLATE(F20, ""id"", ""en"")"),"😍😍")</f>
        <v>😍😍</v>
      </c>
      <c r="L20" s="6" t="s">
        <v>121</v>
      </c>
      <c r="M20" s="6" t="str">
        <f>IFERROR(__xludf.DUMMYFUNCTION("GOOGLETRANSLATE(L20, ""en"", ""de"")"),"😍😍")</f>
        <v>😍😍</v>
      </c>
      <c r="N20" s="6" t="s">
        <v>121</v>
      </c>
      <c r="O20" s="6" t="str">
        <f>IFERROR(__xludf.DUMMYFUNCTION("GOOGLETRANSLATE(N20, ""de"", ""id"")"),"😍😍")</f>
        <v>😍😍</v>
      </c>
    </row>
    <row r="21">
      <c r="A21" s="1" t="s">
        <v>17</v>
      </c>
      <c r="B21" s="1" t="s">
        <v>96</v>
      </c>
      <c r="C21" s="16" t="s">
        <v>122</v>
      </c>
      <c r="D21" s="4" t="s">
        <v>98</v>
      </c>
      <c r="E21" s="15" t="s">
        <v>123</v>
      </c>
      <c r="F21" s="6" t="str">
        <f>IFERROR(__xludf.DUMMYFUNCTION("IFERROR(ARRAYFORMULA(REGEXREPLACE(E21, ""("" &amp; TEXTJOIN(""|"", TRUE, FILTER(Q21:Q36, E:E&lt;&gt;"""")) &amp; "")"", 
                     INDEX(R21:R36, MATCH(REGEXEXTRACT(E21:E965, ""("" &amp; TEXTJOIN(""|"", TRUE, FILTER(Q21:Q36, Q21:Q36&lt;&gt;"""")) &amp; "")""), Q21:Q36, 0)"&amp;"))), E21)"),"menyalaa🔥")</f>
        <v>menyalaa🔥</v>
      </c>
      <c r="G21" s="6" t="str">
        <f>IFERROR(__xludf.DUMMYFUNCTION("GOOGLETRANSLATE(F21, ""id"", ""de"")
"),"lit🔥")</f>
        <v>lit🔥</v>
      </c>
      <c r="H21" s="6" t="str">
        <f>IFERROR(__xludf.DUMMYFUNCTION("GOOGLETRANSLATE(G21, ""de"", ""id"")"),"menyala🔥")</f>
        <v>menyala🔥</v>
      </c>
      <c r="I21" s="6" t="str">
        <f>IFERROR(__xludf.DUMMYFUNCTION("GOOGLETRANSLATE(G21, ""de"", ""en"")"),"lit🔥")</f>
        <v>lit🔥</v>
      </c>
      <c r="J21" s="6" t="str">
        <f>IFERROR(__xludf.DUMMYFUNCTION("GOOGLETRANSLATE(I21, ""en"", ""id"")"),"menyala🔥")</f>
        <v>menyala🔥</v>
      </c>
      <c r="K21" s="6" t="str">
        <f>IFERROR(__xludf.DUMMYFUNCTION("GOOGLETRANSLATE(F21, ""id"", ""en"")"),"lit🔥")</f>
        <v>lit🔥</v>
      </c>
      <c r="L21" s="6" t="s">
        <v>124</v>
      </c>
      <c r="M21" s="6" t="str">
        <f>IFERROR(__xludf.DUMMYFUNCTION("GOOGLETRANSLATE(L21, ""en"", ""de"")"),"lit🔥")</f>
        <v>lit🔥</v>
      </c>
      <c r="N21" s="6" t="s">
        <v>124</v>
      </c>
      <c r="O21" s="6" t="str">
        <f>IFERROR(__xludf.DUMMYFUNCTION("GOOGLETRANSLATE(N21, ""de"", ""id"")"),"menyala🔥")</f>
        <v>menyala🔥</v>
      </c>
    </row>
    <row r="22">
      <c r="A22" s="1" t="s">
        <v>17</v>
      </c>
      <c r="B22" s="1" t="s">
        <v>96</v>
      </c>
      <c r="C22" s="16" t="s">
        <v>125</v>
      </c>
      <c r="D22" s="4" t="s">
        <v>98</v>
      </c>
      <c r="E22" s="15" t="s">
        <v>126</v>
      </c>
      <c r="F22" s="6" t="str">
        <f>IFERROR(__xludf.DUMMYFUNCTION("IFERROR(ARRAYFORMULA(REGEXREPLACE(E22, ""("" &amp; TEXTJOIN(""|"", TRUE, FILTER(Q22:Q37, E:E&lt;&gt;"""")) &amp; "")"", 
                     INDEX(R22:R37, MATCH(REGEXEXTRACT(E22:E965, ""("" &amp; TEXTJOIN(""|"", TRUE, FILTER(Q22:Q37, Q22:Q37&lt;&gt;"""")) &amp; "")""), Q22:Q37, 0)"&amp;"))), E22)"),"BEST!! 👏🏻😍🔥")</f>
        <v>BEST!! 👏🏻😍🔥</v>
      </c>
      <c r="G22" s="6" t="str">
        <f>IFERROR(__xludf.DUMMYFUNCTION("GOOGLETRANSLATE(F22, ""id"", ""de"")
"),"AM BESTEN!! 👏🏻😍🔥")</f>
        <v>AM BESTEN!! 👏🏻😍🔥</v>
      </c>
      <c r="H22" s="6" t="str">
        <f>IFERROR(__xludf.DUMMYFUNCTION("GOOGLETRANSLATE(G22, ""de"", ""id"")"),"LEBIH DISUKAI!! 👏🏻😍🔥")</f>
        <v>LEBIH DISUKAI!! 👏🏻😍🔥</v>
      </c>
      <c r="I22" s="6" t="str">
        <f>IFERROR(__xludf.DUMMYFUNCTION("GOOGLETRANSLATE(G22, ""de"", ""en"")"),"PREFERABLY!! 👏🏻😍🔥")</f>
        <v>PREFERABLY!! 👏🏻😍🔥</v>
      </c>
      <c r="J22" s="6" t="str">
        <f>IFERROR(__xludf.DUMMYFUNCTION("GOOGLETRANSLATE(I22, ""en"", ""id"")"),"LEBIH DISUKAI!! 👏🏻😍🔥")</f>
        <v>LEBIH DISUKAI!! 👏🏻😍🔥</v>
      </c>
      <c r="K22" s="6" t="str">
        <f>IFERROR(__xludf.DUMMYFUNCTION("GOOGLETRANSLATE(F22, ""id"", ""en"")"),"BEST!! 👏🏻😍🔥")</f>
        <v>BEST!! 👏🏻😍🔥</v>
      </c>
      <c r="L22" s="6" t="s">
        <v>126</v>
      </c>
      <c r="M22" s="6" t="str">
        <f>IFERROR(__xludf.DUMMYFUNCTION("GOOGLETRANSLATE(L22, ""en"", ""de"")"),"AM BESTEN!! 👏🏻😍🔥")</f>
        <v>AM BESTEN!! 👏🏻😍🔥</v>
      </c>
      <c r="N22" s="6" t="s">
        <v>127</v>
      </c>
      <c r="O22" s="6" t="str">
        <f>IFERROR(__xludf.DUMMYFUNCTION("GOOGLETRANSLATE(N22, ""de"", ""id"")"),"LEBIH DISUKAI!! 👏🏻😍🔥")</f>
        <v>LEBIH DISUKAI!! 👏🏻😍🔥</v>
      </c>
    </row>
    <row r="23">
      <c r="A23" s="1" t="s">
        <v>17</v>
      </c>
      <c r="B23" s="1" t="s">
        <v>96</v>
      </c>
      <c r="C23" s="16" t="s">
        <v>128</v>
      </c>
      <c r="D23" s="4" t="s">
        <v>98</v>
      </c>
      <c r="E23" s="15" t="s">
        <v>129</v>
      </c>
      <c r="F23" s="6" t="str">
        <f>IFERROR(__xludf.DUMMYFUNCTION("IFERROR(ARRAYFORMULA(REGEXREPLACE(E23, ""("" &amp; TEXTJOIN(""|"", TRUE, FILTER(Q23:Q38, E:E&lt;&gt;"""")) &amp; "")"", 
                     INDEX(R23:R38, MATCH(REGEXEXTRACT(E23:E965, ""("" &amp; TEXTJOIN(""|"", TRUE, FILTER(Q23:Q38, Q23:Q38&lt;&gt;"""")) &amp; "")""), Q23:Q38, 0)"&amp;"))), E23)"),"😻😻")</f>
        <v>😻😻</v>
      </c>
      <c r="G23" s="6" t="str">
        <f>IFERROR(__xludf.DUMMYFUNCTION("GOOGLETRANSLATE(F23, ""id"", ""de"")
"),"😻😻")</f>
        <v>😻😻</v>
      </c>
      <c r="H23" s="6" t="str">
        <f>IFERROR(__xludf.DUMMYFUNCTION("GOOGLETRANSLATE(G23, ""de"", ""id"")"),"😻😻")</f>
        <v>😻😻</v>
      </c>
      <c r="I23" s="6" t="str">
        <f>IFERROR(__xludf.DUMMYFUNCTION("GOOGLETRANSLATE(G23, ""de"", ""en"")"),"😻😻")</f>
        <v>😻😻</v>
      </c>
      <c r="J23" s="6" t="str">
        <f>IFERROR(__xludf.DUMMYFUNCTION("GOOGLETRANSLATE(I23, ""en"", ""id"")"),"😻😻")</f>
        <v>😻😻</v>
      </c>
      <c r="K23" s="6" t="str">
        <f>IFERROR(__xludf.DUMMYFUNCTION("GOOGLETRANSLATE(F23, ""id"", ""en"")"),"😻😻")</f>
        <v>😻😻</v>
      </c>
      <c r="L23" s="6" t="s">
        <v>129</v>
      </c>
      <c r="M23" s="6" t="str">
        <f>IFERROR(__xludf.DUMMYFUNCTION("GOOGLETRANSLATE(L23, ""en"", ""de"")"),"😻😻")</f>
        <v>😻😻</v>
      </c>
      <c r="N23" s="6" t="s">
        <v>129</v>
      </c>
      <c r="O23" s="6" t="str">
        <f>IFERROR(__xludf.DUMMYFUNCTION("GOOGLETRANSLATE(N23, ""de"", ""id"")"),"😻😻")</f>
        <v>😻😻</v>
      </c>
    </row>
    <row r="24">
      <c r="A24" s="1" t="s">
        <v>17</v>
      </c>
      <c r="B24" s="1" t="s">
        <v>96</v>
      </c>
      <c r="C24" s="16" t="s">
        <v>130</v>
      </c>
      <c r="D24" s="4" t="s">
        <v>98</v>
      </c>
      <c r="E24" s="1" t="s">
        <v>131</v>
      </c>
      <c r="F24" s="6" t="str">
        <f>IFERROR(__xludf.DUMMYFUNCTION("IFERROR(ARRAYFORMULA(REGEXREPLACE(E24, ""("" &amp; TEXTJOIN(""|"", TRUE, FILTER(Q24:Q39, E:E&lt;&gt;"""")) &amp; "")"", 
                     INDEX(R24:R39, MATCH(REGEXEXTRACT(E24:E965, ""("" &amp; TEXTJOIN(""|"", TRUE, FILTER(Q24:Q39, Q24:Q39&lt;&gt;"""")) &amp; "")""), Q24:Q39, 0)"&amp;"))), E24)"),"MELEDAK🔥")</f>
        <v>MELEDAK🔥</v>
      </c>
      <c r="G24" s="6" t="str">
        <f>IFERROR(__xludf.DUMMYFUNCTION("GOOGLETRANSLATE(F24, ""id"", ""de"")
"),"EXPLODIEREN🔥")</f>
        <v>EXPLODIEREN🔥</v>
      </c>
      <c r="H24" s="6" t="str">
        <f>IFERROR(__xludf.DUMMYFUNCTION("GOOGLETRANSLATE(G24, ""de"", ""id"")"),"MELEDAK🔥")</f>
        <v>MELEDAK🔥</v>
      </c>
      <c r="I24" s="6" t="str">
        <f>IFERROR(__xludf.DUMMYFUNCTION("GOOGLETRANSLATE(G24, ""de"", ""en"")"),"EXPLODE🔥")</f>
        <v>EXPLODE🔥</v>
      </c>
      <c r="J24" s="6" t="str">
        <f>IFERROR(__xludf.DUMMYFUNCTION("GOOGLETRANSLATE(I24, ""en"", ""id"")"),"MELEDAK🔥")</f>
        <v>MELEDAK🔥</v>
      </c>
      <c r="K24" s="6" t="str">
        <f>IFERROR(__xludf.DUMMYFUNCTION("GOOGLETRANSLATE(F24, ""id"", ""en"")"),"EXPLOD🔥")</f>
        <v>EXPLOD🔥</v>
      </c>
      <c r="L24" s="6" t="s">
        <v>132</v>
      </c>
      <c r="M24" s="6" t="str">
        <f>IFERROR(__xludf.DUMMYFUNCTION("GOOGLETRANSLATE(L24, ""en"", ""de"")"),"EXPLODIEREN🔥")</f>
        <v>EXPLODIEREN🔥</v>
      </c>
      <c r="N24" s="6" t="s">
        <v>133</v>
      </c>
      <c r="O24" s="6" t="str">
        <f>IFERROR(__xludf.DUMMYFUNCTION("GOOGLETRANSLATE(N24, ""de"", ""id"")"),"MELEDAK🔥")</f>
        <v>MELEDAK🔥</v>
      </c>
    </row>
    <row r="25">
      <c r="A25" s="1" t="s">
        <v>17</v>
      </c>
      <c r="B25" s="1" t="s">
        <v>96</v>
      </c>
      <c r="C25" s="16" t="s">
        <v>134</v>
      </c>
      <c r="D25" s="4" t="s">
        <v>98</v>
      </c>
      <c r="E25" s="15" t="s">
        <v>135</v>
      </c>
      <c r="F25" s="6" t="str">
        <f>IFERROR(__xludf.DUMMYFUNCTION("IFERROR(ARRAYFORMULA(REGEXREPLACE(E25, ""("" &amp; TEXTJOIN(""|"", TRUE, FILTER(Q25:Q40, E:E&lt;&gt;"""")) &amp; "")"", 
                     INDEX(R25:R40, MATCH(REGEXEXTRACT(E25:E965, ""("" &amp; TEXTJOIN(""|"", TRUE, FILTER(Q25:Q40, Q25:Q40&lt;&gt;"""")) &amp; "")""), Q25:Q40, 0)"&amp;"))), E25)"),"🔥🔥🔥")</f>
        <v>🔥🔥🔥</v>
      </c>
      <c r="G25" s="6" t="str">
        <f>IFERROR(__xludf.DUMMYFUNCTION("GOOGLETRANSLATE(F25, ""id"", ""de"")
"),"🔥🔥🔥")</f>
        <v>🔥🔥🔥</v>
      </c>
      <c r="H25" s="6" t="str">
        <f>IFERROR(__xludf.DUMMYFUNCTION("GOOGLETRANSLATE(G25, ""de"", ""id"")"),"🔥🔥🔥")</f>
        <v>🔥🔥🔥</v>
      </c>
      <c r="I25" s="6" t="str">
        <f>IFERROR(__xludf.DUMMYFUNCTION("GOOGLETRANSLATE(G25, ""de"", ""en"")"),"🔥🔥🔥")</f>
        <v>🔥🔥🔥</v>
      </c>
      <c r="J25" s="6" t="str">
        <f>IFERROR(__xludf.DUMMYFUNCTION("GOOGLETRANSLATE(I25, ""en"", ""id"")"),"🔥🔥🔥")</f>
        <v>🔥🔥🔥</v>
      </c>
      <c r="K25" s="6" t="str">
        <f>IFERROR(__xludf.DUMMYFUNCTION("GOOGLETRANSLATE(F25, ""id"", ""en"")"),"🔥🔥🔥")</f>
        <v>🔥🔥🔥</v>
      </c>
      <c r="L25" s="6" t="s">
        <v>135</v>
      </c>
      <c r="M25" s="6" t="str">
        <f>IFERROR(__xludf.DUMMYFUNCTION("GOOGLETRANSLATE(L25, ""en"", ""de"")"),"🔥🔥🔥")</f>
        <v>🔥🔥🔥</v>
      </c>
      <c r="N25" s="6" t="s">
        <v>135</v>
      </c>
      <c r="O25" s="6" t="str">
        <f>IFERROR(__xludf.DUMMYFUNCTION("GOOGLETRANSLATE(N25, ""de"", ""id"")"),"🔥🔥🔥")</f>
        <v>🔥🔥🔥</v>
      </c>
    </row>
    <row r="26">
      <c r="A26" s="1" t="s">
        <v>17</v>
      </c>
      <c r="B26" s="1" t="s">
        <v>96</v>
      </c>
      <c r="C26" s="16" t="s">
        <v>136</v>
      </c>
      <c r="D26" s="4" t="s">
        <v>98</v>
      </c>
      <c r="E26" s="1" t="s">
        <v>137</v>
      </c>
      <c r="F26" s="6" t="str">
        <f>IFERROR(__xludf.DUMMYFUNCTION("IFERROR(ARRAYFORMULA(REGEXREPLACE(E26, ""("" &amp; TEXTJOIN(""|"", TRUE, FILTER(Q26:Q41, E:E&lt;&gt;"""")) &amp; "")"", 
                     INDEX(R26:R41, MATCH(REGEXEXTRACT(E26:E965, ""("" &amp; TEXTJOIN(""|"", TRUE, FILTER(Q26:Q41, Q26:Q41&lt;&gt;"""")) &amp; "")""), Q26:Q41, 0)"&amp;"))), E26)"),"MANTAP🔥🔥")</f>
        <v>MANTAP🔥🔥</v>
      </c>
      <c r="G26" s="6" t="str">
        <f>IFERROR(__xludf.DUMMYFUNCTION("GOOGLETRANSLATE(F26, ""id"", ""de"")
"),"TOLL🔥🔥")</f>
        <v>TOLL🔥🔥</v>
      </c>
      <c r="H26" s="6" t="str">
        <f>IFERROR(__xludf.DUMMYFUNCTION("GOOGLETRANSLATE(G26, ""de"", ""id"")"),"HEBAT🔥🔥")</f>
        <v>HEBAT🔥🔥</v>
      </c>
      <c r="I26" s="6" t="str">
        <f>IFERROR(__xludf.DUMMYFUNCTION("GOOGLETRANSLATE(G26, ""de"", ""en"")"),"GREAT🔥🔥")</f>
        <v>GREAT🔥🔥</v>
      </c>
      <c r="J26" s="6" t="str">
        <f>IFERROR(__xludf.DUMMYFUNCTION("GOOGLETRANSLATE(I26, ""en"", ""id"")"),"HEBAT🔥🔥")</f>
        <v>HEBAT🔥🔥</v>
      </c>
      <c r="K26" s="6" t="str">
        <f>IFERROR(__xludf.DUMMYFUNCTION("GOOGLETRANSLATE(F26, ""id"", ""en"")"),"GREAT🔥🔥")</f>
        <v>GREAT🔥🔥</v>
      </c>
      <c r="L26" s="6" t="s">
        <v>138</v>
      </c>
      <c r="M26" s="6" t="str">
        <f>IFERROR(__xludf.DUMMYFUNCTION("GOOGLETRANSLATE(L26, ""en"", ""de"")"),"TOLL🔥🔥")</f>
        <v>TOLL🔥🔥</v>
      </c>
      <c r="N26" s="6" t="s">
        <v>139</v>
      </c>
      <c r="O26" s="6" t="str">
        <f>IFERROR(__xludf.DUMMYFUNCTION("GOOGLETRANSLATE(N26, ""de"", ""id"")"),"HEBAT🔥🔥")</f>
        <v>HEBAT🔥🔥</v>
      </c>
    </row>
    <row r="27">
      <c r="A27" s="1" t="s">
        <v>17</v>
      </c>
      <c r="B27" s="1" t="s">
        <v>96</v>
      </c>
      <c r="C27" s="16" t="s">
        <v>140</v>
      </c>
      <c r="D27" s="4" t="s">
        <v>98</v>
      </c>
      <c r="E27" s="15" t="s">
        <v>141</v>
      </c>
      <c r="F27" s="6" t="str">
        <f>IFERROR(__xludf.DUMMYFUNCTION("IFERROR(ARRAYFORMULA(REGEXREPLACE(E27, ""("" &amp; TEXTJOIN(""|"", TRUE, FILTER(Q27:Q42, E:E&lt;&gt;"""")) &amp; "")"", 
                     INDEX(R27:R42, MATCH(REGEXEXTRACT(E27:E965, ""("" &amp; TEXTJOIN(""|"", TRUE, FILTER(Q27:Q42, Q27:Q42&lt;&gt;"""")) &amp; "")""), Q27:Q42, 0)"&amp;"))), E27)"),"👏👏👏")</f>
        <v>👏👏👏</v>
      </c>
      <c r="G27" s="6" t="str">
        <f>IFERROR(__xludf.DUMMYFUNCTION("GOOGLETRANSLATE(F27, ""id"", ""de"")
"),"👏👏👏")</f>
        <v>👏👏👏</v>
      </c>
      <c r="H27" s="6" t="str">
        <f>IFERROR(__xludf.DUMMYFUNCTION("GOOGLETRANSLATE(G27, ""de"", ""id"")"),"👏👏👏")</f>
        <v>👏👏👏</v>
      </c>
      <c r="I27" s="6" t="str">
        <f>IFERROR(__xludf.DUMMYFUNCTION("GOOGLETRANSLATE(G27, ""de"", ""en"")"),"👏👏👏")</f>
        <v>👏👏👏</v>
      </c>
      <c r="J27" s="6" t="str">
        <f>IFERROR(__xludf.DUMMYFUNCTION("GOOGLETRANSLATE(I27, ""en"", ""id"")"),"👏👏👏")</f>
        <v>👏👏👏</v>
      </c>
      <c r="K27" s="6" t="str">
        <f>IFERROR(__xludf.DUMMYFUNCTION("GOOGLETRANSLATE(F27, ""id"", ""en"")"),"👏👏👏")</f>
        <v>👏👏👏</v>
      </c>
      <c r="L27" s="6" t="s">
        <v>141</v>
      </c>
      <c r="M27" s="6" t="str">
        <f>IFERROR(__xludf.DUMMYFUNCTION("GOOGLETRANSLATE(L27, ""en"", ""de"")"),"👏👏👏")</f>
        <v>👏👏👏</v>
      </c>
      <c r="N27" s="6" t="s">
        <v>141</v>
      </c>
      <c r="O27" s="6" t="str">
        <f>IFERROR(__xludf.DUMMYFUNCTION("GOOGLETRANSLATE(N27, ""de"", ""id"")"),"👏👏👏")</f>
        <v>👏👏👏</v>
      </c>
    </row>
    <row r="28">
      <c r="A28" s="1" t="s">
        <v>17</v>
      </c>
      <c r="B28" s="1" t="s">
        <v>96</v>
      </c>
      <c r="C28" s="16" t="s">
        <v>142</v>
      </c>
      <c r="D28" s="4" t="s">
        <v>98</v>
      </c>
      <c r="E28" s="15" t="s">
        <v>121</v>
      </c>
      <c r="F28" s="6" t="str">
        <f>IFERROR(__xludf.DUMMYFUNCTION("IFERROR(ARRAYFORMULA(REGEXREPLACE(E28, ""("" &amp; TEXTJOIN(""|"", TRUE, FILTER(Q28:Q43, E:E&lt;&gt;"""")) &amp; "")"", 
                     INDEX(R28:R43, MATCH(REGEXEXTRACT(E28:E965, ""("" &amp; TEXTJOIN(""|"", TRUE, FILTER(Q28:Q43, Q28:Q43&lt;&gt;"""")) &amp; "")""), Q28:Q43, 0)"&amp;"))), E28)"),"😍😍")</f>
        <v>😍😍</v>
      </c>
      <c r="G28" s="6" t="str">
        <f>IFERROR(__xludf.DUMMYFUNCTION("GOOGLETRANSLATE(F28, ""id"", ""de"")
"),"😍😍")</f>
        <v>😍😍</v>
      </c>
      <c r="H28" s="6" t="str">
        <f>IFERROR(__xludf.DUMMYFUNCTION("GOOGLETRANSLATE(G28, ""de"", ""id"")"),"😍😍")</f>
        <v>😍😍</v>
      </c>
      <c r="I28" s="6" t="str">
        <f>IFERROR(__xludf.DUMMYFUNCTION("GOOGLETRANSLATE(G28, ""de"", ""en"")"),"😍😍")</f>
        <v>😍😍</v>
      </c>
      <c r="J28" s="6" t="str">
        <f>IFERROR(__xludf.DUMMYFUNCTION("GOOGLETRANSLATE(I28, ""en"", ""id"")"),"😍😍")</f>
        <v>😍😍</v>
      </c>
      <c r="K28" s="6" t="str">
        <f>IFERROR(__xludf.DUMMYFUNCTION("GOOGLETRANSLATE(F28, ""id"", ""en"")"),"😍😍")</f>
        <v>😍😍</v>
      </c>
      <c r="L28" s="6" t="s">
        <v>121</v>
      </c>
      <c r="M28" s="6" t="str">
        <f>IFERROR(__xludf.DUMMYFUNCTION("GOOGLETRANSLATE(L28, ""en"", ""de"")"),"😍😍")</f>
        <v>😍😍</v>
      </c>
      <c r="N28" s="6" t="s">
        <v>121</v>
      </c>
      <c r="O28" s="6" t="str">
        <f>IFERROR(__xludf.DUMMYFUNCTION("GOOGLETRANSLATE(N28, ""de"", ""id"")"),"😍😍")</f>
        <v>😍😍</v>
      </c>
    </row>
    <row r="29">
      <c r="A29" s="1" t="s">
        <v>17</v>
      </c>
      <c r="B29" s="1" t="s">
        <v>96</v>
      </c>
      <c r="C29" s="16" t="s">
        <v>143</v>
      </c>
      <c r="D29" s="4" t="s">
        <v>98</v>
      </c>
      <c r="E29" s="15" t="s">
        <v>144</v>
      </c>
      <c r="F29" s="6" t="str">
        <f>IFERROR(__xludf.DUMMYFUNCTION("IFERROR(ARRAYFORMULA(REGEXREPLACE(E29, ""("" &amp; TEXTJOIN(""|"", TRUE, FILTER(Q29:Q44, E:E&lt;&gt;"""")) &amp; "")"", 
                     INDEX(R29:R44, MATCH(REGEXEXTRACT(E29:E965, ""("" &amp; TEXTJOIN(""|"", TRUE, FILTER(Q29:Q44, Q29:Q44&lt;&gt;"""")) &amp; "")""), Q29:Q44, 0)"&amp;"))), E29)"),"Kereenn😍🔥🔥")</f>
        <v>Kereenn😍🔥🔥</v>
      </c>
      <c r="G29" s="6" t="str">
        <f>IFERROR(__xludf.DUMMYFUNCTION("GOOGLETRANSLATE(F29, ""id"", ""de"")
"),"Cool😍🔥🔥")</f>
        <v>Cool😍🔥🔥</v>
      </c>
      <c r="H29" s="6" t="str">
        <f>IFERROR(__xludf.DUMMYFUNCTION("GOOGLETRANSLATE(G29, ""de"", ""id"")"),"Keren😍🔥🔥")</f>
        <v>Keren😍🔥🔥</v>
      </c>
      <c r="I29" s="6" t="str">
        <f>IFERROR(__xludf.DUMMYFUNCTION("GOOGLETRANSLATE(G29, ""de"", ""en"")"),"Cool😍🔥🔥")</f>
        <v>Cool😍🔥🔥</v>
      </c>
      <c r="J29" s="6" t="str">
        <f>IFERROR(__xludf.DUMMYFUNCTION("GOOGLETRANSLATE(I29, ""en"", ""id"")"),"Keren😍🔥🔥")</f>
        <v>Keren😍🔥🔥</v>
      </c>
      <c r="K29" s="6" t="str">
        <f>IFERROR(__xludf.DUMMYFUNCTION("GOOGLETRANSLATE(F29, ""id"", ""en"")"),"Cool😍🔥🔥")</f>
        <v>Cool😍🔥🔥</v>
      </c>
      <c r="L29" s="6" t="s">
        <v>145</v>
      </c>
      <c r="M29" s="6" t="str">
        <f>IFERROR(__xludf.DUMMYFUNCTION("GOOGLETRANSLATE(L29, ""en"", ""de"")"),"Cool😍🔥🔥")</f>
        <v>Cool😍🔥🔥</v>
      </c>
      <c r="N29" s="6" t="s">
        <v>145</v>
      </c>
      <c r="O29" s="6" t="str">
        <f>IFERROR(__xludf.DUMMYFUNCTION("GOOGLETRANSLATE(N29, ""de"", ""id"")"),"Keren😍🔥🔥")</f>
        <v>Keren😍🔥🔥</v>
      </c>
    </row>
    <row r="30">
      <c r="A30" s="1" t="s">
        <v>17</v>
      </c>
      <c r="B30" s="1" t="s">
        <v>96</v>
      </c>
      <c r="C30" s="16" t="s">
        <v>146</v>
      </c>
      <c r="D30" s="4" t="s">
        <v>98</v>
      </c>
      <c r="E30" s="15" t="s">
        <v>147</v>
      </c>
      <c r="F30" s="6" t="str">
        <f>IFERROR(__xludf.DUMMYFUNCTION("IFERROR(ARRAYFORMULA(REGEXREPLACE(E30, ""("" &amp; TEXTJOIN(""|"", TRUE, FILTER(Q30:Q45, E:E&lt;&gt;"""")) &amp; "")"", 
                     INDEX(R30:R45, MATCH(REGEXEXTRACT(E30:E965, ""("" &amp; TEXTJOIN(""|"", TRUE, FILTER(Q30:Q45, Q30:Q45&lt;&gt;"""")) &amp; "")""), Q30:Q45, 0)"&amp;"))), E30)"),"Keren")</f>
        <v>Keren</v>
      </c>
      <c r="G30" s="6" t="str">
        <f>IFERROR(__xludf.DUMMYFUNCTION("GOOGLETRANSLATE(F30, ""id"", ""de"")
"),"Cool")</f>
        <v>Cool</v>
      </c>
      <c r="H30" s="6" t="str">
        <f>IFERROR(__xludf.DUMMYFUNCTION("GOOGLETRANSLATE(G30, ""de"", ""id"")"),"Dingin")</f>
        <v>Dingin</v>
      </c>
      <c r="I30" s="6" t="str">
        <f>IFERROR(__xludf.DUMMYFUNCTION("GOOGLETRANSLATE(G30, ""de"", ""en"")"),"Cool")</f>
        <v>Cool</v>
      </c>
      <c r="J30" s="6" t="str">
        <f>IFERROR(__xludf.DUMMYFUNCTION("GOOGLETRANSLATE(I30, ""en"", ""id"")"),"Dingin")</f>
        <v>Dingin</v>
      </c>
      <c r="K30" s="6" t="str">
        <f>IFERROR(__xludf.DUMMYFUNCTION("GOOGLETRANSLATE(F30, ""id"", ""en"")"),"Cool")</f>
        <v>Cool</v>
      </c>
      <c r="L30" s="6" t="s">
        <v>148</v>
      </c>
      <c r="M30" s="6" t="str">
        <f>IFERROR(__xludf.DUMMYFUNCTION("GOOGLETRANSLATE(L30, ""en"", ""de"")"),"Cool")</f>
        <v>Cool</v>
      </c>
      <c r="N30" s="6" t="s">
        <v>148</v>
      </c>
      <c r="O30" s="6" t="str">
        <f>IFERROR(__xludf.DUMMYFUNCTION("GOOGLETRANSLATE(N30, ""de"", ""id"")"),"Dingin")</f>
        <v>Dingin</v>
      </c>
    </row>
    <row r="31">
      <c r="A31" s="1" t="s">
        <v>17</v>
      </c>
      <c r="B31" s="1" t="s">
        <v>96</v>
      </c>
      <c r="C31" s="15" t="s">
        <v>149</v>
      </c>
      <c r="D31" s="4" t="s">
        <v>150</v>
      </c>
      <c r="E31" s="15" t="s">
        <v>151</v>
      </c>
      <c r="F31" s="6" t="str">
        <f>IFERROR(__xludf.DUMMYFUNCTION("IFERROR(ARRAYFORMULA(REGEXREPLACE(E31, ""("" &amp; TEXTJOIN(""|"", TRUE, FILTER(Q31:Q46, E:E&lt;&gt;"""")) &amp; "")"", 
                     INDEX(R31:R46, MATCH(REGEXEXTRACT(E31:E965, ""("" &amp; TEXTJOIN(""|"", TRUE, FILTER(Q31:Q46, Q31:Q46&lt;&gt;"""")) &amp; "")""), Q31:Q46, 0)"&amp;"))), E31)"),"Semoga Husnul khatimah")</f>
        <v>Semoga Husnul khatimah</v>
      </c>
      <c r="G31" s="6" t="str">
        <f>IFERROR(__xludf.DUMMYFUNCTION("GOOGLETRANSLATE(F31, ""id"", ""de"")
"),"Hoffentlich Husnul Khatimah")</f>
        <v>Hoffentlich Husnul Khatimah</v>
      </c>
      <c r="H31" s="6" t="str">
        <f>IFERROR(__xludf.DUMMYFUNCTION("GOOGLETRANSLATE(G31, ""de"", ""id"")"),"Semoga Husnul Khatimah")</f>
        <v>Semoga Husnul Khatimah</v>
      </c>
      <c r="I31" s="6" t="str">
        <f>IFERROR(__xludf.DUMMYFUNCTION("GOOGLETRANSLATE(G31, ""de"", ""en"")"),"Hopefully Husnul Khatimah")</f>
        <v>Hopefully Husnul Khatimah</v>
      </c>
      <c r="J31" s="6" t="str">
        <f>IFERROR(__xludf.DUMMYFUNCTION("GOOGLETRANSLATE(I31, ""en"", ""id"")"),"Semoga Husnul Khatimah")</f>
        <v>Semoga Husnul Khatimah</v>
      </c>
      <c r="K31" s="6" t="str">
        <f>IFERROR(__xludf.DUMMYFUNCTION("GOOGLETRANSLATE(F31, ""id"", ""en"")"),"Hopefully Husnul khatimah")</f>
        <v>Hopefully Husnul khatimah</v>
      </c>
      <c r="L31" s="6" t="s">
        <v>152</v>
      </c>
      <c r="M31" s="6" t="str">
        <f>IFERROR(__xludf.DUMMYFUNCTION("GOOGLETRANSLATE(L31, ""en"", ""de"")"),"Hoffentlich Husnul Khatimah")</f>
        <v>Hoffentlich Husnul Khatimah</v>
      </c>
      <c r="N31" s="6" t="s">
        <v>153</v>
      </c>
      <c r="O31" s="6" t="str">
        <f>IFERROR(__xludf.DUMMYFUNCTION("GOOGLETRANSLATE(N31, ""de"", ""id"")"),"Semoga Husnul Khatimah")</f>
        <v>Semoga Husnul Khatimah</v>
      </c>
    </row>
    <row r="32">
      <c r="A32" s="1" t="s">
        <v>17</v>
      </c>
      <c r="B32" s="1" t="s">
        <v>96</v>
      </c>
      <c r="C32" s="15" t="s">
        <v>146</v>
      </c>
      <c r="D32" s="4" t="s">
        <v>150</v>
      </c>
      <c r="E32" s="15" t="s">
        <v>154</v>
      </c>
      <c r="F32" s="6" t="str">
        <f>IFERROR(__xludf.DUMMYFUNCTION("IFERROR(ARRAYFORMULA(REGEXREPLACE(E32, ""("" &amp; TEXTJOIN(""|"", TRUE, FILTER(Q32:Q47, E:E&lt;&gt;"""")) &amp; "")"", 
                     INDEX(R32:R47, MATCH(REGEXEXTRACT(E32:E965, ""("" &amp; TEXTJOIN(""|"", TRUE, FILTER(Q32:Q47, Q32:Q47&lt;&gt;"""")) &amp; "")""), Q32:Q47, 0)"&amp;"))), E32)"),"Turut B'duka cita")</f>
        <v>Turut B'duka cita</v>
      </c>
      <c r="G32" s="6" t="str">
        <f>IFERROR(__xludf.DUMMYFUNCTION("GOOGLETRANSLATE(F32, ""id"", ""de"")
"),"Mein Beileid")</f>
        <v>Mein Beileid</v>
      </c>
      <c r="H32" s="6" t="str">
        <f>IFERROR(__xludf.DUMMYFUNCTION("GOOGLETRANSLATE(G32, ""de"", ""id"")"),"Belasungkawa")</f>
        <v>Belasungkawa</v>
      </c>
      <c r="I32" s="6" t="str">
        <f>IFERROR(__xludf.DUMMYFUNCTION("GOOGLETRANSLATE(G32, ""de"", ""en"")"),"My condolences")</f>
        <v>My condolences</v>
      </c>
      <c r="J32" s="6" t="str">
        <f>IFERROR(__xludf.DUMMYFUNCTION("GOOGLETRANSLATE(I32, ""en"", ""id"")"),"Belasungkawa")</f>
        <v>Belasungkawa</v>
      </c>
      <c r="K32" s="6" t="str">
        <f>IFERROR(__xludf.DUMMYFUNCTION("GOOGLETRANSLATE(F32, ""id"", ""en"")"),"My condolences")</f>
        <v>My condolences</v>
      </c>
      <c r="L32" s="6" t="s">
        <v>155</v>
      </c>
      <c r="M32" s="6" t="str">
        <f>IFERROR(__xludf.DUMMYFUNCTION("GOOGLETRANSLATE(L32, ""en"", ""de"")"),"Mein Beileid")</f>
        <v>Mein Beileid</v>
      </c>
      <c r="N32" s="6" t="s">
        <v>156</v>
      </c>
      <c r="O32" s="6" t="str">
        <f>IFERROR(__xludf.DUMMYFUNCTION("GOOGLETRANSLATE(N32, ""de"", ""id"")"),"Belasungkawa")</f>
        <v>Belasungkawa</v>
      </c>
    </row>
    <row r="33">
      <c r="A33" s="1" t="s">
        <v>17</v>
      </c>
      <c r="B33" s="1" t="s">
        <v>96</v>
      </c>
      <c r="C33" s="15" t="s">
        <v>157</v>
      </c>
      <c r="D33" s="4" t="s">
        <v>150</v>
      </c>
      <c r="E33" s="1" t="s">
        <v>158</v>
      </c>
      <c r="F33" s="6" t="str">
        <f>IFERROR(__xludf.DUMMYFUNCTION("IFERROR(ARRAYFORMULA(REGEXREPLACE(E33, ""("" &amp; TEXTJOIN(""|"", TRUE, FILTER(Q33:Q48, E:E&lt;&gt;"""")) &amp; "")"", 
                     INDEX(R33:R48, MATCH(REGEXEXTRACT(E33:E965, ""("" &amp; TEXTJOIN(""|"", TRUE, FILTER(Q33:Q48, Q33:Q48&lt;&gt;"""")) &amp; "")""), Q33:Q48, 0)"&amp;"))), E33)"),"Innalillaahi wainna ilaihi Rooji’uun
Semoga diterima amal ibadahnya, diampuni dosa2nya, dilapangkan kuburannya dan keluarga yg ditinggalkan selalu ikhlas dan tabah
Aamiin")</f>
        <v>Innalillaahi wainna ilaihi Rooji’uun
Semoga diterima amal ibadahnya, diampuni dosa2nya, dilapangkan kuburannya dan keluarga yg ditinggalkan selalu ikhlas dan tabah
Aamiin</v>
      </c>
      <c r="G33" s="6" t="str">
        <f>IFERROR(__xludf.DUMMYFUNCTION("GOOGLETRANSLATE(F33, ""id"", ""de"")
"),"Innalillaahi wainna ilaihi Rooji'uun
Hoffentlich werden seine Gottesdienste angenommen, seine Sünden vergeben, sein Grab erweitert und die zurückgelassene Familie wird immer aufrichtig und standhaft sein.
Amen!")</f>
        <v>Innalillaahi wainna ilaihi Rooji'uun
Hoffentlich werden seine Gottesdienste angenommen, seine Sünden vergeben, sein Grab erweitert und die zurückgelassene Familie wird immer aufrichtig und standhaft sein.
Amen!</v>
      </c>
      <c r="H33" s="6" t="str">
        <f>IFERROR(__xludf.DUMMYFUNCTION("GOOGLETRANSLATE(G33, ""de"", ""id"")"),"Innalillaahi wainna ilaihi Rooji'uun
Semoga amalnya diterima, dosanya diampuni, kuburnya diluaskan, dan keluarga yang ditinggalkannya selalu ikhlas dan tabah.
Amin!")</f>
        <v>Innalillaahi wainna ilaihi Rooji'uun
Semoga amalnya diterima, dosanya diampuni, kuburnya diluaskan, dan keluarga yang ditinggalkannya selalu ikhlas dan tabah.
Amin!</v>
      </c>
      <c r="I33" s="6" t="str">
        <f>IFERROR(__xludf.DUMMYFUNCTION("GOOGLETRANSLATE(G33, ""de"", ""en"")"),"Innalillaahi wainna ilaihi Rooji'uun
Hopefully his services will be accepted, his sins forgiven, his grave expanded, and the family he leaves behind will always be sincere and steadfast.
Amen!")</f>
        <v>Innalillaahi wainna ilaihi Rooji'uun
Hopefully his services will be accepted, his sins forgiven, his grave expanded, and the family he leaves behind will always be sincere and steadfast.
Amen!</v>
      </c>
      <c r="J33" s="6" t="str">
        <f>IFERROR(__xludf.DUMMYFUNCTION("GOOGLETRANSLATE(I33, ""en"", ""id"")"),"Innalillaahi wainna ilaihi Rooji'uun
Semoga amalnya diterima, dosanya diampuni, kuburnya diluaskan, dan keluarga yang ditinggalkannya selalu ikhlas dan tabah.
Amin!")</f>
        <v>Innalillaahi wainna ilaihi Rooji'uun
Semoga amalnya diterima, dosanya diampuni, kuburnya diluaskan, dan keluarga yang ditinggalkannya selalu ikhlas dan tabah.
Amin!</v>
      </c>
      <c r="K33" s="6" t="str">
        <f>IFERROR(__xludf.DUMMYFUNCTION("GOOGLETRANSLATE(F33, ""id"", ""en"")"),"Innalillaahi wainna ilaihi Rooji'uun
Hopefully his deeds of worship will be accepted, his sins will be forgiven, his grave will be widened and the family left behind will always be sincere and steadfast.
Amen!")</f>
        <v>Innalillaahi wainna ilaihi Rooji'uun
Hopefully his deeds of worship will be accepted, his sins will be forgiven, his grave will be widened and the family left behind will always be sincere and steadfast.
Amen!</v>
      </c>
      <c r="L33" s="6" t="s">
        <v>159</v>
      </c>
      <c r="M33" s="6" t="str">
        <f>IFERROR(__xludf.DUMMYFUNCTION("GOOGLETRANSLATE(L33, ""en"", ""de"")"),"Innalillaahi wainna ilaihi Rooji'uun
Hoffentlich werden seine Gottesdienste angenommen, seine Sünden vergeben, sein Grab erweitert und die zurückgelassene Familie wird immer aufrichtig und standhaft sein.
Amen!")</f>
        <v>Innalillaahi wainna ilaihi Rooji'uun
Hoffentlich werden seine Gottesdienste angenommen, seine Sünden vergeben, sein Grab erweitert und die zurückgelassene Familie wird immer aufrichtig und standhaft sein.
Amen!</v>
      </c>
      <c r="N33" s="6" t="s">
        <v>160</v>
      </c>
      <c r="O33" s="6" t="str">
        <f>IFERROR(__xludf.DUMMYFUNCTION("GOOGLETRANSLATE(N33, ""de"", ""id"")"),"Innalillaahi wainna ilaihi Rooji'uun
Semoga amalnya diterima, dosanya diampuni, kuburnya diluaskan, dan keluarga yang ditinggalkannya selalu ikhlas dan tabah.
Amin!")</f>
        <v>Innalillaahi wainna ilaihi Rooji'uun
Semoga amalnya diterima, dosanya diampuni, kuburnya diluaskan, dan keluarga yang ditinggalkannya selalu ikhlas dan tabah.
Amin!</v>
      </c>
    </row>
    <row r="34">
      <c r="A34" s="1" t="s">
        <v>17</v>
      </c>
      <c r="B34" s="1" t="s">
        <v>96</v>
      </c>
      <c r="C34" s="15" t="s">
        <v>161</v>
      </c>
      <c r="D34" s="4" t="s">
        <v>150</v>
      </c>
      <c r="E34" s="15" t="s">
        <v>162</v>
      </c>
      <c r="F34" s="6" t="str">
        <f>IFERROR(__xludf.DUMMYFUNCTION("IFERROR(ARRAYFORMULA(REGEXREPLACE(E34, ""("" &amp; TEXTJOIN(""|"", TRUE, FILTER(Q34:Q49, E:E&lt;&gt;"""")) &amp; "")"", 
                     INDEX(R34:R49, MATCH(REGEXEXTRACT(E34:E965, ""("" &amp; TEXTJOIN(""|"", TRUE, FILTER(Q34:Q49, Q34:Q49&lt;&gt;"""")) &amp; "")""), Q34:Q49, 0)"&amp;"))), E34)"),"Turut Berduka cita🙏🏻")</f>
        <v>Turut Berduka cita🙏🏻</v>
      </c>
      <c r="G34" s="6" t="str">
        <f>IFERROR(__xludf.DUMMYFUNCTION("GOOGLETRANSLATE(F34, ""id"", ""de"")
"),"Mein Beileid 🙏🏻")</f>
        <v>Mein Beileid 🙏🏻</v>
      </c>
      <c r="H34" s="6" t="str">
        <f>IFERROR(__xludf.DUMMYFUNCTION("GOOGLETRANSLATE(G34, ""de"", ""id"")"),"Saya ikut berbela sungkawa 🙏🏻")</f>
        <v>Saya ikut berbela sungkawa 🙏🏻</v>
      </c>
      <c r="I34" s="6" t="str">
        <f>IFERROR(__xludf.DUMMYFUNCTION("GOOGLETRANSLATE(G34, ""de"", ""en"")"),"My condolences 🙏🏻")</f>
        <v>My condolences 🙏🏻</v>
      </c>
      <c r="J34" s="6" t="str">
        <f>IFERROR(__xludf.DUMMYFUNCTION("GOOGLETRANSLATE(I34, ""en"", ""id"")"),"Saya ikut berbela sungkawa 🙏🏻")</f>
        <v>Saya ikut berbela sungkawa 🙏🏻</v>
      </c>
      <c r="K34" s="6" t="str">
        <f>IFERROR(__xludf.DUMMYFUNCTION("GOOGLETRANSLATE(F34, ""id"", ""en"")"),"My condolences 🙏🏻")</f>
        <v>My condolences 🙏🏻</v>
      </c>
      <c r="L34" s="6" t="s">
        <v>163</v>
      </c>
      <c r="M34" s="6" t="str">
        <f>IFERROR(__xludf.DUMMYFUNCTION("GOOGLETRANSLATE(L34, ""en"", ""de"")"),"Mein Beileid 🙏🏻")</f>
        <v>Mein Beileid 🙏🏻</v>
      </c>
      <c r="N34" s="6" t="s">
        <v>164</v>
      </c>
      <c r="O34" s="6" t="str">
        <f>IFERROR(__xludf.DUMMYFUNCTION("GOOGLETRANSLATE(N34, ""de"", ""id"")"),"Saya ikut berbela sungkawa 🙏🏻")</f>
        <v>Saya ikut berbela sungkawa 🙏🏻</v>
      </c>
    </row>
    <row r="35">
      <c r="A35" s="1" t="s">
        <v>17</v>
      </c>
      <c r="B35" s="1" t="s">
        <v>96</v>
      </c>
      <c r="C35" s="15" t="s">
        <v>165</v>
      </c>
      <c r="D35" s="4" t="s">
        <v>150</v>
      </c>
      <c r="E35" s="15" t="s">
        <v>166</v>
      </c>
      <c r="F35" s="6" t="str">
        <f>IFERROR(__xludf.DUMMYFUNCTION("IFERROR(ARRAYFORMULA(REGEXREPLACE(E35, ""("" &amp; TEXTJOIN(""|"", TRUE, FILTER(Q35:Q50, E:E&lt;&gt;"""")) &amp; "")"", 
                     INDEX(R35:R50, MATCH(REGEXEXTRACT(E35:E965, ""("" &amp; TEXTJOIN(""|"", TRUE, FILTER(Q35:Q50, Q35:Q50&lt;&gt;"""")) &amp; "")""), Q35:Q50, 0)"&amp;"))), E35)"),"Turut berdukacita")</f>
        <v>Turut berdukacita</v>
      </c>
      <c r="G35" s="6" t="str">
        <f>IFERROR(__xludf.DUMMYFUNCTION("GOOGLETRANSLATE(F35, ""id"", ""de"")
"),"Bitte nehmen Sie mein Beileid entgegen")</f>
        <v>Bitte nehmen Sie mein Beileid entgegen</v>
      </c>
      <c r="H35" s="6" t="str">
        <f>IFERROR(__xludf.DUMMYFUNCTION("GOOGLETRANSLATE(G35, ""de"", ""id"")"),"Mohon terima belasungkawa saya")</f>
        <v>Mohon terima belasungkawa saya</v>
      </c>
      <c r="I35" s="6" t="str">
        <f>IFERROR(__xludf.DUMMYFUNCTION("GOOGLETRANSLATE(G35, ""de"", ""en"")"),"Please accept my condolences")</f>
        <v>Please accept my condolences</v>
      </c>
      <c r="J35" s="6" t="str">
        <f>IFERROR(__xludf.DUMMYFUNCTION("GOOGLETRANSLATE(I35, ""en"", ""id"")"),"Mohon terima belasungkawa saya")</f>
        <v>Mohon terima belasungkawa saya</v>
      </c>
      <c r="K35" s="6" t="str">
        <f>IFERROR(__xludf.DUMMYFUNCTION("GOOGLETRANSLATE(F35, ""id"", ""en"")"),"Please accept my condolences")</f>
        <v>Please accept my condolences</v>
      </c>
      <c r="L35" s="6" t="s">
        <v>167</v>
      </c>
      <c r="M35" s="6" t="str">
        <f>IFERROR(__xludf.DUMMYFUNCTION("GOOGLETRANSLATE(L35, ""en"", ""de"")"),"Bitte nehmen Sie mein Beileid entgegen")</f>
        <v>Bitte nehmen Sie mein Beileid entgegen</v>
      </c>
      <c r="N35" s="6" t="s">
        <v>168</v>
      </c>
      <c r="O35" s="6" t="str">
        <f>IFERROR(__xludf.DUMMYFUNCTION("GOOGLETRANSLATE(N35, ""de"", ""id"")"),"Mohon terima belasungkawa saya")</f>
        <v>Mohon terima belasungkawa saya</v>
      </c>
    </row>
    <row r="36">
      <c r="A36" s="1" t="s">
        <v>17</v>
      </c>
      <c r="B36" s="1" t="s">
        <v>96</v>
      </c>
      <c r="C36" s="15" t="s">
        <v>169</v>
      </c>
      <c r="D36" s="4" t="s">
        <v>150</v>
      </c>
      <c r="E36" s="15" t="s">
        <v>170</v>
      </c>
      <c r="F36" s="6" t="str">
        <f>IFERROR(__xludf.DUMMYFUNCTION("IFERROR(ARRAYFORMULA(REGEXREPLACE(E36, ""("" &amp; TEXTJOIN(""|"", TRUE, FILTER(Q36:Q51, E:E&lt;&gt;"""")) &amp; "")"", 
                     INDEX(R36:R51, MATCH(REGEXEXTRACT(E36:E965, ""("" &amp; TEXTJOIN(""|"", TRUE, FILTER(Q36:Q51, Q36:Q51&lt;&gt;"""")) &amp; "")""), Q36:Q51, 0)"&amp;"))), E36)"),"😭😭😭😇")</f>
        <v>😭😭😭😇</v>
      </c>
      <c r="G36" s="6" t="str">
        <f>IFERROR(__xludf.DUMMYFUNCTION("GOOGLETRANSLATE(F36, ""id"", ""de"")
"),"😭😭😭😇")</f>
        <v>😭😭😭😇</v>
      </c>
      <c r="H36" s="6" t="str">
        <f>IFERROR(__xludf.DUMMYFUNCTION("GOOGLETRANSLATE(G36, ""de"", ""id"")"),"😭😭😭😇")</f>
        <v>😭😭😭😇</v>
      </c>
      <c r="I36" s="6" t="str">
        <f>IFERROR(__xludf.DUMMYFUNCTION("GOOGLETRANSLATE(G36, ""de"", ""en"")"),"😭😭😭😇")</f>
        <v>😭😭😭😇</v>
      </c>
      <c r="J36" s="6" t="str">
        <f>IFERROR(__xludf.DUMMYFUNCTION("GOOGLETRANSLATE(I36, ""en"", ""id"")"),"😭😭😭😇")</f>
        <v>😭😭😭😇</v>
      </c>
      <c r="K36" s="6" t="str">
        <f>IFERROR(__xludf.DUMMYFUNCTION("GOOGLETRANSLATE(F36, ""id"", ""en"")"),"😭😭😭😇")</f>
        <v>😭😭😭😇</v>
      </c>
      <c r="L36" s="6" t="s">
        <v>170</v>
      </c>
      <c r="M36" s="6" t="str">
        <f>IFERROR(__xludf.DUMMYFUNCTION("GOOGLETRANSLATE(L36, ""en"", ""de"")"),"😭😭😭😇")</f>
        <v>😭😭😭😇</v>
      </c>
      <c r="N36" s="6" t="s">
        <v>170</v>
      </c>
      <c r="O36" s="6" t="str">
        <f>IFERROR(__xludf.DUMMYFUNCTION("GOOGLETRANSLATE(N36, ""de"", ""id"")"),"😭😭😭😇")</f>
        <v>😭😭😭😇</v>
      </c>
    </row>
    <row r="37">
      <c r="A37" s="1" t="s">
        <v>17</v>
      </c>
      <c r="B37" s="1" t="s">
        <v>96</v>
      </c>
      <c r="C37" s="15" t="s">
        <v>171</v>
      </c>
      <c r="D37" s="4" t="s">
        <v>150</v>
      </c>
      <c r="E37" s="15" t="s">
        <v>172</v>
      </c>
      <c r="F37" s="6" t="str">
        <f>IFERROR(__xludf.DUMMYFUNCTION("IFERROR(ARRAYFORMULA(REGEXREPLACE(E37, ""("" &amp; TEXTJOIN(""|"", TRUE, FILTER(Q37:Q52, E:E&lt;&gt;"""")) &amp; "")"", 
                     INDEX(R37:R52, MATCH(REGEXEXTRACT(E37:E965, ""("" &amp; TEXTJOIN(""|"", TRUE, FILTER(Q37:Q52, Q37:Q52&lt;&gt;"""")) &amp; "")""), Q37:Q52, 0)"&amp;"))), E37)"),"Innalillahi wainna illaihi rojiun")</f>
        <v>Innalillahi wainna illaihi rojiun</v>
      </c>
      <c r="G37" s="6" t="str">
        <f>IFERROR(__xludf.DUMMYFUNCTION("GOOGLETRANSLATE(F37, ""id"", ""de"")
"),"Innalillahi wainna illaihi rojiun")</f>
        <v>Innalillahi wainna illaihi rojiun</v>
      </c>
      <c r="H37" s="6" t="str">
        <f>IFERROR(__xludf.DUMMYFUNCTION("GOOGLETRANSLATE(G37, ""de"", ""id"")"),"Innalillahi wainna illaihi rojiun")</f>
        <v>Innalillahi wainna illaihi rojiun</v>
      </c>
      <c r="I37" s="6" t="str">
        <f>IFERROR(__xludf.DUMMYFUNCTION("GOOGLETRANSLATE(G37, ""de"", ""en"")"),"Innalillahi wainna illaihi rojiun")</f>
        <v>Innalillahi wainna illaihi rojiun</v>
      </c>
      <c r="J37" s="6" t="str">
        <f>IFERROR(__xludf.DUMMYFUNCTION("GOOGLETRANSLATE(I37, ""en"", ""id"")"),"Innalillahi wainna illaihi rojiun")</f>
        <v>Innalillahi wainna illaihi rojiun</v>
      </c>
      <c r="K37" s="6" t="str">
        <f>IFERROR(__xludf.DUMMYFUNCTION("GOOGLETRANSLATE(F37, ""id"", ""en"")"),"Innalillahi wainna illaihi rojiun")</f>
        <v>Innalillahi wainna illaihi rojiun</v>
      </c>
      <c r="L37" s="6" t="s">
        <v>172</v>
      </c>
      <c r="M37" s="6" t="str">
        <f>IFERROR(__xludf.DUMMYFUNCTION("GOOGLETRANSLATE(L37, ""en"", ""de"")"),"Innalillahi wainna illaihi rojiun")</f>
        <v>Innalillahi wainna illaihi rojiun</v>
      </c>
      <c r="N37" s="6" t="s">
        <v>172</v>
      </c>
      <c r="O37" s="6" t="str">
        <f>IFERROR(__xludf.DUMMYFUNCTION("GOOGLETRANSLATE(N37, ""de"", ""id"")"),"Innalillahi wainna illaihi rojiun")</f>
        <v>Innalillahi wainna illaihi rojiun</v>
      </c>
    </row>
    <row r="38">
      <c r="A38" s="1" t="s">
        <v>17</v>
      </c>
      <c r="B38" s="1" t="s">
        <v>96</v>
      </c>
      <c r="C38" s="17" t="s">
        <v>173</v>
      </c>
      <c r="D38" s="4" t="s">
        <v>174</v>
      </c>
      <c r="E38" s="15" t="s">
        <v>175</v>
      </c>
      <c r="F38" s="6" t="str">
        <f>IFERROR(__xludf.DUMMYFUNCTION("IFERROR(ARRAYFORMULA(REGEXREPLACE(E38, ""("" &amp; TEXTJOIN(""|"", TRUE, FILTER(Q38:Q53, E:E&lt;&gt;"""")) &amp; "")"", 
                     INDEX(R38:R53, MATCH(REGEXEXTRACT(E38:E965, ""("" &amp; TEXTJOIN(""|"", TRUE, FILTER(Q38:Q53, Q38:Q53&lt;&gt;"""")) &amp; "")""), Q38:Q53, 0)"&amp;"))), E38)"),"🔥🔥❤️❤️")</f>
        <v>🔥🔥❤️❤️</v>
      </c>
      <c r="G38" s="6" t="str">
        <f>IFERROR(__xludf.DUMMYFUNCTION("GOOGLETRANSLATE(F38, ""id"", ""de"")
"),"🔥🔥❤️❤️")</f>
        <v>🔥🔥❤️❤️</v>
      </c>
      <c r="H38" s="6" t="str">
        <f>IFERROR(__xludf.DUMMYFUNCTION("GOOGLETRANSLATE(G38, ""de"", ""id"")"),"🔥🔥❤️❤️")</f>
        <v>🔥🔥❤️❤️</v>
      </c>
      <c r="I38" s="6" t="str">
        <f>IFERROR(__xludf.DUMMYFUNCTION("GOOGLETRANSLATE(G38, ""de"", ""en"")"),"🔥🔥❤️❤️")</f>
        <v>🔥🔥❤️❤️</v>
      </c>
      <c r="J38" s="6" t="str">
        <f>IFERROR(__xludf.DUMMYFUNCTION("GOOGLETRANSLATE(I38, ""en"", ""id"")"),"🔥🔥❤️❤️")</f>
        <v>🔥🔥❤️❤️</v>
      </c>
      <c r="K38" s="6" t="str">
        <f>IFERROR(__xludf.DUMMYFUNCTION("GOOGLETRANSLATE(F38, ""id"", ""en"")"),"🔥🔥❤️❤️")</f>
        <v>🔥🔥❤️❤️</v>
      </c>
      <c r="L38" s="6" t="s">
        <v>175</v>
      </c>
      <c r="M38" s="6" t="str">
        <f>IFERROR(__xludf.DUMMYFUNCTION("GOOGLETRANSLATE(L38, ""en"", ""de"")"),"🔥🔥❤️❤️")</f>
        <v>🔥🔥❤️❤️</v>
      </c>
      <c r="N38" s="6" t="s">
        <v>175</v>
      </c>
      <c r="O38" s="6" t="str">
        <f>IFERROR(__xludf.DUMMYFUNCTION("GOOGLETRANSLATE(N38, ""de"", ""id"")"),"🔥🔥❤️❤️")</f>
        <v>🔥🔥❤️❤️</v>
      </c>
    </row>
    <row r="39">
      <c r="A39" s="1" t="s">
        <v>17</v>
      </c>
      <c r="B39" s="1" t="s">
        <v>96</v>
      </c>
      <c r="C39" s="17" t="s">
        <v>176</v>
      </c>
      <c r="D39" s="4" t="s">
        <v>174</v>
      </c>
      <c r="E39" s="15" t="s">
        <v>177</v>
      </c>
      <c r="F39" s="6" t="str">
        <f>IFERROR(__xludf.DUMMYFUNCTION("IFERROR(ARRAYFORMULA(REGEXREPLACE(E39, ""("" &amp; TEXTJOIN(""|"", TRUE, FILTER(Q39:Q54, E:E&lt;&gt;"""")) &amp; "")"", 
                     INDEX(R39:R54, MATCH(REGEXEXTRACT(E39:E965, ""("" &amp; TEXTJOIN(""|"", TRUE, FILTER(Q39:Q54, Q39:Q54&lt;&gt;"""")) &amp; "")""), Q39:Q54, 0)"&amp;"))), E39)"),"yg penting so dtau")</f>
        <v>yg penting so dtau</v>
      </c>
      <c r="G39" s="6" t="str">
        <f>IFERROR(__xludf.DUMMYFUNCTION("GOOGLETRANSLATE(F39, ""id"", ""de"")
"),"Wichtig ist, dass Sie es wissen")</f>
        <v>Wichtig ist, dass Sie es wissen</v>
      </c>
      <c r="H39" s="6" t="str">
        <f>IFERROR(__xludf.DUMMYFUNCTION("GOOGLETRANSLATE(G39, ""de"", ""id"")"),"Yang penting kamu mengetahuinya")</f>
        <v>Yang penting kamu mengetahuinya</v>
      </c>
      <c r="I39" s="6" t="str">
        <f>IFERROR(__xludf.DUMMYFUNCTION("GOOGLETRANSLATE(G39, ""de"", ""en"")"),"What's important is that you know")</f>
        <v>What's important is that you know</v>
      </c>
      <c r="J39" s="6" t="str">
        <f>IFERROR(__xludf.DUMMYFUNCTION("GOOGLETRANSLATE(I39, ""en"", ""id"")"),"Yang penting kamu mengetahuinya")</f>
        <v>Yang penting kamu mengetahuinya</v>
      </c>
      <c r="K39" s="6" t="str">
        <f>IFERROR(__xludf.DUMMYFUNCTION("GOOGLETRANSLATE(F39, ""id"", ""en"")"),"what's important is that you know")</f>
        <v>what's important is that you know</v>
      </c>
      <c r="L39" s="6" t="s">
        <v>178</v>
      </c>
      <c r="M39" s="6" t="str">
        <f>IFERROR(__xludf.DUMMYFUNCTION("GOOGLETRANSLATE(L39, ""en"", ""de"")"),"Wichtig ist, dass Sie es wissen")</f>
        <v>Wichtig ist, dass Sie es wissen</v>
      </c>
      <c r="N39" s="6" t="s">
        <v>179</v>
      </c>
      <c r="O39" s="6" t="str">
        <f>IFERROR(__xludf.DUMMYFUNCTION("GOOGLETRANSLATE(N39, ""de"", ""id"")"),"Yang penting kamu mengetahuinya")</f>
        <v>Yang penting kamu mengetahuinya</v>
      </c>
    </row>
    <row r="40">
      <c r="A40" s="1" t="s">
        <v>17</v>
      </c>
      <c r="B40" s="1" t="s">
        <v>96</v>
      </c>
      <c r="C40" s="17" t="s">
        <v>180</v>
      </c>
      <c r="D40" s="18" t="s">
        <v>174</v>
      </c>
      <c r="E40" s="15" t="s">
        <v>181</v>
      </c>
      <c r="F40" s="6" t="str">
        <f>IFERROR(__xludf.DUMMYFUNCTION("IFERROR(ARRAYFORMULA(REGEXREPLACE(E40, ""("" &amp; TEXTJOIN(""|"", TRUE, FILTER(Q40:Q55, E:E&lt;&gt;"""")) &amp; "")"", 
                     INDEX(R40:R55, MATCH(REGEXEXTRACT(E40:E965, ""("" &amp; TEXTJOIN(""|"", TRUE, FILTER(Q40:Q55, Q40:Q55&lt;&gt;"""")) &amp; "")""), Q40:Q55, 0)"&amp;"))), E40)"),"Kereeen 😍😍😍")</f>
        <v>Kereeen 😍😍😍</v>
      </c>
      <c r="G40" s="6" t="str">
        <f>IFERROR(__xludf.DUMMYFUNCTION("GOOGLETRANSLATE(F40, ""id"", ""de"")
"),"Kereeen 😍😍😍")</f>
        <v>Kereeen 😍😍😍</v>
      </c>
      <c r="H40" s="6" t="str">
        <f>IFERROR(__xludf.DUMMYFUNCTION("GOOGLETRANSLATE(G40, ""de"", ""id"")"),"Kereeeen 😍😍😍")</f>
        <v>Kereeeen 😍😍😍</v>
      </c>
      <c r="I40" s="6" t="str">
        <f>IFERROR(__xludf.DUMMYFUNCTION("GOOGLETRANSLATE(G40, ""de"", ""en"")"),"Kereeen 😍😍😍")</f>
        <v>Kereeen 😍😍😍</v>
      </c>
      <c r="J40" s="6" t="str">
        <f>IFERROR(__xludf.DUMMYFUNCTION("GOOGLETRANSLATE(I40, ""en"", ""id"")"),"Kereeeen 😍😍😍")</f>
        <v>Kereeeen 😍😍😍</v>
      </c>
      <c r="K40" s="6" t="str">
        <f>IFERROR(__xludf.DUMMYFUNCTION("GOOGLETRANSLATE(F40, ""id"", ""en"")"),"Kereeen 😍😍😍")</f>
        <v>Kereeen 😍😍😍</v>
      </c>
      <c r="L40" s="6" t="s">
        <v>181</v>
      </c>
      <c r="M40" s="6" t="str">
        <f>IFERROR(__xludf.DUMMYFUNCTION("GOOGLETRANSLATE(L40, ""en"", ""de"")"),"Kereeen 😍😍😍")</f>
        <v>Kereeen 😍😍😍</v>
      </c>
      <c r="N40" s="6" t="s">
        <v>181</v>
      </c>
      <c r="O40" s="6" t="str">
        <f>IFERROR(__xludf.DUMMYFUNCTION("GOOGLETRANSLATE(N40, ""de"", ""id"")"),"Kereeeen 😍😍😍")</f>
        <v>Kereeeen 😍😍😍</v>
      </c>
    </row>
    <row r="41">
      <c r="A41" s="1" t="s">
        <v>17</v>
      </c>
      <c r="B41" s="1" t="s">
        <v>96</v>
      </c>
      <c r="C41" s="17" t="s">
        <v>182</v>
      </c>
      <c r="D41" s="4" t="s">
        <v>174</v>
      </c>
      <c r="E41" s="15" t="s">
        <v>183</v>
      </c>
      <c r="F41" s="6" t="str">
        <f>IFERROR(__xludf.DUMMYFUNCTION("IFERROR(ARRAYFORMULA(REGEXREPLACE(E41, ""("" &amp; TEXTJOIN(""|"", TRUE, FILTER(Q41:Q56, E:E&lt;&gt;"""")) &amp; "")"", 
                     INDEX(R41:R56, MATCH(REGEXEXTRACT(E41:E965, ""("" &amp; TEXTJOIN(""|"", TRUE, FILTER(Q41:Q56, Q41:Q56&lt;&gt;"""")) &amp; "")""), Q41:Q56, 0)"&amp;"))), E41)"),"😢😢😢😢😢")</f>
        <v>😢😢😢😢😢</v>
      </c>
      <c r="G41" s="6" t="str">
        <f>IFERROR(__xludf.DUMMYFUNCTION("GOOGLETRANSLATE(F41, ""id"", ""de"")
"),"😢😢😢😢😢")</f>
        <v>😢😢😢😢😢</v>
      </c>
      <c r="H41" s="6" t="str">
        <f>IFERROR(__xludf.DUMMYFUNCTION("GOOGLETRANSLATE(G41, ""de"", ""id"")"),"😢😢😢😢😢")</f>
        <v>😢😢😢😢😢</v>
      </c>
      <c r="I41" s="6" t="str">
        <f>IFERROR(__xludf.DUMMYFUNCTION("GOOGLETRANSLATE(G41, ""de"", ""en"")"),"😢😢😢😢😢")</f>
        <v>😢😢😢😢😢</v>
      </c>
      <c r="J41" s="6" t="str">
        <f>IFERROR(__xludf.DUMMYFUNCTION("GOOGLETRANSLATE(I41, ""en"", ""id"")"),"😢😢😢😢😢")</f>
        <v>😢😢😢😢😢</v>
      </c>
      <c r="K41" s="6" t="str">
        <f>IFERROR(__xludf.DUMMYFUNCTION("GOOGLETRANSLATE(F41, ""id"", ""en"")"),"😢😢😢😢😢")</f>
        <v>😢😢😢😢😢</v>
      </c>
      <c r="L41" s="6" t="s">
        <v>183</v>
      </c>
      <c r="M41" s="6" t="str">
        <f>IFERROR(__xludf.DUMMYFUNCTION("GOOGLETRANSLATE(L41, ""en"", ""de"")"),"😢😢😢😢😢")</f>
        <v>😢😢😢😢😢</v>
      </c>
      <c r="N41" s="6" t="s">
        <v>183</v>
      </c>
      <c r="O41" s="6" t="str">
        <f>IFERROR(__xludf.DUMMYFUNCTION("GOOGLETRANSLATE(N41, ""de"", ""id"")"),"😢😢😢😢😢")</f>
        <v>😢😢😢😢😢</v>
      </c>
    </row>
    <row r="42">
      <c r="A42" s="1" t="s">
        <v>17</v>
      </c>
      <c r="B42" s="1" t="s">
        <v>96</v>
      </c>
      <c r="C42" s="17" t="s">
        <v>184</v>
      </c>
      <c r="D42" s="4" t="s">
        <v>174</v>
      </c>
      <c r="E42" s="15" t="s">
        <v>185</v>
      </c>
      <c r="F42" s="6" t="str">
        <f>IFERROR(__xludf.DUMMYFUNCTION("IFERROR(ARRAYFORMULA(REGEXREPLACE(E42, ""("" &amp; TEXTJOIN(""|"", TRUE, FILTER(Q42:Q57, E:E&lt;&gt;"""")) &amp; "")"", 
                     INDEX(R42:R57, MATCH(REGEXEXTRACT(E42:E965, ""("" &amp; TEXTJOIN(""|"", TRUE, FILTER(Q42:Q57, Q42:Q57&lt;&gt;"""")) &amp; "")""), Q42:Q57, 0)"&amp;"))), E42)"),"❤️")</f>
        <v>❤️</v>
      </c>
      <c r="G42" s="6" t="str">
        <f>IFERROR(__xludf.DUMMYFUNCTION("GOOGLETRANSLATE(F42, ""id"", ""de"")
"),"❤️")</f>
        <v>❤️</v>
      </c>
      <c r="H42" s="6" t="str">
        <f>IFERROR(__xludf.DUMMYFUNCTION("GOOGLETRANSLATE(G42, ""de"", ""id"")"),"❤️")</f>
        <v>❤️</v>
      </c>
      <c r="I42" s="6" t="str">
        <f>IFERROR(__xludf.DUMMYFUNCTION("GOOGLETRANSLATE(G42, ""de"", ""en"")"),"❤️")</f>
        <v>❤️</v>
      </c>
      <c r="J42" s="6" t="str">
        <f>IFERROR(__xludf.DUMMYFUNCTION("GOOGLETRANSLATE(I42, ""en"", ""id"")"),"❤️")</f>
        <v>❤️</v>
      </c>
      <c r="K42" s="6" t="str">
        <f>IFERROR(__xludf.DUMMYFUNCTION("GOOGLETRANSLATE(F42, ""id"", ""en"")"),"❤️")</f>
        <v>❤️</v>
      </c>
      <c r="L42" s="6" t="s">
        <v>185</v>
      </c>
      <c r="M42" s="6" t="str">
        <f>IFERROR(__xludf.DUMMYFUNCTION("GOOGLETRANSLATE(L42, ""en"", ""de"")"),"❤️")</f>
        <v>❤️</v>
      </c>
      <c r="N42" s="6" t="s">
        <v>185</v>
      </c>
      <c r="O42" s="6" t="str">
        <f>IFERROR(__xludf.DUMMYFUNCTION("GOOGLETRANSLATE(N42, ""de"", ""id"")"),"❤️")</f>
        <v>❤️</v>
      </c>
    </row>
    <row r="43">
      <c r="A43" s="1" t="s">
        <v>17</v>
      </c>
      <c r="B43" s="1" t="s">
        <v>96</v>
      </c>
      <c r="C43" s="17" t="s">
        <v>186</v>
      </c>
      <c r="D43" s="4" t="s">
        <v>174</v>
      </c>
      <c r="E43" s="15" t="s">
        <v>187</v>
      </c>
      <c r="F43" s="6" t="str">
        <f>IFERROR(__xludf.DUMMYFUNCTION("IFERROR(ARRAYFORMULA(REGEXREPLACE(E43, ""("" &amp; TEXTJOIN(""|"", TRUE, FILTER(Q43:Q58, E:E&lt;&gt;"""")) &amp; "")"", 
                     INDEX(R43:R58, MATCH(REGEXEXTRACT(E43:E965, ""("" &amp; TEXTJOIN(""|"", TRUE, FILTER(Q43:Q58, Q43:Q58&lt;&gt;"""")) &amp; "")""), Q43:Q58, 0)"&amp;"))), E43)"),"😢😍")</f>
        <v>😢😍</v>
      </c>
      <c r="G43" s="6" t="str">
        <f>IFERROR(__xludf.DUMMYFUNCTION("GOOGLETRANSLATE(F43, ""id"", ""de"")
"),"😢😍")</f>
        <v>😢😍</v>
      </c>
      <c r="H43" s="6" t="str">
        <f>IFERROR(__xludf.DUMMYFUNCTION("GOOGLETRANSLATE(G43, ""de"", ""id"")"),"😢😍")</f>
        <v>😢😍</v>
      </c>
      <c r="I43" s="6" t="str">
        <f>IFERROR(__xludf.DUMMYFUNCTION("GOOGLETRANSLATE(G43, ""de"", ""en"")"),"😢😍")</f>
        <v>😢😍</v>
      </c>
      <c r="J43" s="6" t="str">
        <f>IFERROR(__xludf.DUMMYFUNCTION("GOOGLETRANSLATE(I43, ""en"", ""id"")"),"😢😍")</f>
        <v>😢😍</v>
      </c>
      <c r="K43" s="6" t="str">
        <f>IFERROR(__xludf.DUMMYFUNCTION("GOOGLETRANSLATE(F43, ""id"", ""en"")"),"😢😍")</f>
        <v>😢😍</v>
      </c>
      <c r="L43" s="6" t="s">
        <v>187</v>
      </c>
      <c r="M43" s="6" t="str">
        <f>IFERROR(__xludf.DUMMYFUNCTION("GOOGLETRANSLATE(L43, ""en"", ""de"")"),"😢😍")</f>
        <v>😢😍</v>
      </c>
      <c r="N43" s="6" t="s">
        <v>187</v>
      </c>
      <c r="O43" s="6" t="str">
        <f>IFERROR(__xludf.DUMMYFUNCTION("GOOGLETRANSLATE(N43, ""de"", ""id"")"),"😢😍")</f>
        <v>😢😍</v>
      </c>
    </row>
    <row r="44">
      <c r="A44" s="1" t="s">
        <v>17</v>
      </c>
      <c r="B44" s="1" t="s">
        <v>96</v>
      </c>
      <c r="C44" s="17" t="s">
        <v>188</v>
      </c>
      <c r="D44" s="4" t="s">
        <v>174</v>
      </c>
      <c r="E44" s="15" t="s">
        <v>189</v>
      </c>
      <c r="F44" s="6" t="str">
        <f>IFERROR(__xludf.DUMMYFUNCTION("IFERROR(ARRAYFORMULA(REGEXREPLACE(E44, ""("" &amp; TEXTJOIN(""|"", TRUE, FILTER(Q44:Q59, E:E&lt;&gt;"""")) &amp; "")"", 
                     INDEX(R44:R59, MATCH(REGEXEXTRACT(E44:E965, ""("" &amp; TEXTJOIN(""|"", TRUE, FILTER(Q44:Q59, Q44:Q59&lt;&gt;"""")) &amp; "")""), Q44:Q59, 0)"&amp;"))), E44)"),"😢👏🏻")</f>
        <v>😢👏🏻</v>
      </c>
      <c r="G44" s="6" t="str">
        <f>IFERROR(__xludf.DUMMYFUNCTION("GOOGLETRANSLATE(F44, ""id"", ""de"")
"),"😢👏🏻")</f>
        <v>😢👏🏻</v>
      </c>
      <c r="H44" s="6" t="str">
        <f>IFERROR(__xludf.DUMMYFUNCTION("GOOGLETRANSLATE(G44, ""de"", ""id"")"),"😢👏🏻")</f>
        <v>😢👏🏻</v>
      </c>
      <c r="I44" s="6" t="str">
        <f>IFERROR(__xludf.DUMMYFUNCTION("GOOGLETRANSLATE(G44, ""de"", ""en"")"),"😢👏🏻")</f>
        <v>😢👏🏻</v>
      </c>
      <c r="J44" s="6" t="str">
        <f>IFERROR(__xludf.DUMMYFUNCTION("GOOGLETRANSLATE(I44, ""en"", ""id"")"),"😢👏🏻")</f>
        <v>😢👏🏻</v>
      </c>
      <c r="K44" s="6" t="str">
        <f>IFERROR(__xludf.DUMMYFUNCTION("GOOGLETRANSLATE(F44, ""id"", ""en"")"),"😢👏🏻")</f>
        <v>😢👏🏻</v>
      </c>
      <c r="L44" s="6" t="s">
        <v>189</v>
      </c>
      <c r="M44" s="6" t="str">
        <f>IFERROR(__xludf.DUMMYFUNCTION("GOOGLETRANSLATE(L44, ""en"", ""de"")"),"😢👏🏻")</f>
        <v>😢👏🏻</v>
      </c>
      <c r="N44" s="6" t="s">
        <v>189</v>
      </c>
      <c r="O44" s="6" t="str">
        <f>IFERROR(__xludf.DUMMYFUNCTION("GOOGLETRANSLATE(N44, ""de"", ""id"")"),"😢👏🏻")</f>
        <v>😢👏🏻</v>
      </c>
    </row>
    <row r="45">
      <c r="A45" s="1" t="s">
        <v>17</v>
      </c>
      <c r="B45" s="1" t="s">
        <v>96</v>
      </c>
      <c r="C45" s="17" t="s">
        <v>190</v>
      </c>
      <c r="D45" s="4" t="s">
        <v>174</v>
      </c>
      <c r="E45" s="15" t="s">
        <v>191</v>
      </c>
      <c r="F45" s="6" t="str">
        <f>IFERROR(__xludf.DUMMYFUNCTION("IFERROR(ARRAYFORMULA(REGEXREPLACE(E45, ""("" &amp; TEXTJOIN(""|"", TRUE, FILTER(Q45:Q60, E:E&lt;&gt;"""")) &amp; "")"", 
                     INDEX(R45:R60, MATCH(REGEXEXTRACT(E45:E965, ""("" &amp; TEXTJOIN(""|"", TRUE, FILTER(Q45:Q60, Q45:Q60&lt;&gt;"""")) &amp; "")""), Q45:Q60, 0)"&amp;"))), E45)"),"😍😍😍")</f>
        <v>😍😍😍</v>
      </c>
      <c r="G45" s="6" t="str">
        <f>IFERROR(__xludf.DUMMYFUNCTION("GOOGLETRANSLATE(F45, ""id"", ""de"")
"),"😍😍😍")</f>
        <v>😍😍😍</v>
      </c>
      <c r="H45" s="6" t="str">
        <f>IFERROR(__xludf.DUMMYFUNCTION("GOOGLETRANSLATE(G45, ""de"", ""id"")"),"😍😍😍")</f>
        <v>😍😍😍</v>
      </c>
      <c r="I45" s="6" t="str">
        <f>IFERROR(__xludf.DUMMYFUNCTION("GOOGLETRANSLATE(G45, ""de"", ""en"")"),"😍😍😍")</f>
        <v>😍😍😍</v>
      </c>
      <c r="J45" s="6" t="str">
        <f>IFERROR(__xludf.DUMMYFUNCTION("GOOGLETRANSLATE(I45, ""en"", ""id"")"),"😍😍😍")</f>
        <v>😍😍😍</v>
      </c>
      <c r="K45" s="6" t="str">
        <f>IFERROR(__xludf.DUMMYFUNCTION("GOOGLETRANSLATE(F45, ""id"", ""en"")"),"😍😍😍")</f>
        <v>😍😍😍</v>
      </c>
      <c r="L45" s="6" t="s">
        <v>191</v>
      </c>
      <c r="M45" s="6" t="str">
        <f>IFERROR(__xludf.DUMMYFUNCTION("GOOGLETRANSLATE(L45, ""en"", ""de"")"),"😍😍😍")</f>
        <v>😍😍😍</v>
      </c>
      <c r="N45" s="6" t="s">
        <v>191</v>
      </c>
      <c r="O45" s="6" t="str">
        <f>IFERROR(__xludf.DUMMYFUNCTION("GOOGLETRANSLATE(N45, ""de"", ""id"")"),"😍😍😍")</f>
        <v>😍😍😍</v>
      </c>
    </row>
    <row r="46">
      <c r="A46" s="1" t="s">
        <v>17</v>
      </c>
      <c r="B46" s="1" t="s">
        <v>96</v>
      </c>
      <c r="C46" s="17" t="s">
        <v>192</v>
      </c>
      <c r="D46" s="4" t="s">
        <v>174</v>
      </c>
      <c r="E46" s="15" t="s">
        <v>191</v>
      </c>
      <c r="F46" s="6" t="str">
        <f>IFERROR(__xludf.DUMMYFUNCTION("IFERROR(ARRAYFORMULA(REGEXREPLACE(E46, ""("" &amp; TEXTJOIN(""|"", TRUE, FILTER(Q46:Q61, E:E&lt;&gt;"""")) &amp; "")"", 
                     INDEX(R46:R61, MATCH(REGEXEXTRACT(E46:E965, ""("" &amp; TEXTJOIN(""|"", TRUE, FILTER(Q46:Q61, Q46:Q61&lt;&gt;"""")) &amp; "")""), Q46:Q61, 0)"&amp;"))), E46)"),"😍😍😍")</f>
        <v>😍😍😍</v>
      </c>
      <c r="G46" s="6" t="str">
        <f>IFERROR(__xludf.DUMMYFUNCTION("GOOGLETRANSLATE(F46, ""id"", ""de"")
"),"😍😍😍")</f>
        <v>😍😍😍</v>
      </c>
      <c r="H46" s="6" t="str">
        <f>IFERROR(__xludf.DUMMYFUNCTION("GOOGLETRANSLATE(G46, ""de"", ""id"")"),"😍😍😍")</f>
        <v>😍😍😍</v>
      </c>
      <c r="I46" s="6" t="str">
        <f>IFERROR(__xludf.DUMMYFUNCTION("GOOGLETRANSLATE(G46, ""de"", ""en"")"),"😍😍😍")</f>
        <v>😍😍😍</v>
      </c>
      <c r="J46" s="6" t="str">
        <f>IFERROR(__xludf.DUMMYFUNCTION("GOOGLETRANSLATE(I46, ""en"", ""id"")"),"😍😍😍")</f>
        <v>😍😍😍</v>
      </c>
      <c r="K46" s="6" t="str">
        <f>IFERROR(__xludf.DUMMYFUNCTION("GOOGLETRANSLATE(F46, ""id"", ""en"")"),"😍😍😍")</f>
        <v>😍😍😍</v>
      </c>
      <c r="L46" s="6" t="s">
        <v>191</v>
      </c>
      <c r="M46" s="6" t="str">
        <f>IFERROR(__xludf.DUMMYFUNCTION("GOOGLETRANSLATE(L46, ""en"", ""de"")"),"😍😍😍")</f>
        <v>😍😍😍</v>
      </c>
      <c r="N46" s="6" t="s">
        <v>191</v>
      </c>
      <c r="O46" s="6" t="str">
        <f>IFERROR(__xludf.DUMMYFUNCTION("GOOGLETRANSLATE(N46, ""de"", ""id"")"),"😍😍😍")</f>
        <v>😍😍😍</v>
      </c>
    </row>
    <row r="47">
      <c r="A47" s="1" t="s">
        <v>17</v>
      </c>
      <c r="B47" s="1" t="s">
        <v>96</v>
      </c>
      <c r="C47" s="17" t="s">
        <v>193</v>
      </c>
      <c r="D47" s="4" t="s">
        <v>174</v>
      </c>
      <c r="E47" s="15" t="s">
        <v>194</v>
      </c>
      <c r="F47" s="6" t="str">
        <f>IFERROR(__xludf.DUMMYFUNCTION("IFERROR(ARRAYFORMULA(REGEXREPLACE(E47, ""("" &amp; TEXTJOIN(""|"", TRUE, FILTER(Q47:Q62, E:E&lt;&gt;"""")) &amp; "")"", 
                     INDEX(R47:R62, MATCH(REGEXEXTRACT(E47:E965, ""("" &amp; TEXTJOIN(""|"", TRUE, FILTER(Q47:Q62, Q47:Q62&lt;&gt;"""")) &amp; "")""), Q47:Q62, 0)"&amp;"))), E47)"),"😍")</f>
        <v>😍</v>
      </c>
      <c r="G47" s="6" t="str">
        <f>IFERROR(__xludf.DUMMYFUNCTION("GOOGLETRANSLATE(F47, ""id"", ""de"")
"),"😍")</f>
        <v>😍</v>
      </c>
      <c r="H47" s="6" t="str">
        <f>IFERROR(__xludf.DUMMYFUNCTION("GOOGLETRANSLATE(G47, ""de"", ""id"")"),"😍")</f>
        <v>😍</v>
      </c>
      <c r="I47" s="6" t="str">
        <f>IFERROR(__xludf.DUMMYFUNCTION("GOOGLETRANSLATE(G47, ""de"", ""en"")"),"😍")</f>
        <v>😍</v>
      </c>
      <c r="J47" s="6" t="str">
        <f>IFERROR(__xludf.DUMMYFUNCTION("GOOGLETRANSLATE(I47, ""en"", ""id"")"),"😍")</f>
        <v>😍</v>
      </c>
      <c r="K47" s="6" t="str">
        <f>IFERROR(__xludf.DUMMYFUNCTION("GOOGLETRANSLATE(F47, ""id"", ""en"")"),"😍")</f>
        <v>😍</v>
      </c>
      <c r="L47" s="6" t="s">
        <v>194</v>
      </c>
      <c r="M47" s="6" t="str">
        <f>IFERROR(__xludf.DUMMYFUNCTION("GOOGLETRANSLATE(L47, ""en"", ""de"")"),"😍")</f>
        <v>😍</v>
      </c>
      <c r="N47" s="6" t="s">
        <v>194</v>
      </c>
      <c r="O47" s="6" t="str">
        <f>IFERROR(__xludf.DUMMYFUNCTION("GOOGLETRANSLATE(N47, ""de"", ""id"")"),"😍")</f>
        <v>😍</v>
      </c>
    </row>
    <row r="48">
      <c r="A48" s="1" t="s">
        <v>17</v>
      </c>
      <c r="B48" s="1" t="s">
        <v>96</v>
      </c>
      <c r="C48" s="9" t="s">
        <v>195</v>
      </c>
      <c r="D48" s="4" t="s">
        <v>174</v>
      </c>
      <c r="E48" s="15" t="s">
        <v>196</v>
      </c>
      <c r="F48" s="6" t="str">
        <f>IFERROR(__xludf.DUMMYFUNCTION("IFERROR(ARRAYFORMULA(REGEXREPLACE(E48, ""("" &amp; TEXTJOIN(""|"", TRUE, FILTER(Q48:Q63, E:E&lt;&gt;"""")) &amp; "")"", 
                     INDEX(R48:R63, MATCH(REGEXEXTRACT(E48:E965, ""("" &amp; TEXTJOIN(""|"", TRUE, FILTER(Q48:Q63, Q48:Q63&lt;&gt;"""")) &amp; "")""), Q48:Q63, 0)"&amp;"))), E48)"),"🔥😍")</f>
        <v>🔥😍</v>
      </c>
      <c r="G48" s="6" t="str">
        <f>IFERROR(__xludf.DUMMYFUNCTION("GOOGLETRANSLATE(F48, ""id"", ""de"")
"),"🔥😍")</f>
        <v>🔥😍</v>
      </c>
      <c r="H48" s="6" t="str">
        <f>IFERROR(__xludf.DUMMYFUNCTION("GOOGLETRANSLATE(G48, ""de"", ""id"")"),"🔥😍")</f>
        <v>🔥😍</v>
      </c>
      <c r="I48" s="6" t="str">
        <f>IFERROR(__xludf.DUMMYFUNCTION("GOOGLETRANSLATE(G48, ""de"", ""en"")"),"🔥😍")</f>
        <v>🔥😍</v>
      </c>
      <c r="J48" s="6" t="str">
        <f>IFERROR(__xludf.DUMMYFUNCTION("GOOGLETRANSLATE(I48, ""en"", ""id"")"),"🔥😍")</f>
        <v>🔥😍</v>
      </c>
      <c r="K48" s="6" t="str">
        <f>IFERROR(__xludf.DUMMYFUNCTION("GOOGLETRANSLATE(F48, ""id"", ""en"")"),"🔥😍")</f>
        <v>🔥😍</v>
      </c>
      <c r="L48" s="6" t="s">
        <v>196</v>
      </c>
      <c r="M48" s="6" t="str">
        <f>IFERROR(__xludf.DUMMYFUNCTION("GOOGLETRANSLATE(L48, ""en"", ""de"")"),"🔥😍")</f>
        <v>🔥😍</v>
      </c>
      <c r="N48" s="6" t="s">
        <v>196</v>
      </c>
      <c r="O48" s="6" t="str">
        <f>IFERROR(__xludf.DUMMYFUNCTION("GOOGLETRANSLATE(N48, ""de"", ""id"")"),"🔥😍")</f>
        <v>🔥😍</v>
      </c>
    </row>
    <row r="49">
      <c r="A49" s="1" t="s">
        <v>17</v>
      </c>
      <c r="B49" s="1" t="s">
        <v>96</v>
      </c>
      <c r="C49" s="9" t="s">
        <v>197</v>
      </c>
      <c r="D49" s="4" t="s">
        <v>174</v>
      </c>
      <c r="E49" s="15" t="s">
        <v>198</v>
      </c>
      <c r="F49" s="6" t="str">
        <f>IFERROR(__xludf.DUMMYFUNCTION("IFERROR(ARRAYFORMULA(REGEXREPLACE(E49, ""("" &amp; TEXTJOIN(""|"", TRUE, FILTER(Q49:Q64, E:E&lt;&gt;"""")) &amp; "")"", 
                     INDEX(R49:R64, MATCH(REGEXEXTRACT(E49:E965, ""("" &amp; TEXTJOIN(""|"", TRUE, FILTER(Q49:Q64, Q49:Q64&lt;&gt;"""")) &amp; "")""), Q49:Q64, 0)"&amp;"))), E49)"),"❤️❤️")</f>
        <v>❤️❤️</v>
      </c>
      <c r="G49" s="6" t="str">
        <f>IFERROR(__xludf.DUMMYFUNCTION("GOOGLETRANSLATE(F49, ""id"", ""de"")
"),"❤️❤️")</f>
        <v>❤️❤️</v>
      </c>
      <c r="H49" s="6" t="str">
        <f>IFERROR(__xludf.DUMMYFUNCTION("GOOGLETRANSLATE(G49, ""de"", ""id"")"),"❤️❤️")</f>
        <v>❤️❤️</v>
      </c>
      <c r="I49" s="6" t="str">
        <f>IFERROR(__xludf.DUMMYFUNCTION("GOOGLETRANSLATE(G49, ""de"", ""en"")"),"❤️❤️")</f>
        <v>❤️❤️</v>
      </c>
      <c r="J49" s="6" t="str">
        <f>IFERROR(__xludf.DUMMYFUNCTION("GOOGLETRANSLATE(I49, ""en"", ""id"")"),"❤️❤️")</f>
        <v>❤️❤️</v>
      </c>
      <c r="K49" s="6" t="str">
        <f>IFERROR(__xludf.DUMMYFUNCTION("GOOGLETRANSLATE(F49, ""id"", ""en"")"),"❤️❤️")</f>
        <v>❤️❤️</v>
      </c>
      <c r="L49" s="6" t="s">
        <v>198</v>
      </c>
      <c r="M49" s="6" t="str">
        <f>IFERROR(__xludf.DUMMYFUNCTION("GOOGLETRANSLATE(L49, ""en"", ""de"")"),"❤️❤️")</f>
        <v>❤️❤️</v>
      </c>
      <c r="N49" s="6" t="s">
        <v>198</v>
      </c>
      <c r="O49" s="6" t="str">
        <f>IFERROR(__xludf.DUMMYFUNCTION("GOOGLETRANSLATE(N49, ""de"", ""id"")"),"❤️❤️")</f>
        <v>❤️❤️</v>
      </c>
    </row>
    <row r="50">
      <c r="A50" s="1" t="s">
        <v>17</v>
      </c>
      <c r="B50" s="1" t="s">
        <v>96</v>
      </c>
      <c r="C50" s="9" t="s">
        <v>199</v>
      </c>
      <c r="D50" s="4" t="s">
        <v>174</v>
      </c>
      <c r="E50" s="1" t="s">
        <v>200</v>
      </c>
      <c r="F50" s="6" t="str">
        <f>IFERROR(__xludf.DUMMYFUNCTION("IFERROR(ARRAYFORMULA(REGEXREPLACE(E50, ""("" &amp; TEXTJOIN(""|"", TRUE, FILTER(Q50:Q65, E:E&lt;&gt;"""")) &amp; "")"", 
                     INDEX(R50:R65, MATCH(REGEXEXTRACT(E50:E965, ""("" &amp; TEXTJOIN(""|"", TRUE, FILTER(Q50:Q65, Q50:Q65&lt;&gt;"""")) &amp; "")""), Q50:Q65, 0)"&amp;"))), E50)"),"ini amanah anak smea??")</f>
        <v>ini amanah anak smea??</v>
      </c>
      <c r="G50" s="6" t="str">
        <f>IFERROR(__xludf.DUMMYFUNCTION("GOOGLETRANSLATE(F50, ""id"", ""de"")
"),"Ist das ein Treuhandkonto für alle Ihre Kinder?")</f>
        <v>Ist das ein Treuhandkonto für alle Ihre Kinder?</v>
      </c>
      <c r="H50" s="6" t="str">
        <f>IFERROR(__xludf.DUMMYFUNCTION("GOOGLETRANSLATE(G50, ""de"", ""id"")"),"Apakah ini rekening perwalian untuk semua anak Anda?")</f>
        <v>Apakah ini rekening perwalian untuk semua anak Anda?</v>
      </c>
      <c r="I50" s="6" t="str">
        <f>IFERROR(__xludf.DUMMYFUNCTION("GOOGLETRANSLATE(G50, ""de"", ""en"")"),"Is this a trust account for all your children?")</f>
        <v>Is this a trust account for all your children?</v>
      </c>
      <c r="J50" s="6" t="str">
        <f>IFERROR(__xludf.DUMMYFUNCTION("GOOGLETRANSLATE(I50, ""en"", ""id"")"),"Apakah ini rekening perwalian untuk semua anak Anda?")</f>
        <v>Apakah ini rekening perwalian untuk semua anak Anda?</v>
      </c>
      <c r="K50" s="6" t="str">
        <f>IFERROR(__xludf.DUMMYFUNCTION("GOOGLETRANSLATE(F50, ""id"", ""en"")"),"Is this a trust for all your children??")</f>
        <v>Is this a trust for all your children??</v>
      </c>
      <c r="L50" s="6" t="s">
        <v>201</v>
      </c>
      <c r="M50" s="6" t="str">
        <f>IFERROR(__xludf.DUMMYFUNCTION("GOOGLETRANSLATE(L50, ""en"", ""de"")"),"Ist das ein Treuhandkonto für alle Ihre Kinder?")</f>
        <v>Ist das ein Treuhandkonto für alle Ihre Kinder?</v>
      </c>
      <c r="N50" s="6" t="s">
        <v>202</v>
      </c>
      <c r="O50" s="6" t="str">
        <f>IFERROR(__xludf.DUMMYFUNCTION("GOOGLETRANSLATE(N50, ""de"", ""id"")"),"Apakah ini dana perwalian untuk semua anak Anda?")</f>
        <v>Apakah ini dana perwalian untuk semua anak Anda?</v>
      </c>
    </row>
    <row r="51">
      <c r="A51" s="1" t="s">
        <v>17</v>
      </c>
      <c r="B51" s="1" t="s">
        <v>96</v>
      </c>
      <c r="C51" s="15" t="s">
        <v>203</v>
      </c>
      <c r="D51" s="4" t="s">
        <v>174</v>
      </c>
      <c r="E51" s="15" t="s">
        <v>204</v>
      </c>
      <c r="F51" s="6" t="str">
        <f>IFERROR(__xludf.DUMMYFUNCTION("IFERROR(ARRAYFORMULA(REGEXREPLACE(E51, ""("" &amp; TEXTJOIN(""|"", TRUE, FILTER(Q51:Q66, E:E&lt;&gt;"""")) &amp; "")"", 
                     INDEX(R51:R66, MATCH(REGEXEXTRACT(E51:E965, ""("" &amp; TEXTJOIN(""|"", TRUE, FILTER(Q51:Q66, Q51:Q66&lt;&gt;"""")) &amp; "")""), Q51:Q66, 0)"&amp;"))), E51)"),"🔥🔥")</f>
        <v>🔥🔥</v>
      </c>
      <c r="G51" s="6" t="str">
        <f>IFERROR(__xludf.DUMMYFUNCTION("GOOGLETRANSLATE(F51, ""id"", ""de"")
"),"🔥🔥")</f>
        <v>🔥🔥</v>
      </c>
      <c r="H51" s="6" t="str">
        <f>IFERROR(__xludf.DUMMYFUNCTION("GOOGLETRANSLATE(G51, ""de"", ""id"")"),"🔥🔥")</f>
        <v>🔥🔥</v>
      </c>
      <c r="I51" s="6" t="str">
        <f>IFERROR(__xludf.DUMMYFUNCTION("GOOGLETRANSLATE(G51, ""de"", ""en"")"),"🔥🔥")</f>
        <v>🔥🔥</v>
      </c>
      <c r="J51" s="6" t="str">
        <f>IFERROR(__xludf.DUMMYFUNCTION("GOOGLETRANSLATE(I51, ""en"", ""id"")"),"🔥🔥")</f>
        <v>🔥🔥</v>
      </c>
      <c r="K51" s="6" t="str">
        <f>IFERROR(__xludf.DUMMYFUNCTION("GOOGLETRANSLATE(F51, ""id"", ""en"")"),"🔥🔥")</f>
        <v>🔥🔥</v>
      </c>
      <c r="L51" s="6" t="s">
        <v>204</v>
      </c>
      <c r="M51" s="6" t="str">
        <f>IFERROR(__xludf.DUMMYFUNCTION("GOOGLETRANSLATE(L51, ""en"", ""de"")"),"🔥🔥")</f>
        <v>🔥🔥</v>
      </c>
      <c r="N51" s="6" t="s">
        <v>204</v>
      </c>
      <c r="O51" s="6" t="str">
        <f>IFERROR(__xludf.DUMMYFUNCTION("GOOGLETRANSLATE(N51, ""de"", ""id"")"),"🔥🔥")</f>
        <v>🔥🔥</v>
      </c>
    </row>
    <row r="52">
      <c r="A52" s="1" t="s">
        <v>17</v>
      </c>
      <c r="B52" s="1" t="s">
        <v>96</v>
      </c>
      <c r="C52" s="15" t="s">
        <v>205</v>
      </c>
      <c r="D52" s="4" t="s">
        <v>174</v>
      </c>
      <c r="E52" s="15" t="s">
        <v>204</v>
      </c>
      <c r="F52" s="6" t="str">
        <f>IFERROR(__xludf.DUMMYFUNCTION("IFERROR(ARRAYFORMULA(REGEXREPLACE(E52, ""("" &amp; TEXTJOIN(""|"", TRUE, FILTER(Q52:Q67, E:E&lt;&gt;"""")) &amp; "")"", 
                     INDEX(R52:R67, MATCH(REGEXEXTRACT(E52:E965, ""("" &amp; TEXTJOIN(""|"", TRUE, FILTER(Q52:Q67, Q52:Q67&lt;&gt;"""")) &amp; "")""), Q52:Q67, 0)"&amp;"))), E52)"),"🔥🔥")</f>
        <v>🔥🔥</v>
      </c>
      <c r="G52" s="6" t="str">
        <f>IFERROR(__xludf.DUMMYFUNCTION("GOOGLETRANSLATE(F52, ""id"", ""de"")
"),"🔥🔥")</f>
        <v>🔥🔥</v>
      </c>
      <c r="H52" s="6" t="str">
        <f>IFERROR(__xludf.DUMMYFUNCTION("GOOGLETRANSLATE(G52, ""de"", ""id"")"),"🔥🔥")</f>
        <v>🔥🔥</v>
      </c>
      <c r="I52" s="6" t="str">
        <f>IFERROR(__xludf.DUMMYFUNCTION("GOOGLETRANSLATE(G52, ""de"", ""en"")"),"🔥🔥")</f>
        <v>🔥🔥</v>
      </c>
      <c r="J52" s="6" t="str">
        <f>IFERROR(__xludf.DUMMYFUNCTION("GOOGLETRANSLATE(I52, ""en"", ""id"")"),"🔥🔥")</f>
        <v>🔥🔥</v>
      </c>
      <c r="K52" s="6" t="str">
        <f>IFERROR(__xludf.DUMMYFUNCTION("GOOGLETRANSLATE(F52, ""id"", ""en"")"),"🔥🔥")</f>
        <v>🔥🔥</v>
      </c>
      <c r="L52" s="6" t="s">
        <v>204</v>
      </c>
      <c r="M52" s="6" t="str">
        <f>IFERROR(__xludf.DUMMYFUNCTION("GOOGLETRANSLATE(L52, ""en"", ""de"")"),"🔥🔥")</f>
        <v>🔥🔥</v>
      </c>
      <c r="N52" s="6" t="s">
        <v>204</v>
      </c>
      <c r="O52" s="6" t="str">
        <f>IFERROR(__xludf.DUMMYFUNCTION("GOOGLETRANSLATE(N52, ""de"", ""id"")"),"🔥🔥")</f>
        <v>🔥🔥</v>
      </c>
    </row>
    <row r="53">
      <c r="A53" s="1" t="s">
        <v>17</v>
      </c>
      <c r="B53" s="1" t="s">
        <v>96</v>
      </c>
      <c r="C53" s="15" t="s">
        <v>206</v>
      </c>
      <c r="D53" s="4" t="s">
        <v>174</v>
      </c>
      <c r="E53" s="15" t="s">
        <v>185</v>
      </c>
      <c r="F53" s="6" t="str">
        <f>IFERROR(__xludf.DUMMYFUNCTION("IFERROR(ARRAYFORMULA(REGEXREPLACE(E53, ""("" &amp; TEXTJOIN(""|"", TRUE, FILTER(Q53:Q68, E:E&lt;&gt;"""")) &amp; "")"", 
                     INDEX(R53:R68, MATCH(REGEXEXTRACT(E53:E965, ""("" &amp; TEXTJOIN(""|"", TRUE, FILTER(Q53:Q68, Q53:Q68&lt;&gt;"""")) &amp; "")""), Q53:Q68, 0)"&amp;"))), E53)"),"❤️")</f>
        <v>❤️</v>
      </c>
      <c r="G53" s="6" t="str">
        <f>IFERROR(__xludf.DUMMYFUNCTION("GOOGLETRANSLATE(F53, ""id"", ""de"")
"),"❤️")</f>
        <v>❤️</v>
      </c>
      <c r="H53" s="6" t="str">
        <f>IFERROR(__xludf.DUMMYFUNCTION("GOOGLETRANSLATE(G53, ""de"", ""id"")"),"❤️")</f>
        <v>❤️</v>
      </c>
      <c r="I53" s="6" t="str">
        <f>IFERROR(__xludf.DUMMYFUNCTION("GOOGLETRANSLATE(G53, ""de"", ""en"")"),"❤️")</f>
        <v>❤️</v>
      </c>
      <c r="J53" s="6" t="str">
        <f>IFERROR(__xludf.DUMMYFUNCTION("GOOGLETRANSLATE(I53, ""en"", ""id"")"),"❤️")</f>
        <v>❤️</v>
      </c>
      <c r="K53" s="6" t="str">
        <f>IFERROR(__xludf.DUMMYFUNCTION("GOOGLETRANSLATE(F53, ""id"", ""en"")"),"❤️")</f>
        <v>❤️</v>
      </c>
      <c r="L53" s="6" t="s">
        <v>185</v>
      </c>
      <c r="M53" s="6" t="str">
        <f>IFERROR(__xludf.DUMMYFUNCTION("GOOGLETRANSLATE(L53, ""en"", ""de"")"),"❤️")</f>
        <v>❤️</v>
      </c>
      <c r="N53" s="6" t="s">
        <v>185</v>
      </c>
      <c r="O53" s="6" t="str">
        <f>IFERROR(__xludf.DUMMYFUNCTION("GOOGLETRANSLATE(N53, ""de"", ""id"")"),"❤️")</f>
        <v>❤️</v>
      </c>
    </row>
    <row r="54">
      <c r="A54" s="1" t="s">
        <v>17</v>
      </c>
      <c r="B54" s="1" t="s">
        <v>96</v>
      </c>
      <c r="C54" s="15" t="s">
        <v>207</v>
      </c>
      <c r="D54" s="4" t="s">
        <v>174</v>
      </c>
      <c r="E54" s="15" t="s">
        <v>208</v>
      </c>
      <c r="F54" s="6" t="str">
        <f>IFERROR(__xludf.DUMMYFUNCTION("IFERROR(ARRAYFORMULA(REGEXREPLACE(E54, ""("" &amp; TEXTJOIN(""|"", TRUE, FILTER(Q54:Q69, E:E&lt;&gt;"""")) &amp; "")"", 
                     INDEX(R54:R69, MATCH(REGEXEXTRACT(E54:E965, ""("" &amp; TEXTJOIN(""|"", TRUE, FILTER(Q54:Q69, Q54:Q69&lt;&gt;"""")) &amp; "")""), Q54:Q69, 0)"&amp;"))), E54)"),"🔥")</f>
        <v>🔥</v>
      </c>
      <c r="G54" s="6" t="str">
        <f>IFERROR(__xludf.DUMMYFUNCTION("GOOGLETRANSLATE(F54, ""id"", ""de"")
"),"🔥")</f>
        <v>🔥</v>
      </c>
      <c r="H54" s="6" t="str">
        <f>IFERROR(__xludf.DUMMYFUNCTION("GOOGLETRANSLATE(G54, ""de"", ""id"")"),"🔥")</f>
        <v>🔥</v>
      </c>
      <c r="I54" s="6" t="str">
        <f>IFERROR(__xludf.DUMMYFUNCTION("GOOGLETRANSLATE(G54, ""de"", ""en"")"),"🔥")</f>
        <v>🔥</v>
      </c>
      <c r="J54" s="6" t="str">
        <f>IFERROR(__xludf.DUMMYFUNCTION("GOOGLETRANSLATE(I54, ""en"", ""id"")"),"🔥")</f>
        <v>🔥</v>
      </c>
      <c r="K54" s="6" t="str">
        <f>IFERROR(__xludf.DUMMYFUNCTION("GOOGLETRANSLATE(F54, ""id"", ""en"")"),"🔥")</f>
        <v>🔥</v>
      </c>
      <c r="L54" s="6" t="s">
        <v>208</v>
      </c>
      <c r="M54" s="6" t="str">
        <f>IFERROR(__xludf.DUMMYFUNCTION("GOOGLETRANSLATE(L54, ""en"", ""de"")"),"🔥")</f>
        <v>🔥</v>
      </c>
      <c r="N54" s="6" t="s">
        <v>208</v>
      </c>
      <c r="O54" s="6" t="str">
        <f>IFERROR(__xludf.DUMMYFUNCTION("GOOGLETRANSLATE(N54, ""de"", ""id"")"),"🔥")</f>
        <v>🔥</v>
      </c>
    </row>
    <row r="55">
      <c r="A55" s="1" t="s">
        <v>17</v>
      </c>
      <c r="B55" s="1" t="s">
        <v>96</v>
      </c>
      <c r="C55" s="15" t="s">
        <v>209</v>
      </c>
      <c r="D55" s="4" t="s">
        <v>174</v>
      </c>
      <c r="E55" s="15" t="s">
        <v>210</v>
      </c>
      <c r="F55" s="6" t="str">
        <f>IFERROR(__xludf.DUMMYFUNCTION("IFERROR(ARRAYFORMULA(REGEXREPLACE(E55, ""("" &amp; TEXTJOIN(""|"", TRUE, FILTER(Q55:Q70, E:E&lt;&gt;"""")) &amp; "")"", 
                     INDEX(R55:R70, MATCH(REGEXEXTRACT(E55:E965, ""("" &amp; TEXTJOIN(""|"", TRUE, FILTER(Q55:Q70, Q55:Q70&lt;&gt;"""")) &amp; "")""), Q55:Q70, 0)"&amp;"))), E55)"),"😢😢😢😢")</f>
        <v>😢😢😢😢</v>
      </c>
      <c r="G55" s="6" t="str">
        <f>IFERROR(__xludf.DUMMYFUNCTION("GOOGLETRANSLATE(F55, ""id"", ""de"")
"),"😢😢😢😢")</f>
        <v>😢😢😢😢</v>
      </c>
      <c r="H55" s="6" t="str">
        <f>IFERROR(__xludf.DUMMYFUNCTION("GOOGLETRANSLATE(G55, ""de"", ""id"")"),"😢😢😢😢")</f>
        <v>😢😢😢😢</v>
      </c>
      <c r="I55" s="6" t="str">
        <f>IFERROR(__xludf.DUMMYFUNCTION("GOOGLETRANSLATE(G55, ""de"", ""en"")"),"😢😢😢😢")</f>
        <v>😢😢😢😢</v>
      </c>
      <c r="J55" s="6" t="str">
        <f>IFERROR(__xludf.DUMMYFUNCTION("GOOGLETRANSLATE(I55, ""en"", ""id"")"),"😢😢😢😢")</f>
        <v>😢😢😢😢</v>
      </c>
      <c r="K55" s="6" t="str">
        <f>IFERROR(__xludf.DUMMYFUNCTION("GOOGLETRANSLATE(F55, ""id"", ""en"")"),"😢😢😢😢")</f>
        <v>😢😢😢😢</v>
      </c>
      <c r="L55" s="6" t="s">
        <v>210</v>
      </c>
      <c r="M55" s="6" t="str">
        <f>IFERROR(__xludf.DUMMYFUNCTION("GOOGLETRANSLATE(L55, ""en"", ""de"")"),"😢😢😢😢")</f>
        <v>😢😢😢😢</v>
      </c>
      <c r="N55" s="6" t="s">
        <v>210</v>
      </c>
      <c r="O55" s="6" t="str">
        <f>IFERROR(__xludf.DUMMYFUNCTION("GOOGLETRANSLATE(N55, ""de"", ""id"")"),"😢😢😢😢")</f>
        <v>😢😢😢😢</v>
      </c>
    </row>
    <row r="56">
      <c r="A56" s="1" t="s">
        <v>17</v>
      </c>
      <c r="B56" s="1" t="s">
        <v>96</v>
      </c>
      <c r="C56" s="15" t="s">
        <v>211</v>
      </c>
      <c r="D56" s="4" t="s">
        <v>174</v>
      </c>
      <c r="E56" s="15" t="s">
        <v>212</v>
      </c>
      <c r="F56" s="6" t="str">
        <f>IFERROR(__xludf.DUMMYFUNCTION("IFERROR(ARRAYFORMULA(REGEXREPLACE(E56, ""("" &amp; TEXTJOIN(""|"", TRUE, FILTER(Q56:Q71, E:E&lt;&gt;"""")) &amp; "")"", 
                     INDEX(R56:R71, MATCH(REGEXEXTRACT(E56:E965, ""("" &amp; TEXTJOIN(""|"", TRUE, FILTER(Q56:Q71, Q56:Q71&lt;&gt;"""")) &amp; "")""), Q56:Q71, 0)"&amp;"))), E56)"),"🔥👏")</f>
        <v>🔥👏</v>
      </c>
      <c r="G56" s="6" t="str">
        <f>IFERROR(__xludf.DUMMYFUNCTION("GOOGLETRANSLATE(F56, ""id"", ""de"")
"),"🔥👏")</f>
        <v>🔥👏</v>
      </c>
      <c r="H56" s="6" t="str">
        <f>IFERROR(__xludf.DUMMYFUNCTION("GOOGLETRANSLATE(G56, ""de"", ""id"")"),"🔥👏")</f>
        <v>🔥👏</v>
      </c>
      <c r="I56" s="6" t="str">
        <f>IFERROR(__xludf.DUMMYFUNCTION("GOOGLETRANSLATE(G56, ""de"", ""en"")"),"🔥👏")</f>
        <v>🔥👏</v>
      </c>
      <c r="J56" s="6" t="str">
        <f>IFERROR(__xludf.DUMMYFUNCTION("GOOGLETRANSLATE(I56, ""en"", ""id"")"),"🔥👏")</f>
        <v>🔥👏</v>
      </c>
      <c r="K56" s="6" t="str">
        <f>IFERROR(__xludf.DUMMYFUNCTION("GOOGLETRANSLATE(F56, ""id"", ""en"")"),"🔥👏")</f>
        <v>🔥👏</v>
      </c>
      <c r="L56" s="6" t="s">
        <v>212</v>
      </c>
      <c r="M56" s="6" t="str">
        <f>IFERROR(__xludf.DUMMYFUNCTION("GOOGLETRANSLATE(L56, ""en"", ""de"")"),"🔥👏")</f>
        <v>🔥👏</v>
      </c>
      <c r="N56" s="6" t="s">
        <v>212</v>
      </c>
      <c r="O56" s="6" t="str">
        <f>IFERROR(__xludf.DUMMYFUNCTION("GOOGLETRANSLATE(N56, ""de"", ""id"")"),"🔥👏")</f>
        <v>🔥👏</v>
      </c>
    </row>
    <row r="57">
      <c r="A57" s="1" t="s">
        <v>17</v>
      </c>
      <c r="B57" s="1" t="s">
        <v>96</v>
      </c>
      <c r="C57" s="15" t="s">
        <v>213</v>
      </c>
      <c r="D57" s="4" t="s">
        <v>174</v>
      </c>
      <c r="E57" s="15" t="s">
        <v>214</v>
      </c>
      <c r="F57" s="6" t="str">
        <f>IFERROR(__xludf.DUMMYFUNCTION("IFERROR(ARRAYFORMULA(REGEXREPLACE(E57, ""("" &amp; TEXTJOIN(""|"", TRUE, FILTER(Q57:Q72, E:E&lt;&gt;"""")) &amp; "")"", 
                     INDEX(R57:R72, MATCH(REGEXEXTRACT(E57:E965, ""("" &amp; TEXTJOIN(""|"", TRUE, FILTER(Q57:Q72, Q57:Q72&lt;&gt;"""")) &amp; "")""), Q57:Q72, 0)"&amp;"))), E57)"),"keren🔥")</f>
        <v>keren🔥</v>
      </c>
      <c r="G57" s="6" t="str">
        <f>IFERROR(__xludf.DUMMYFUNCTION("GOOGLETRANSLATE(F57, ""id"", ""de"")
"),"cool🔥")</f>
        <v>cool🔥</v>
      </c>
      <c r="H57" s="6" t="str">
        <f>IFERROR(__xludf.DUMMYFUNCTION("GOOGLETRANSLATE(G57, ""de"", ""id"")"),"keren🔥")</f>
        <v>keren🔥</v>
      </c>
      <c r="I57" s="6" t="str">
        <f>IFERROR(__xludf.DUMMYFUNCTION("GOOGLETRANSLATE(G57, ""de"", ""en"")"),"cool🔥")</f>
        <v>cool🔥</v>
      </c>
      <c r="J57" s="6" t="str">
        <f>IFERROR(__xludf.DUMMYFUNCTION("GOOGLETRANSLATE(I57, ""en"", ""id"")"),"keren🔥")</f>
        <v>keren🔥</v>
      </c>
      <c r="K57" s="6" t="str">
        <f>IFERROR(__xludf.DUMMYFUNCTION("GOOGLETRANSLATE(F57, ""id"", ""en"")"),"cool🔥")</f>
        <v>cool🔥</v>
      </c>
      <c r="L57" s="6" t="s">
        <v>215</v>
      </c>
      <c r="M57" s="6" t="str">
        <f>IFERROR(__xludf.DUMMYFUNCTION("GOOGLETRANSLATE(L57, ""en"", ""de"")"),"cool🔥")</f>
        <v>cool🔥</v>
      </c>
      <c r="N57" s="6" t="s">
        <v>215</v>
      </c>
      <c r="O57" s="6" t="str">
        <f>IFERROR(__xludf.DUMMYFUNCTION("GOOGLETRANSLATE(N57, ""de"", ""id"")"),"keren🔥")</f>
        <v>keren🔥</v>
      </c>
    </row>
    <row r="58">
      <c r="A58" s="1" t="s">
        <v>17</v>
      </c>
      <c r="B58" s="1" t="s">
        <v>96</v>
      </c>
      <c r="C58" s="15" t="s">
        <v>216</v>
      </c>
      <c r="D58" s="4" t="s">
        <v>174</v>
      </c>
      <c r="E58" s="19" t="s">
        <v>217</v>
      </c>
      <c r="F58" s="6" t="str">
        <f>IFERROR(__xludf.DUMMYFUNCTION("IFERROR(ARRAYFORMULA(REGEXREPLACE(E58, ""("" &amp; TEXTJOIN(""|"", TRUE, FILTER(Q58:Q73, E:E&lt;&gt;"""")) &amp; "")"", 
                     INDEX(R58:R73, MATCH(REGEXEXTRACT(E58:E965, ""("" &amp; TEXTJOIN(""|"", TRUE, FILTER(Q58:Q73, Q58:Q73&lt;&gt;"""")) &amp; "")""), Q58:Q73, 0)"&amp;"))), E58)"),"kau punya aktoorr @chelssyaoktaviana_ @balbal_bal97 😍😍🔥🔥")</f>
        <v>kau punya aktoorr @chelssyaoktaviana_ @balbal_bal97 😍😍🔥🔥</v>
      </c>
      <c r="G58" s="6" t="str">
        <f>IFERROR(__xludf.DUMMYFUNCTION("GOOGLETRANSLATE(F58, ""id"", ""de"")
"),"Du hast einen Schauspieler @chelssyaoktaviana_ @balbal_bal97 😍😍🔥🔥")</f>
        <v>Du hast einen Schauspieler @chelssyaoktaviana_ @balbal_bal97 😍😍🔥🔥</v>
      </c>
      <c r="H58" s="6" t="str">
        <f>IFERROR(__xludf.DUMMYFUNCTION("GOOGLETRANSLATE(G58, ""de"", ""id"")"),"Anda memiliki aktor @chelssyaoktaviana_ @balbal_bal97 😍😍🔥🔥")</f>
        <v>Anda memiliki aktor @chelssyaoktaviana_ @balbal_bal97 😍😍🔥🔥</v>
      </c>
      <c r="I58" s="6" t="str">
        <f>IFERROR(__xludf.DUMMYFUNCTION("GOOGLETRANSLATE(G58, ""de"", ""en"")"),"You have an actor @chelssyaoktaviana_ @balbal_bal97 😍😍🔥🔥")</f>
        <v>You have an actor @chelssyaoktaviana_ @balbal_bal97 😍😍🔥🔥</v>
      </c>
      <c r="J58" s="6" t="str">
        <f>IFERROR(__xludf.DUMMYFUNCTION("GOOGLETRANSLATE(I58, ""en"", ""id"")"),"Anda memiliki aktor @chelssyaoktaviana_ @balbal_bal97 😍😍🔥🔥")</f>
        <v>Anda memiliki aktor @chelssyaoktaviana_ @balbal_bal97 😍😍🔥🔥</v>
      </c>
      <c r="K58" s="6" t="str">
        <f>IFERROR(__xludf.DUMMYFUNCTION("GOOGLETRANSLATE(F58, ""id"", ""en"")"),"you have an actor @chelssyaoktaviana_ @balbal_bal97 😍😍🔥🔥")</f>
        <v>you have an actor @chelssyaoktaviana_ @balbal_bal97 😍😍🔥🔥</v>
      </c>
      <c r="L58" s="6" t="s">
        <v>218</v>
      </c>
      <c r="M58" s="6" t="str">
        <f>IFERROR(__xludf.DUMMYFUNCTION("GOOGLETRANSLATE(L58, ""en"", ""de"")"),"Du hast einen Schauspieler @chelssyaoktaviana_ @balbal_bal97 😍😍🔥🔥")</f>
        <v>Du hast einen Schauspieler @chelssyaoktaviana_ @balbal_bal97 😍😍🔥🔥</v>
      </c>
      <c r="N58" s="6" t="s">
        <v>219</v>
      </c>
      <c r="O58" s="6" t="str">
        <f>IFERROR(__xludf.DUMMYFUNCTION("GOOGLETRANSLATE(N58, ""de"", ""id"")"),"Anda memiliki aktor @chelssyaoktaviana_ @balbal_bal97 😍😍🔥🔥")</f>
        <v>Anda memiliki aktor @chelssyaoktaviana_ @balbal_bal97 😍😍🔥🔥</v>
      </c>
    </row>
    <row r="59">
      <c r="A59" s="1" t="s">
        <v>17</v>
      </c>
      <c r="B59" s="1" t="s">
        <v>96</v>
      </c>
      <c r="C59" s="15" t="s">
        <v>220</v>
      </c>
      <c r="D59" s="4" t="s">
        <v>174</v>
      </c>
      <c r="E59" s="15" t="s">
        <v>221</v>
      </c>
      <c r="F59" s="6" t="str">
        <f>IFERROR(__xludf.DUMMYFUNCTION("IFERROR(ARRAYFORMULA(REGEXREPLACE(E59, ""("" &amp; TEXTJOIN(""|"", TRUE, FILTER(Q59:Q74, E:E&lt;&gt;"""")) &amp; "")"", 
                     INDEX(R59:R74, MATCH(REGEXEXTRACT(E59:E965, ""("" &amp; TEXTJOIN(""|"", TRUE, FILTER(Q59:Q74, Q59:Q74&lt;&gt;"""")) &amp; "")""), Q59:Q74, 0)"&amp;"))), E59)"),"@abdhygunawan eakkkk🔥❤️")</f>
        <v>@abdhygunawan eakkkk🔥❤️</v>
      </c>
      <c r="G59" s="6" t="str">
        <f>IFERROR(__xludf.DUMMYFUNCTION("GOOGLETRANSLATE(F59, ""id"", ""de"")
"),"@abdhygunawan eakkkk🔥❤️")</f>
        <v>@abdhygunawan eakkkk🔥❤️</v>
      </c>
      <c r="H59" s="6" t="str">
        <f>IFERROR(__xludf.DUMMYFUNCTION("GOOGLETRANSLATE(G59, ""de"", ""id"")"),"@abdhygunawan eakkkk🔥❤️")</f>
        <v>@abdhygunawan eakkkk🔥❤️</v>
      </c>
      <c r="I59" s="6" t="str">
        <f>IFERROR(__xludf.DUMMYFUNCTION("GOOGLETRANSLATE(G59, ""de"", ""en"")"),"@abdhygunawan eakkkk🔥❤️")</f>
        <v>@abdhygunawan eakkkk🔥❤️</v>
      </c>
      <c r="J59" s="6" t="str">
        <f>IFERROR(__xludf.DUMMYFUNCTION("GOOGLETRANSLATE(I59, ""en"", ""id"")"),"@abdhygunawan eakkkk🔥❤️")</f>
        <v>@abdhygunawan eakkkk🔥❤️</v>
      </c>
      <c r="K59" s="6" t="str">
        <f>IFERROR(__xludf.DUMMYFUNCTION("GOOGLETRANSLATE(F59, ""id"", ""en"")"),"@abdhygunawan eakkkk🔥❤️")</f>
        <v>@abdhygunawan eakkkk🔥❤️</v>
      </c>
      <c r="L59" s="6" t="s">
        <v>221</v>
      </c>
      <c r="M59" s="6" t="str">
        <f>IFERROR(__xludf.DUMMYFUNCTION("GOOGLETRANSLATE(L59, ""en"", ""de"")"),"@abdhygunawan eakkkk🔥❤️")</f>
        <v>@abdhygunawan eakkkk🔥❤️</v>
      </c>
      <c r="N59" s="6" t="s">
        <v>221</v>
      </c>
      <c r="O59" s="6" t="str">
        <f>IFERROR(__xludf.DUMMYFUNCTION("GOOGLETRANSLATE(N59, ""de"", ""id"")"),"@abdhygunawan eakkkk🔥❤️")</f>
        <v>@abdhygunawan eakkkk🔥❤️</v>
      </c>
    </row>
    <row r="60">
      <c r="A60" s="1" t="s">
        <v>17</v>
      </c>
      <c r="B60" s="1" t="s">
        <v>96</v>
      </c>
      <c r="C60" s="15" t="s">
        <v>222</v>
      </c>
      <c r="D60" s="18" t="s">
        <v>174</v>
      </c>
      <c r="E60" s="15" t="s">
        <v>185</v>
      </c>
      <c r="F60" s="6" t="str">
        <f>IFERROR(__xludf.DUMMYFUNCTION("IFERROR(ARRAYFORMULA(REGEXREPLACE(E60, ""("" &amp; TEXTJOIN(""|"", TRUE, FILTER(Q60:Q75, E:E&lt;&gt;"""")) &amp; "")"", 
                     INDEX(R60:R75, MATCH(REGEXEXTRACT(E60:E965, ""("" &amp; TEXTJOIN(""|"", TRUE, FILTER(Q60:Q75, Q60:Q75&lt;&gt;"""")) &amp; "")""), Q60:Q75, 0)"&amp;"))), E60)"),"❤️")</f>
        <v>❤️</v>
      </c>
      <c r="G60" s="6" t="str">
        <f>IFERROR(__xludf.DUMMYFUNCTION("GOOGLETRANSLATE(F60, ""id"", ""de"")
"),"❤️")</f>
        <v>❤️</v>
      </c>
      <c r="H60" s="6" t="str">
        <f>IFERROR(__xludf.DUMMYFUNCTION("GOOGLETRANSLATE(G60, ""de"", ""id"")"),"❤️")</f>
        <v>❤️</v>
      </c>
      <c r="I60" s="6" t="str">
        <f>IFERROR(__xludf.DUMMYFUNCTION("GOOGLETRANSLATE(G60, ""de"", ""en"")"),"❤️")</f>
        <v>❤️</v>
      </c>
      <c r="J60" s="6" t="str">
        <f>IFERROR(__xludf.DUMMYFUNCTION("GOOGLETRANSLATE(I60, ""en"", ""id"")"),"❤️")</f>
        <v>❤️</v>
      </c>
      <c r="K60" s="6" t="str">
        <f>IFERROR(__xludf.DUMMYFUNCTION("GOOGLETRANSLATE(F60, ""id"", ""en"")"),"❤️")</f>
        <v>❤️</v>
      </c>
      <c r="L60" s="6" t="s">
        <v>185</v>
      </c>
      <c r="M60" s="6" t="str">
        <f>IFERROR(__xludf.DUMMYFUNCTION("GOOGLETRANSLATE(L60, ""en"", ""de"")"),"❤️")</f>
        <v>❤️</v>
      </c>
      <c r="N60" s="6" t="s">
        <v>185</v>
      </c>
      <c r="O60" s="6" t="str">
        <f>IFERROR(__xludf.DUMMYFUNCTION("GOOGLETRANSLATE(N60, ""de"", ""id"")"),"❤️")</f>
        <v>❤️</v>
      </c>
    </row>
    <row r="61">
      <c r="A61" s="1" t="s">
        <v>17</v>
      </c>
      <c r="B61" s="1" t="s">
        <v>96</v>
      </c>
      <c r="C61" s="15" t="s">
        <v>223</v>
      </c>
      <c r="D61" s="4" t="s">
        <v>174</v>
      </c>
      <c r="E61" s="15" t="s">
        <v>185</v>
      </c>
      <c r="F61" s="6" t="str">
        <f>IFERROR(__xludf.DUMMYFUNCTION("IFERROR(ARRAYFORMULA(REGEXREPLACE(E61, ""("" &amp; TEXTJOIN(""|"", TRUE, FILTER(Q61:Q76, E:E&lt;&gt;"""")) &amp; "")"", 
                     INDEX(R61:R76, MATCH(REGEXEXTRACT(E61:E965, ""("" &amp; TEXTJOIN(""|"", TRUE, FILTER(Q61:Q76, Q61:Q76&lt;&gt;"""")) &amp; "")""), Q61:Q76, 0)"&amp;"))), E61)"),"❤️")</f>
        <v>❤️</v>
      </c>
      <c r="G61" s="6" t="str">
        <f>IFERROR(__xludf.DUMMYFUNCTION("GOOGLETRANSLATE(F61, ""id"", ""de"")
"),"❤️")</f>
        <v>❤️</v>
      </c>
      <c r="H61" s="6" t="str">
        <f>IFERROR(__xludf.DUMMYFUNCTION("GOOGLETRANSLATE(G61, ""de"", ""id"")"),"❤️")</f>
        <v>❤️</v>
      </c>
      <c r="I61" s="6" t="str">
        <f>IFERROR(__xludf.DUMMYFUNCTION("GOOGLETRANSLATE(G61, ""de"", ""en"")"),"❤️")</f>
        <v>❤️</v>
      </c>
      <c r="J61" s="6" t="str">
        <f>IFERROR(__xludf.DUMMYFUNCTION("GOOGLETRANSLATE(I61, ""en"", ""id"")"),"❤️")</f>
        <v>❤️</v>
      </c>
      <c r="K61" s="6" t="str">
        <f>IFERROR(__xludf.DUMMYFUNCTION("GOOGLETRANSLATE(F61, ""id"", ""en"")"),"❤️")</f>
        <v>❤️</v>
      </c>
      <c r="L61" s="6" t="s">
        <v>185</v>
      </c>
      <c r="M61" s="6" t="str">
        <f>IFERROR(__xludf.DUMMYFUNCTION("GOOGLETRANSLATE(L61, ""en"", ""de"")"),"❤️")</f>
        <v>❤️</v>
      </c>
      <c r="N61" s="6" t="s">
        <v>185</v>
      </c>
      <c r="O61" s="6" t="str">
        <f>IFERROR(__xludf.DUMMYFUNCTION("GOOGLETRANSLATE(N61, ""de"", ""id"")"),"❤️")</f>
        <v>❤️</v>
      </c>
    </row>
    <row r="62">
      <c r="A62" s="1" t="s">
        <v>17</v>
      </c>
      <c r="B62" s="1" t="s">
        <v>96</v>
      </c>
      <c r="C62" s="15" t="s">
        <v>224</v>
      </c>
      <c r="D62" s="4" t="s">
        <v>174</v>
      </c>
      <c r="E62" s="15" t="s">
        <v>225</v>
      </c>
      <c r="F62" s="6" t="str">
        <f>IFERROR(__xludf.DUMMYFUNCTION("IFERROR(ARRAYFORMULA(REGEXREPLACE(E62, ""("" &amp; TEXTJOIN(""|"", TRUE, FILTER(Q62:Q77, E:E&lt;&gt;"""")) &amp; "")"", 
                     INDEX(R62:R77, MATCH(REGEXEXTRACT(E62:E965, ""("" &amp; TEXTJOIN(""|"", TRUE, FILTER(Q62:Q77, Q62:Q77&lt;&gt;"""")) &amp; "")""), Q62:Q77, 0)"&amp;"))), E62)"),"❤️🔥")</f>
        <v>❤️🔥</v>
      </c>
      <c r="G62" s="6" t="str">
        <f>IFERROR(__xludf.DUMMYFUNCTION("GOOGLETRANSLATE(F62, ""id"", ""de"")
"),"❤️🔥")</f>
        <v>❤️🔥</v>
      </c>
      <c r="H62" s="6" t="str">
        <f>IFERROR(__xludf.DUMMYFUNCTION("GOOGLETRANSLATE(G62, ""de"", ""id"")"),"❤️🔥")</f>
        <v>❤️🔥</v>
      </c>
      <c r="I62" s="6" t="str">
        <f>IFERROR(__xludf.DUMMYFUNCTION("GOOGLETRANSLATE(G62, ""de"", ""en"")"),"❤️🔥")</f>
        <v>❤️🔥</v>
      </c>
      <c r="J62" s="6" t="str">
        <f>IFERROR(__xludf.DUMMYFUNCTION("GOOGLETRANSLATE(I62, ""en"", ""id"")"),"❤️🔥")</f>
        <v>❤️🔥</v>
      </c>
      <c r="K62" s="6" t="str">
        <f>IFERROR(__xludf.DUMMYFUNCTION("GOOGLETRANSLATE(F62, ""id"", ""en"")"),"❤️🔥")</f>
        <v>❤️🔥</v>
      </c>
      <c r="L62" s="6" t="s">
        <v>225</v>
      </c>
      <c r="M62" s="6" t="str">
        <f>IFERROR(__xludf.DUMMYFUNCTION("GOOGLETRANSLATE(L62, ""en"", ""de"")"),"❤️🔥")</f>
        <v>❤️🔥</v>
      </c>
      <c r="N62" s="6" t="s">
        <v>225</v>
      </c>
      <c r="O62" s="6" t="str">
        <f>IFERROR(__xludf.DUMMYFUNCTION("GOOGLETRANSLATE(N62, ""de"", ""id"")"),"❤️🔥")</f>
        <v>❤️🔥</v>
      </c>
    </row>
    <row r="63">
      <c r="A63" s="1" t="s">
        <v>17</v>
      </c>
      <c r="B63" s="1" t="s">
        <v>96</v>
      </c>
      <c r="C63" s="15" t="s">
        <v>226</v>
      </c>
      <c r="D63" s="4" t="s">
        <v>174</v>
      </c>
      <c r="E63" s="15" t="s">
        <v>227</v>
      </c>
      <c r="F63" s="6" t="str">
        <f>IFERROR(__xludf.DUMMYFUNCTION("IFERROR(ARRAYFORMULA(REGEXREPLACE(E63, ""("" &amp; TEXTJOIN(""|"", TRUE, FILTER(Q63:Q78, E:E&lt;&gt;"""")) &amp; "")"", 
                     INDEX(R63:R78, MATCH(REGEXEXTRACT(E63:E965, ""("" &amp; TEXTJOIN(""|"", TRUE, FILTER(Q63:Q78, Q63:Q78&lt;&gt;"""")) &amp; "")""), Q63:Q78, 0)"&amp;"))), E63)"),"🔥❤👏🙌")</f>
        <v>🔥❤👏🙌</v>
      </c>
      <c r="G63" s="6" t="str">
        <f>IFERROR(__xludf.DUMMYFUNCTION("GOOGLETRANSLATE(F63, ""id"", ""de"")
"),"🔥❤👏🙌")</f>
        <v>🔥❤👏🙌</v>
      </c>
      <c r="H63" s="6" t="str">
        <f>IFERROR(__xludf.DUMMYFUNCTION("GOOGLETRANSLATE(G63, ""de"", ""id"")"),"🔥❤👏🙌")</f>
        <v>🔥❤👏🙌</v>
      </c>
      <c r="I63" s="6" t="str">
        <f>IFERROR(__xludf.DUMMYFUNCTION("GOOGLETRANSLATE(G63, ""de"", ""en"")"),"🔥❤👏🙌")</f>
        <v>🔥❤👏🙌</v>
      </c>
      <c r="J63" s="6" t="str">
        <f>IFERROR(__xludf.DUMMYFUNCTION("GOOGLETRANSLATE(I63, ""en"", ""id"")"),"🔥❤👏🙌")</f>
        <v>🔥❤👏🙌</v>
      </c>
      <c r="K63" s="6" t="str">
        <f>IFERROR(__xludf.DUMMYFUNCTION("GOOGLETRANSLATE(F63, ""id"", ""en"")"),"🔥❤👏🙌")</f>
        <v>🔥❤👏🙌</v>
      </c>
      <c r="L63" s="6" t="s">
        <v>227</v>
      </c>
      <c r="M63" s="6" t="str">
        <f>IFERROR(__xludf.DUMMYFUNCTION("GOOGLETRANSLATE(L63, ""en"", ""de"")"),"🔥❤👏🙌")</f>
        <v>🔥❤👏🙌</v>
      </c>
      <c r="N63" s="6" t="s">
        <v>227</v>
      </c>
      <c r="O63" s="6" t="str">
        <f>IFERROR(__xludf.DUMMYFUNCTION("GOOGLETRANSLATE(N63, ""de"", ""id"")"),"🔥❤👏🙌")</f>
        <v>🔥❤👏🙌</v>
      </c>
    </row>
    <row r="64">
      <c r="A64" s="1" t="s">
        <v>17</v>
      </c>
      <c r="B64" s="1" t="s">
        <v>96</v>
      </c>
      <c r="C64" s="15" t="s">
        <v>228</v>
      </c>
      <c r="D64" s="4" t="s">
        <v>174</v>
      </c>
      <c r="E64" s="15" t="s">
        <v>135</v>
      </c>
      <c r="F64" s="6" t="str">
        <f>IFERROR(__xludf.DUMMYFUNCTION("IFERROR(ARRAYFORMULA(REGEXREPLACE(E64, ""("" &amp; TEXTJOIN(""|"", TRUE, FILTER(Q64:Q79, E:E&lt;&gt;"""")) &amp; "")"", 
                     INDEX(R64:R79, MATCH(REGEXEXTRACT(E64:E965, ""("" &amp; TEXTJOIN(""|"", TRUE, FILTER(Q64:Q79, Q64:Q79&lt;&gt;"""")) &amp; "")""), Q64:Q79, 0)"&amp;"))), E64)"),"🔥🔥🔥")</f>
        <v>🔥🔥🔥</v>
      </c>
      <c r="G64" s="6" t="str">
        <f>IFERROR(__xludf.DUMMYFUNCTION("GOOGLETRANSLATE(F64, ""id"", ""de"")
"),"🔥🔥🔥")</f>
        <v>🔥🔥🔥</v>
      </c>
      <c r="H64" s="6" t="str">
        <f>IFERROR(__xludf.DUMMYFUNCTION("GOOGLETRANSLATE(G64, ""de"", ""id"")"),"🔥🔥🔥")</f>
        <v>🔥🔥🔥</v>
      </c>
      <c r="I64" s="6" t="str">
        <f>IFERROR(__xludf.DUMMYFUNCTION("GOOGLETRANSLATE(G64, ""de"", ""en"")"),"🔥🔥🔥")</f>
        <v>🔥🔥🔥</v>
      </c>
      <c r="J64" s="6" t="str">
        <f>IFERROR(__xludf.DUMMYFUNCTION("GOOGLETRANSLATE(I64, ""en"", ""id"")"),"🔥🔥🔥")</f>
        <v>🔥🔥🔥</v>
      </c>
      <c r="K64" s="6" t="str">
        <f>IFERROR(__xludf.DUMMYFUNCTION("GOOGLETRANSLATE(F64, ""id"", ""en"")"),"🔥🔥🔥")</f>
        <v>🔥🔥🔥</v>
      </c>
      <c r="L64" s="6" t="s">
        <v>135</v>
      </c>
      <c r="M64" s="6" t="str">
        <f>IFERROR(__xludf.DUMMYFUNCTION("GOOGLETRANSLATE(L64, ""en"", ""de"")"),"🔥🔥🔥")</f>
        <v>🔥🔥🔥</v>
      </c>
      <c r="N64" s="6" t="s">
        <v>135</v>
      </c>
      <c r="O64" s="6" t="str">
        <f>IFERROR(__xludf.DUMMYFUNCTION("GOOGLETRANSLATE(N64, ""de"", ""id"")"),"🔥🔥🔥")</f>
        <v>🔥🔥🔥</v>
      </c>
    </row>
    <row r="65">
      <c r="A65" s="1" t="s">
        <v>17</v>
      </c>
      <c r="B65" s="1" t="s">
        <v>96</v>
      </c>
      <c r="C65" s="15" t="s">
        <v>229</v>
      </c>
      <c r="D65" s="4" t="s">
        <v>174</v>
      </c>
      <c r="E65" s="15" t="s">
        <v>230</v>
      </c>
      <c r="F65" s="6" t="str">
        <f>IFERROR(__xludf.DUMMYFUNCTION("IFERROR(ARRAYFORMULA(REGEXREPLACE(E65, ""("" &amp; TEXTJOIN(""|"", TRUE, FILTER(Q65:Q80, E:E&lt;&gt;"""")) &amp; "")"", 
                     INDEX(R65:R80, MATCH(REGEXEXTRACT(E65:E965, ""("" &amp; TEXTJOIN(""|"", TRUE, FILTER(Q65:Q80, Q65:Q80&lt;&gt;"""")) &amp; "")""), Q65:Q80, 0)"&amp;"))), E65)"),"🥰🥰❤‍🔥")</f>
        <v>🥰🥰❤‍🔥</v>
      </c>
      <c r="G65" s="6" t="str">
        <f>IFERROR(__xludf.DUMMYFUNCTION("GOOGLETRANSLATE(F65, ""id"", ""de"")
"),"🥰🥰❤‍🔥")</f>
        <v>🥰🥰❤‍🔥</v>
      </c>
      <c r="H65" s="6" t="str">
        <f>IFERROR(__xludf.DUMMYFUNCTION("GOOGLETRANSLATE(G65, ""de"", ""id"")"),"🥰🥰❤‍🔥")</f>
        <v>🥰🥰❤‍🔥</v>
      </c>
      <c r="I65" s="6" t="str">
        <f>IFERROR(__xludf.DUMMYFUNCTION("GOOGLETRANSLATE(G65, ""de"", ""en"")"),"🥰🥰❤‍🔥")</f>
        <v>🥰🥰❤‍🔥</v>
      </c>
      <c r="J65" s="6" t="str">
        <f>IFERROR(__xludf.DUMMYFUNCTION("GOOGLETRANSLATE(I65, ""en"", ""id"")"),"🥰🥰❤‍🔥")</f>
        <v>🥰🥰❤‍🔥</v>
      </c>
      <c r="K65" s="6" t="str">
        <f>IFERROR(__xludf.DUMMYFUNCTION("GOOGLETRANSLATE(F65, ""id"", ""en"")"),"🥰🥰❤‍🔥")</f>
        <v>🥰🥰❤‍🔥</v>
      </c>
      <c r="L65" s="6" t="s">
        <v>230</v>
      </c>
      <c r="M65" s="6" t="str">
        <f>IFERROR(__xludf.DUMMYFUNCTION("GOOGLETRANSLATE(L65, ""en"", ""de"")"),"🥰🥰❤‍🔥")</f>
        <v>🥰🥰❤‍🔥</v>
      </c>
      <c r="N65" s="6" t="s">
        <v>230</v>
      </c>
      <c r="O65" s="6" t="str">
        <f>IFERROR(__xludf.DUMMYFUNCTION("GOOGLETRANSLATE(N65, ""de"", ""id"")"),"🥰🥰❤‍🔥")</f>
        <v>🥰🥰❤‍🔥</v>
      </c>
    </row>
    <row r="66">
      <c r="A66" s="1" t="s">
        <v>17</v>
      </c>
      <c r="B66" s="1" t="s">
        <v>96</v>
      </c>
      <c r="C66" s="15" t="s">
        <v>231</v>
      </c>
      <c r="D66" s="4" t="s">
        <v>174</v>
      </c>
      <c r="E66" s="15" t="s">
        <v>232</v>
      </c>
      <c r="F66" s="6" t="str">
        <f>IFERROR(__xludf.DUMMYFUNCTION("IFERROR(ARRAYFORMULA(REGEXREPLACE(E66, ""("" &amp; TEXTJOIN(""|"", TRUE, FILTER(Q66:Q81, E:E&lt;&gt;"""")) &amp; "")"", 
                     INDEX(R66:R81, MATCH(REGEXEXTRACT(E66:E965, ""("" &amp; TEXTJOIN(""|"", TRUE, FILTER(Q66:Q81, Q66:Q81&lt;&gt;"""")) &amp; "")""), Q66:Q81, 0)"&amp;"))), E66)"),"👏👏👏👏")</f>
        <v>👏👏👏👏</v>
      </c>
      <c r="G66" s="6" t="str">
        <f>IFERROR(__xludf.DUMMYFUNCTION("GOOGLETRANSLATE(F66, ""id"", ""de"")
"),"👏👏👏👏")</f>
        <v>👏👏👏👏</v>
      </c>
      <c r="H66" s="6" t="str">
        <f>IFERROR(__xludf.DUMMYFUNCTION("GOOGLETRANSLATE(G66, ""de"", ""id"")"),"👏👏👏👏")</f>
        <v>👏👏👏👏</v>
      </c>
      <c r="I66" s="6" t="str">
        <f>IFERROR(__xludf.DUMMYFUNCTION("GOOGLETRANSLATE(G66, ""de"", ""en"")"),"👏👏👏👏")</f>
        <v>👏👏👏👏</v>
      </c>
      <c r="J66" s="6" t="str">
        <f>IFERROR(__xludf.DUMMYFUNCTION("GOOGLETRANSLATE(I66, ""en"", ""id"")"),"👏👏👏👏")</f>
        <v>👏👏👏👏</v>
      </c>
      <c r="K66" s="6" t="str">
        <f>IFERROR(__xludf.DUMMYFUNCTION("GOOGLETRANSLATE(F66, ""id"", ""en"")"),"👏👏👏👏")</f>
        <v>👏👏👏👏</v>
      </c>
      <c r="L66" s="6" t="s">
        <v>232</v>
      </c>
      <c r="M66" s="6" t="str">
        <f>IFERROR(__xludf.DUMMYFUNCTION("GOOGLETRANSLATE(L66, ""en"", ""de"")"),"👏👏👏👏")</f>
        <v>👏👏👏👏</v>
      </c>
      <c r="N66" s="6" t="s">
        <v>232</v>
      </c>
      <c r="O66" s="6" t="str">
        <f>IFERROR(__xludf.DUMMYFUNCTION("GOOGLETRANSLATE(N66, ""de"", ""id"")"),"👏👏👏👏")</f>
        <v>👏👏👏👏</v>
      </c>
    </row>
    <row r="67">
      <c r="A67" s="1" t="s">
        <v>17</v>
      </c>
      <c r="B67" s="1" t="s">
        <v>96</v>
      </c>
      <c r="C67" s="15" t="s">
        <v>233</v>
      </c>
      <c r="D67" s="18" t="s">
        <v>174</v>
      </c>
      <c r="E67" s="15" t="s">
        <v>185</v>
      </c>
      <c r="F67" s="6" t="str">
        <f>IFERROR(__xludf.DUMMYFUNCTION("IFERROR(ARRAYFORMULA(REGEXREPLACE(E67, ""("" &amp; TEXTJOIN(""|"", TRUE, FILTER(Q67:Q82, E:E&lt;&gt;"""")) &amp; "")"", 
                     INDEX(R67:R82, MATCH(REGEXEXTRACT(E67:E965, ""("" &amp; TEXTJOIN(""|"", TRUE, FILTER(Q67:Q82, Q67:Q82&lt;&gt;"""")) &amp; "")""), Q67:Q82, 0)"&amp;"))), E67)"),"❤️")</f>
        <v>❤️</v>
      </c>
      <c r="G67" s="6" t="str">
        <f>IFERROR(__xludf.DUMMYFUNCTION("GOOGLETRANSLATE(F67, ""id"", ""de"")
"),"❤️")</f>
        <v>❤️</v>
      </c>
      <c r="H67" s="6" t="str">
        <f>IFERROR(__xludf.DUMMYFUNCTION("GOOGLETRANSLATE(G67, ""de"", ""id"")"),"❤️")</f>
        <v>❤️</v>
      </c>
      <c r="I67" s="6" t="str">
        <f>IFERROR(__xludf.DUMMYFUNCTION("GOOGLETRANSLATE(G67, ""de"", ""en"")"),"❤️")</f>
        <v>❤️</v>
      </c>
      <c r="J67" s="6" t="str">
        <f>IFERROR(__xludf.DUMMYFUNCTION("GOOGLETRANSLATE(I67, ""en"", ""id"")"),"❤️")</f>
        <v>❤️</v>
      </c>
      <c r="K67" s="6" t="str">
        <f>IFERROR(__xludf.DUMMYFUNCTION("GOOGLETRANSLATE(F67, ""id"", ""en"")"),"❤️")</f>
        <v>❤️</v>
      </c>
      <c r="L67" s="6" t="s">
        <v>185</v>
      </c>
      <c r="M67" s="6" t="str">
        <f>IFERROR(__xludf.DUMMYFUNCTION("GOOGLETRANSLATE(L67, ""en"", ""de"")"),"❤️")</f>
        <v>❤️</v>
      </c>
      <c r="N67" s="6" t="s">
        <v>185</v>
      </c>
      <c r="O67" s="6" t="str">
        <f>IFERROR(__xludf.DUMMYFUNCTION("GOOGLETRANSLATE(N67, ""de"", ""id"")"),"❤️")</f>
        <v>❤️</v>
      </c>
    </row>
    <row r="68">
      <c r="A68" s="1" t="s">
        <v>17</v>
      </c>
      <c r="B68" s="1" t="s">
        <v>96</v>
      </c>
      <c r="C68" s="15" t="s">
        <v>234</v>
      </c>
      <c r="D68" s="4" t="s">
        <v>174</v>
      </c>
      <c r="E68" s="1" t="s">
        <v>235</v>
      </c>
      <c r="F68" s="6" t="str">
        <f>IFERROR(__xludf.DUMMYFUNCTION("IFERROR(ARRAYFORMULA(REGEXREPLACE(E68, ""("" &amp; TEXTJOIN(""|"", TRUE, FILTER(Q68:Q83, E:E&lt;&gt;"""")) &amp; "")"", 
                     INDEX(R68:R83, MATCH(REGEXEXTRACT(E68:E965, ""("" &amp; TEXTJOIN(""|"", TRUE, FILTER(Q68:Q83, Q68:Q83&lt;&gt;"""")) &amp; "")""), Q68:Q83, 0)"&amp;"))), E68)"),"@chelssyaoktaviana_ memey jn berharga kamera yaaa🤣😭")</f>
        <v>@chelssyaoktaviana_ memey jn berharga kamera yaaa🤣😭</v>
      </c>
      <c r="G68" s="6" t="str">
        <f>IFERROR(__xludf.DUMMYFUNCTION("GOOGLETRANSLATE(F68, ""id"", ""de"")
"),"@chelssyaoktaviana_ memey jn ist die Kamera wert, yaaa🤣😭")</f>
        <v>@chelssyaoktaviana_ memey jn ist die Kamera wert, yaaa🤣😭</v>
      </c>
      <c r="H68" s="6" t="str">
        <f>IFERROR(__xludf.DUMMYFUNCTION("GOOGLETRANSLATE(G68, ""de"", ""id"")"),"@chelssyaoktaviana_ memey jn worth to camera yaaa🤣😭")</f>
        <v>@chelssyaoktaviana_ memey jn worth to camera yaaa🤣😭</v>
      </c>
      <c r="I68" s="6" t="str">
        <f>IFERROR(__xludf.DUMMYFUNCTION("GOOGLETRANSLATE(G68, ""de"", ""en"")"),"@chelssyaoktaviana_ memey jn is worth the camera, yaaa🤣😭")</f>
        <v>@chelssyaoktaviana_ memey jn is worth the camera, yaaa🤣😭</v>
      </c>
      <c r="J68" s="6" t="str">
        <f>IFERROR(__xludf.DUMMYFUNCTION("GOOGLETRANSLATE(I68, ""en"", ""id"")"),"@chelssyaoktaviana_ memey jn worth to camera yaaa🤣😭")</f>
        <v>@chelssyaoktaviana_ memey jn worth to camera yaaa🤣😭</v>
      </c>
      <c r="K68" s="6" t="str">
        <f>IFERROR(__xludf.DUMMYFUNCTION("GOOGLETRANSLATE(F68, ""id"", ""en"")"),"@chelssyaoktaviana_ memey jn worth the camera yaaa🤣😭")</f>
        <v>@chelssyaoktaviana_ memey jn worth the camera yaaa🤣😭</v>
      </c>
      <c r="L68" s="6" t="s">
        <v>236</v>
      </c>
      <c r="M68" s="6" t="str">
        <f>IFERROR(__xludf.DUMMYFUNCTION("GOOGLETRANSLATE(L68, ""en"", ""de"")"),"@chelssyaoktaviana_ memey jn ist die Kamera wert, yaaa🤣😭")</f>
        <v>@chelssyaoktaviana_ memey jn ist die Kamera wert, yaaa🤣😭</v>
      </c>
      <c r="N68" s="6" t="s">
        <v>237</v>
      </c>
      <c r="O68" s="6" t="str">
        <f>IFERROR(__xludf.DUMMYFUNCTION("GOOGLETRANSLATE(N68, ""de"", ""id"")"),"@chelssyaoktaviana_ memey jn worth to camera yaaa🤣😭")</f>
        <v>@chelssyaoktaviana_ memey jn worth to camera yaaa🤣😭</v>
      </c>
    </row>
    <row r="69">
      <c r="A69" s="1" t="s">
        <v>17</v>
      </c>
      <c r="B69" s="1" t="s">
        <v>96</v>
      </c>
      <c r="C69" s="15" t="s">
        <v>220</v>
      </c>
      <c r="D69" s="4" t="s">
        <v>174</v>
      </c>
      <c r="E69" s="15" t="s">
        <v>238</v>
      </c>
      <c r="F69" s="6" t="str">
        <f>IFERROR(__xludf.DUMMYFUNCTION("IFERROR(ARRAYFORMULA(REGEXREPLACE(E69, ""("" &amp; TEXTJOIN(""|"", TRUE, FILTER(Q69:Q84, E:E&lt;&gt;"""")) &amp; "")"", 
                     INDEX(R69:R84, MATCH(REGEXEXTRACT(E69:E965, ""("" &amp; TEXTJOIN(""|"", TRUE, FILTER(Q69:Q84, Q69:Q84&lt;&gt;"""")) &amp; "")""), Q69:Q84, 0)"&amp;"))), E69)"),"@aldilaniada_ viruss yg sulit di hilangkan itu behh😭")</f>
        <v>@aldilaniada_ viruss yg sulit di hilangkan itu behh😭</v>
      </c>
      <c r="G69" s="6" t="str">
        <f>IFERROR(__xludf.DUMMYFUNCTION("GOOGLETRANSLATE(F69, ""id"", ""de"")
"),"@aldilaniada_ Viren, die schwer zu entfernen sind, ehh😭")</f>
        <v>@aldilaniada_ Viren, die schwer zu entfernen sind, ehh😭</v>
      </c>
      <c r="H69" s="6" t="str">
        <f>IFERROR(__xludf.DUMMYFUNCTION("GOOGLETRANSLATE(G69, ""de"", ""id"")"),"@aldilaniada_ virus yang susah dihilangkan ehh😭")</f>
        <v>@aldilaniada_ virus yang susah dihilangkan ehh😭</v>
      </c>
      <c r="I69" s="6" t="str">
        <f>IFERROR(__xludf.DUMMYFUNCTION("GOOGLETRANSLATE(G69, ""de"", ""en"")"),"@aldilaniada_ viruses that are difficult to remove, ehh😭")</f>
        <v>@aldilaniada_ viruses that are difficult to remove, ehh😭</v>
      </c>
      <c r="J69" s="6" t="str">
        <f>IFERROR(__xludf.DUMMYFUNCTION("GOOGLETRANSLATE(I69, ""en"", ""id"")"),"@aldilaniada_ virus yang susah dihilangkan ehh😭")</f>
        <v>@aldilaniada_ virus yang susah dihilangkan ehh😭</v>
      </c>
      <c r="K69" s="6" t="str">
        <f>IFERROR(__xludf.DUMMYFUNCTION("GOOGLETRANSLATE(F69, ""id"", ""en"")"),"@aldilaniada_ viruses that are difficult to get rid of ehh😭")</f>
        <v>@aldilaniada_ viruses that are difficult to get rid of ehh😭</v>
      </c>
      <c r="L69" s="6" t="s">
        <v>239</v>
      </c>
      <c r="M69" s="6" t="str">
        <f>IFERROR(__xludf.DUMMYFUNCTION("GOOGLETRANSLATE(L69, ""en"", ""de"")"),"@aldilaniada_ Viren, die schwer zu entfernen sind, ehh😭")</f>
        <v>@aldilaniada_ Viren, die schwer zu entfernen sind, ehh😭</v>
      </c>
      <c r="N69" s="6" t="s">
        <v>240</v>
      </c>
      <c r="O69" s="6" t="str">
        <f>IFERROR(__xludf.DUMMYFUNCTION("GOOGLETRANSLATE(N69, ""de"", ""id"")"),"@aldilaniada_ virus yang susah dihilangkan ehh😭")</f>
        <v>@aldilaniada_ virus yang susah dihilangkan ehh😭</v>
      </c>
    </row>
    <row r="70">
      <c r="A70" s="1" t="s">
        <v>17</v>
      </c>
      <c r="B70" s="1" t="s">
        <v>96</v>
      </c>
      <c r="C70" s="15" t="s">
        <v>241</v>
      </c>
      <c r="D70" s="4" t="s">
        <v>174</v>
      </c>
      <c r="E70" s="15" t="s">
        <v>198</v>
      </c>
      <c r="F70" s="6" t="str">
        <f>IFERROR(__xludf.DUMMYFUNCTION("IFERROR(ARRAYFORMULA(REGEXREPLACE(E70, ""("" &amp; TEXTJOIN(""|"", TRUE, FILTER(Q70:Q85, E:E&lt;&gt;"""")) &amp; "")"", 
                     INDEX(R70:R85, MATCH(REGEXEXTRACT(E70:E965, ""("" &amp; TEXTJOIN(""|"", TRUE, FILTER(Q70:Q85, Q70:Q85&lt;&gt;"""")) &amp; "")""), Q70:Q85, 0)"&amp;"))), E70)"),"❤️❤️")</f>
        <v>❤️❤️</v>
      </c>
      <c r="G70" s="6" t="str">
        <f>IFERROR(__xludf.DUMMYFUNCTION("GOOGLETRANSLATE(F70, ""id"", ""de"")
"),"❤️❤️")</f>
        <v>❤️❤️</v>
      </c>
      <c r="H70" s="6" t="str">
        <f>IFERROR(__xludf.DUMMYFUNCTION("GOOGLETRANSLATE(G70, ""de"", ""id"")"),"❤️❤️")</f>
        <v>❤️❤️</v>
      </c>
      <c r="I70" s="6" t="str">
        <f>IFERROR(__xludf.DUMMYFUNCTION("GOOGLETRANSLATE(G70, ""de"", ""en"")"),"❤️❤️")</f>
        <v>❤️❤️</v>
      </c>
      <c r="J70" s="6" t="str">
        <f>IFERROR(__xludf.DUMMYFUNCTION("GOOGLETRANSLATE(I70, ""en"", ""id"")"),"❤️❤️")</f>
        <v>❤️❤️</v>
      </c>
      <c r="K70" s="6" t="str">
        <f>IFERROR(__xludf.DUMMYFUNCTION("GOOGLETRANSLATE(F70, ""id"", ""en"")"),"❤️❤️")</f>
        <v>❤️❤️</v>
      </c>
      <c r="L70" s="6" t="s">
        <v>198</v>
      </c>
      <c r="M70" s="6" t="str">
        <f>IFERROR(__xludf.DUMMYFUNCTION("GOOGLETRANSLATE(L70, ""en"", ""de"")"),"❤️❤️")</f>
        <v>❤️❤️</v>
      </c>
      <c r="N70" s="6" t="s">
        <v>198</v>
      </c>
      <c r="O70" s="6" t="str">
        <f>IFERROR(__xludf.DUMMYFUNCTION("GOOGLETRANSLATE(N70, ""de"", ""id"")"),"❤️❤️")</f>
        <v>❤️❤️</v>
      </c>
    </row>
    <row r="71">
      <c r="A71" s="1" t="s">
        <v>17</v>
      </c>
      <c r="B71" s="1" t="s">
        <v>96</v>
      </c>
      <c r="C71" s="15" t="s">
        <v>242</v>
      </c>
      <c r="D71" s="4" t="s">
        <v>174</v>
      </c>
      <c r="E71" s="15" t="s">
        <v>243</v>
      </c>
      <c r="F71" s="6" t="str">
        <f>IFERROR(__xludf.DUMMYFUNCTION("IFERROR(ARRAYFORMULA(REGEXREPLACE(E71, ""("" &amp; TEXTJOIN(""|"", TRUE, FILTER(Q71:Q86, E:E&lt;&gt;"""")) &amp; "")"", 
                     INDEX(R71:R86, MATCH(REGEXEXTRACT(E71:E965, ""("" &amp; TEXTJOIN(""|"", TRUE, FILTER(Q71:Q86, Q71:Q86&lt;&gt;"""")) &amp; "")""), Q71:Q86, 0)"&amp;"))), E71)"),"Kerennn🔥🔥")</f>
        <v>Kerennn🔥🔥</v>
      </c>
      <c r="G71" s="6" t="str">
        <f>IFERROR(__xludf.DUMMYFUNCTION("GOOGLETRANSLATE(F71, ""id"", ""de"")
"),"Cool🔥🔥")</f>
        <v>Cool🔥🔥</v>
      </c>
      <c r="H71" s="6" t="str">
        <f>IFERROR(__xludf.DUMMYFUNCTION("GOOGLETRANSLATE(G71, ""de"", ""id"")"),"Keren🔥🔥")</f>
        <v>Keren🔥🔥</v>
      </c>
      <c r="I71" s="6" t="str">
        <f>IFERROR(__xludf.DUMMYFUNCTION("GOOGLETRANSLATE(G71, ""de"", ""en"")"),"Cool🔥🔥")</f>
        <v>Cool🔥🔥</v>
      </c>
      <c r="J71" s="6" t="str">
        <f>IFERROR(__xludf.DUMMYFUNCTION("GOOGLETRANSLATE(I71, ""en"", ""id"")"),"Keren🔥🔥")</f>
        <v>Keren🔥🔥</v>
      </c>
      <c r="K71" s="6" t="str">
        <f>IFERROR(__xludf.DUMMYFUNCTION("GOOGLETRANSLATE(F71, ""id"", ""en"")"),"Cool🔥🔥")</f>
        <v>Cool🔥🔥</v>
      </c>
      <c r="L71" s="6" t="s">
        <v>244</v>
      </c>
      <c r="M71" s="6" t="str">
        <f>IFERROR(__xludf.DUMMYFUNCTION("GOOGLETRANSLATE(L71, ""en"", ""de"")"),"Cool🔥🔥")</f>
        <v>Cool🔥🔥</v>
      </c>
      <c r="N71" s="6" t="s">
        <v>244</v>
      </c>
      <c r="O71" s="6" t="str">
        <f>IFERROR(__xludf.DUMMYFUNCTION("GOOGLETRANSLATE(N71, ""de"", ""id"")"),"Keren🔥🔥")</f>
        <v>Keren🔥🔥</v>
      </c>
    </row>
    <row r="72">
      <c r="A72" s="1" t="s">
        <v>17</v>
      </c>
      <c r="B72" s="1" t="s">
        <v>96</v>
      </c>
      <c r="C72" s="15" t="s">
        <v>245</v>
      </c>
      <c r="D72" s="4" t="s">
        <v>174</v>
      </c>
      <c r="E72" s="15" t="s">
        <v>208</v>
      </c>
      <c r="F72" s="6" t="str">
        <f>IFERROR(__xludf.DUMMYFUNCTION("IFERROR(ARRAYFORMULA(REGEXREPLACE(E72, ""("" &amp; TEXTJOIN(""|"", TRUE, FILTER(Q72:Q87, E:E&lt;&gt;"""")) &amp; "")"", 
                     INDEX(R72:R87, MATCH(REGEXEXTRACT(E72:E965, ""("" &amp; TEXTJOIN(""|"", TRUE, FILTER(Q72:Q87, Q72:Q87&lt;&gt;"""")) &amp; "")""), Q72:Q87, 0)"&amp;"))), E72)"),"🔥")</f>
        <v>🔥</v>
      </c>
      <c r="G72" s="6" t="str">
        <f>IFERROR(__xludf.DUMMYFUNCTION("GOOGLETRANSLATE(F72, ""id"", ""de"")
"),"🔥")</f>
        <v>🔥</v>
      </c>
      <c r="H72" s="6" t="str">
        <f>IFERROR(__xludf.DUMMYFUNCTION("GOOGLETRANSLATE(G72, ""de"", ""id"")"),"🔥")</f>
        <v>🔥</v>
      </c>
      <c r="I72" s="6" t="str">
        <f>IFERROR(__xludf.DUMMYFUNCTION("GOOGLETRANSLATE(G72, ""de"", ""en"")"),"🔥")</f>
        <v>🔥</v>
      </c>
      <c r="J72" s="6" t="str">
        <f>IFERROR(__xludf.DUMMYFUNCTION("GOOGLETRANSLATE(I72, ""en"", ""id"")"),"🔥")</f>
        <v>🔥</v>
      </c>
      <c r="K72" s="6" t="str">
        <f>IFERROR(__xludf.DUMMYFUNCTION("GOOGLETRANSLATE(F72, ""id"", ""en"")"),"🔥")</f>
        <v>🔥</v>
      </c>
      <c r="L72" s="6" t="s">
        <v>208</v>
      </c>
      <c r="M72" s="6" t="str">
        <f>IFERROR(__xludf.DUMMYFUNCTION("GOOGLETRANSLATE(L72, ""en"", ""de"")"),"🔥")</f>
        <v>🔥</v>
      </c>
      <c r="N72" s="6" t="s">
        <v>208</v>
      </c>
      <c r="O72" s="6" t="str">
        <f>IFERROR(__xludf.DUMMYFUNCTION("GOOGLETRANSLATE(N72, ""de"", ""id"")"),"🔥")</f>
        <v>🔥</v>
      </c>
    </row>
    <row r="73">
      <c r="A73" s="1" t="s">
        <v>17</v>
      </c>
      <c r="B73" s="1" t="s">
        <v>96</v>
      </c>
      <c r="C73" s="15" t="s">
        <v>246</v>
      </c>
      <c r="D73" s="4" t="s">
        <v>174</v>
      </c>
      <c r="E73" s="15" t="s">
        <v>225</v>
      </c>
      <c r="F73" s="6" t="str">
        <f>IFERROR(__xludf.DUMMYFUNCTION("IFERROR(ARRAYFORMULA(REGEXREPLACE(E73, ""("" &amp; TEXTJOIN(""|"", TRUE, FILTER(Q73:Q88, E:E&lt;&gt;"""")) &amp; "")"", 
                     INDEX(R73:R88, MATCH(REGEXEXTRACT(E73:E965, ""("" &amp; TEXTJOIN(""|"", TRUE, FILTER(Q73:Q88, Q73:Q88&lt;&gt;"""")) &amp; "")""), Q73:Q88, 0)"&amp;"))), E73)"),"❤️🔥")</f>
        <v>❤️🔥</v>
      </c>
      <c r="G73" s="6" t="str">
        <f>IFERROR(__xludf.DUMMYFUNCTION("GOOGLETRANSLATE(F73, ""id"", ""de"")
"),"❤️🔥")</f>
        <v>❤️🔥</v>
      </c>
      <c r="H73" s="6" t="str">
        <f>IFERROR(__xludf.DUMMYFUNCTION("GOOGLETRANSLATE(G73, ""de"", ""id"")"),"❤️🔥")</f>
        <v>❤️🔥</v>
      </c>
      <c r="I73" s="6" t="str">
        <f>IFERROR(__xludf.DUMMYFUNCTION("GOOGLETRANSLATE(G73, ""de"", ""en"")"),"❤️🔥")</f>
        <v>❤️🔥</v>
      </c>
      <c r="J73" s="6" t="str">
        <f>IFERROR(__xludf.DUMMYFUNCTION("GOOGLETRANSLATE(I73, ""en"", ""id"")"),"❤️🔥")</f>
        <v>❤️🔥</v>
      </c>
      <c r="K73" s="6" t="str">
        <f>IFERROR(__xludf.DUMMYFUNCTION("GOOGLETRANSLATE(F73, ""id"", ""en"")"),"❤️🔥")</f>
        <v>❤️🔥</v>
      </c>
      <c r="L73" s="6" t="s">
        <v>225</v>
      </c>
      <c r="M73" s="6" t="str">
        <f>IFERROR(__xludf.DUMMYFUNCTION("GOOGLETRANSLATE(L73, ""en"", ""de"")"),"❤️🔥")</f>
        <v>❤️🔥</v>
      </c>
      <c r="N73" s="6" t="s">
        <v>225</v>
      </c>
      <c r="O73" s="6" t="str">
        <f>IFERROR(__xludf.DUMMYFUNCTION("GOOGLETRANSLATE(N73, ""de"", ""id"")"),"❤️🔥")</f>
        <v>❤️🔥</v>
      </c>
    </row>
    <row r="74">
      <c r="A74" s="1" t="s">
        <v>17</v>
      </c>
      <c r="B74" s="1" t="s">
        <v>96</v>
      </c>
      <c r="C74" s="15" t="s">
        <v>247</v>
      </c>
      <c r="D74" s="4" t="s">
        <v>174</v>
      </c>
      <c r="E74" s="15" t="s">
        <v>248</v>
      </c>
      <c r="F74" s="6" t="str">
        <f>IFERROR(__xludf.DUMMYFUNCTION("IFERROR(ARRAYFORMULA(REGEXREPLACE(E74, ""("" &amp; TEXTJOIN(""|"", TRUE, FILTER(Q74:Q89, E:E&lt;&gt;"""")) &amp; "")"", 
                     INDEX(R74:R89, MATCH(REGEXEXTRACT(E74:E965, ""("" &amp; TEXTJOIN(""|"", TRUE, FILTER(Q74:Q89, Q74:Q89&lt;&gt;"""")) &amp; "")""), Q74:Q89, 0)"&amp;"))), E74)"),"Mode amanah ini ka @reksarindra 😂")</f>
        <v>Mode amanah ini ka @reksarindra 😂</v>
      </c>
      <c r="G74" s="6" t="str">
        <f>IFERROR(__xludf.DUMMYFUNCTION("GOOGLETRANSLATE(F74, ""id"", ""de"")
"),"Das ist der Vertrauensmodus, @reksarindra 😂")</f>
        <v>Das ist der Vertrauensmodus, @reksarindra 😂</v>
      </c>
      <c r="H74" s="6" t="str">
        <f>IFERROR(__xludf.DUMMYFUNCTION("GOOGLETRANSLATE(G74, ""de"", ""id"")"),"Ini mode kepercayaan, @reksarindra 😂")</f>
        <v>Ini mode kepercayaan, @reksarindra 😂</v>
      </c>
      <c r="I74" s="6" t="str">
        <f>IFERROR(__xludf.DUMMYFUNCTION("GOOGLETRANSLATE(G74, ""de"", ""en"")"),"This is trust mode, @reksarindra 😂")</f>
        <v>This is trust mode, @reksarindra 😂</v>
      </c>
      <c r="J74" s="6" t="str">
        <f>IFERROR(__xludf.DUMMYFUNCTION("GOOGLETRANSLATE(I74, ""en"", ""id"")"),"Ini mode kepercayaan, @reksarindra 😂")</f>
        <v>Ini mode kepercayaan, @reksarindra 😂</v>
      </c>
      <c r="K74" s="6" t="str">
        <f>IFERROR(__xludf.DUMMYFUNCTION("GOOGLETRANSLATE(F74, ""id"", ""en"")"),"This is trust mode, @reksarindra 😂")</f>
        <v>This is trust mode, @reksarindra 😂</v>
      </c>
      <c r="L74" s="6" t="s">
        <v>249</v>
      </c>
      <c r="M74" s="6" t="str">
        <f>IFERROR(__xludf.DUMMYFUNCTION("GOOGLETRANSLATE(L74, ""en"", ""de"")"),"Das ist der Vertrauensmodus, @reksarindra 😂")</f>
        <v>Das ist der Vertrauensmodus, @reksarindra 😂</v>
      </c>
      <c r="N74" s="6" t="s">
        <v>250</v>
      </c>
      <c r="O74" s="6" t="str">
        <f>IFERROR(__xludf.DUMMYFUNCTION("GOOGLETRANSLATE(N74, ""de"", ""id"")"),"Ini mode kepercayaan, @reksarindra 😂")</f>
        <v>Ini mode kepercayaan, @reksarindra 😂</v>
      </c>
    </row>
    <row r="75">
      <c r="A75" s="1" t="s">
        <v>17</v>
      </c>
      <c r="B75" s="1" t="s">
        <v>96</v>
      </c>
      <c r="C75" s="15" t="s">
        <v>251</v>
      </c>
      <c r="D75" s="4" t="s">
        <v>174</v>
      </c>
      <c r="E75" s="15" t="s">
        <v>252</v>
      </c>
      <c r="F75" s="6" t="str">
        <f>IFERROR(__xludf.DUMMYFUNCTION("IFERROR(ARRAYFORMULA(REGEXREPLACE(E75, ""("" &amp; TEXTJOIN(""|"", TRUE, FILTER(Q75:Q90, E:E&lt;&gt;"""")) &amp; "")"", 
                     INDEX(R75:R90, MATCH(REGEXEXTRACT(E75:E965, ""("" &amp; TEXTJOIN(""|"", TRUE, FILTER(Q75:Q90, Q75:Q90&lt;&gt;"""")) &amp; "")""), Q75:Q90, 0)"&amp;"))), E75)"),"😍🙌")</f>
        <v>😍🙌</v>
      </c>
      <c r="G75" s="6" t="str">
        <f>IFERROR(__xludf.DUMMYFUNCTION("GOOGLETRANSLATE(F75, ""id"", ""de"")
"),"😍🙌")</f>
        <v>😍🙌</v>
      </c>
      <c r="H75" s="6" t="str">
        <f>IFERROR(__xludf.DUMMYFUNCTION("GOOGLETRANSLATE(G75, ""de"", ""id"")"),"😍🙌")</f>
        <v>😍🙌</v>
      </c>
      <c r="I75" s="6" t="str">
        <f>IFERROR(__xludf.DUMMYFUNCTION("GOOGLETRANSLATE(G75, ""de"", ""en"")"),"😍🙌")</f>
        <v>😍🙌</v>
      </c>
      <c r="J75" s="6" t="str">
        <f>IFERROR(__xludf.DUMMYFUNCTION("GOOGLETRANSLATE(I75, ""en"", ""id"")"),"😍🙌")</f>
        <v>😍🙌</v>
      </c>
      <c r="K75" s="6" t="str">
        <f>IFERROR(__xludf.DUMMYFUNCTION("GOOGLETRANSLATE(F75, ""id"", ""en"")"),"😍🙌")</f>
        <v>😍🙌</v>
      </c>
      <c r="L75" s="6" t="s">
        <v>252</v>
      </c>
      <c r="M75" s="6" t="str">
        <f>IFERROR(__xludf.DUMMYFUNCTION("GOOGLETRANSLATE(L75, ""en"", ""de"")"),"😍🙌")</f>
        <v>😍🙌</v>
      </c>
      <c r="N75" s="6" t="s">
        <v>252</v>
      </c>
      <c r="O75" s="6" t="str">
        <f>IFERROR(__xludf.DUMMYFUNCTION("GOOGLETRANSLATE(N75, ""de"", ""id"")"),"😍🙌")</f>
        <v>😍🙌</v>
      </c>
    </row>
    <row r="76">
      <c r="A76" s="1" t="s">
        <v>17</v>
      </c>
      <c r="B76" s="1" t="s">
        <v>96</v>
      </c>
      <c r="C76" s="15" t="s">
        <v>140</v>
      </c>
      <c r="D76" s="4" t="s">
        <v>174</v>
      </c>
      <c r="E76" s="15" t="s">
        <v>135</v>
      </c>
      <c r="F76" s="6" t="str">
        <f>IFERROR(__xludf.DUMMYFUNCTION("IFERROR(ARRAYFORMULA(REGEXREPLACE(E76, ""("" &amp; TEXTJOIN(""|"", TRUE, FILTER(Q76:Q91, E:E&lt;&gt;"""")) &amp; "")"", 
                     INDEX(R76:R91, MATCH(REGEXEXTRACT(E76:E965, ""("" &amp; TEXTJOIN(""|"", TRUE, FILTER(Q76:Q91, Q76:Q91&lt;&gt;"""")) &amp; "")""), Q76:Q91, 0)"&amp;"))), E76)"),"🔥🔥🔥")</f>
        <v>🔥🔥🔥</v>
      </c>
      <c r="G76" s="6" t="str">
        <f>IFERROR(__xludf.DUMMYFUNCTION("GOOGLETRANSLATE(F76, ""id"", ""de"")
"),"🔥🔥🔥")</f>
        <v>🔥🔥🔥</v>
      </c>
      <c r="H76" s="6" t="str">
        <f>IFERROR(__xludf.DUMMYFUNCTION("GOOGLETRANSLATE(G76, ""de"", ""id"")"),"🔥🔥🔥")</f>
        <v>🔥🔥🔥</v>
      </c>
      <c r="I76" s="6" t="str">
        <f>IFERROR(__xludf.DUMMYFUNCTION("GOOGLETRANSLATE(G76, ""de"", ""en"")"),"🔥🔥🔥")</f>
        <v>🔥🔥🔥</v>
      </c>
      <c r="J76" s="6" t="str">
        <f>IFERROR(__xludf.DUMMYFUNCTION("GOOGLETRANSLATE(I76, ""en"", ""id"")"),"🔥🔥🔥")</f>
        <v>🔥🔥🔥</v>
      </c>
      <c r="K76" s="6" t="str">
        <f>IFERROR(__xludf.DUMMYFUNCTION("GOOGLETRANSLATE(F76, ""id"", ""en"")"),"🔥🔥🔥")</f>
        <v>🔥🔥🔥</v>
      </c>
      <c r="L76" s="6" t="s">
        <v>135</v>
      </c>
      <c r="M76" s="6" t="str">
        <f>IFERROR(__xludf.DUMMYFUNCTION("GOOGLETRANSLATE(L76, ""en"", ""de"")"),"🔥🔥🔥")</f>
        <v>🔥🔥🔥</v>
      </c>
      <c r="N76" s="6" t="s">
        <v>135</v>
      </c>
      <c r="O76" s="6" t="str">
        <f>IFERROR(__xludf.DUMMYFUNCTION("GOOGLETRANSLATE(N76, ""de"", ""id"")"),"🔥🔥🔥")</f>
        <v>🔥🔥🔥</v>
      </c>
    </row>
    <row r="77">
      <c r="A77" s="1" t="s">
        <v>17</v>
      </c>
      <c r="B77" s="1" t="s">
        <v>96</v>
      </c>
      <c r="C77" s="15" t="s">
        <v>253</v>
      </c>
      <c r="D77" s="4" t="s">
        <v>174</v>
      </c>
      <c r="E77" s="15" t="s">
        <v>254</v>
      </c>
      <c r="F77" s="6" t="str">
        <f>IFERROR(__xludf.DUMMYFUNCTION("IFERROR(ARRAYFORMULA(REGEXREPLACE(E77, ""("" &amp; TEXTJOIN(""|"", TRUE, FILTER(Q77:Q92, E:E&lt;&gt;"""")) &amp; "")"", 
                     INDEX(R77:R92, MATCH(REGEXEXTRACT(E77:E965, ""("" &amp; TEXTJOIN(""|"", TRUE, FILTER(Q77:Q92, Q77:Q92&lt;&gt;"""")) &amp; "")""), Q77:Q92, 0)"&amp;"))), E77)"),"👏❤️")</f>
        <v>👏❤️</v>
      </c>
      <c r="G77" s="6" t="str">
        <f>IFERROR(__xludf.DUMMYFUNCTION("GOOGLETRANSLATE(F77, ""id"", ""de"")
"),"👏❤️")</f>
        <v>👏❤️</v>
      </c>
      <c r="H77" s="6" t="str">
        <f>IFERROR(__xludf.DUMMYFUNCTION("GOOGLETRANSLATE(G77, ""de"", ""id"")"),"👏❤️")</f>
        <v>👏❤️</v>
      </c>
      <c r="I77" s="6" t="str">
        <f>IFERROR(__xludf.DUMMYFUNCTION("GOOGLETRANSLATE(G77, ""de"", ""en"")"),"👏❤️")</f>
        <v>👏❤️</v>
      </c>
      <c r="J77" s="6" t="str">
        <f>IFERROR(__xludf.DUMMYFUNCTION("GOOGLETRANSLATE(I77, ""en"", ""id"")"),"👏❤️")</f>
        <v>👏❤️</v>
      </c>
      <c r="K77" s="6" t="str">
        <f>IFERROR(__xludf.DUMMYFUNCTION("GOOGLETRANSLATE(F77, ""id"", ""en"")"),"👏❤️")</f>
        <v>👏❤️</v>
      </c>
      <c r="L77" s="6" t="s">
        <v>254</v>
      </c>
      <c r="M77" s="6" t="str">
        <f>IFERROR(__xludf.DUMMYFUNCTION("GOOGLETRANSLATE(L77, ""en"", ""de"")"),"👏❤️")</f>
        <v>👏❤️</v>
      </c>
      <c r="N77" s="6" t="s">
        <v>254</v>
      </c>
      <c r="O77" s="6" t="str">
        <f>IFERROR(__xludf.DUMMYFUNCTION("GOOGLETRANSLATE(N77, ""de"", ""id"")"),"👏❤️")</f>
        <v>👏❤️</v>
      </c>
    </row>
    <row r="78">
      <c r="A78" s="1" t="s">
        <v>17</v>
      </c>
      <c r="B78" s="1" t="s">
        <v>96</v>
      </c>
      <c r="C78" s="15" t="s">
        <v>255</v>
      </c>
      <c r="D78" s="4" t="s">
        <v>174</v>
      </c>
      <c r="E78" s="15" t="s">
        <v>194</v>
      </c>
      <c r="F78" s="6" t="str">
        <f>IFERROR(__xludf.DUMMYFUNCTION("IFERROR(ARRAYFORMULA(REGEXREPLACE(E78, ""("" &amp; TEXTJOIN(""|"", TRUE, FILTER(Q78:Q93, E:E&lt;&gt;"""")) &amp; "")"", 
                     INDEX(R78:R93, MATCH(REGEXEXTRACT(E78:E965, ""("" &amp; TEXTJOIN(""|"", TRUE, FILTER(Q78:Q93, Q78:Q93&lt;&gt;"""")) &amp; "")""), Q78:Q93, 0)"&amp;"))), E78)"),"😍")</f>
        <v>😍</v>
      </c>
      <c r="G78" s="6" t="str">
        <f>IFERROR(__xludf.DUMMYFUNCTION("GOOGLETRANSLATE(F78, ""id"", ""de"")
"),"😍")</f>
        <v>😍</v>
      </c>
      <c r="H78" s="6" t="str">
        <f>IFERROR(__xludf.DUMMYFUNCTION("GOOGLETRANSLATE(G78, ""de"", ""id"")"),"😍")</f>
        <v>😍</v>
      </c>
      <c r="I78" s="6" t="str">
        <f>IFERROR(__xludf.DUMMYFUNCTION("GOOGLETRANSLATE(G78, ""de"", ""en"")"),"😍")</f>
        <v>😍</v>
      </c>
      <c r="J78" s="6" t="str">
        <f>IFERROR(__xludf.DUMMYFUNCTION("GOOGLETRANSLATE(I78, ""en"", ""id"")"),"😍")</f>
        <v>😍</v>
      </c>
      <c r="K78" s="6" t="str">
        <f>IFERROR(__xludf.DUMMYFUNCTION("GOOGLETRANSLATE(F78, ""id"", ""en"")"),"😍")</f>
        <v>😍</v>
      </c>
      <c r="L78" s="6" t="s">
        <v>194</v>
      </c>
      <c r="M78" s="6" t="str">
        <f>IFERROR(__xludf.DUMMYFUNCTION("GOOGLETRANSLATE(L78, ""en"", ""de"")"),"😍")</f>
        <v>😍</v>
      </c>
      <c r="N78" s="6" t="s">
        <v>194</v>
      </c>
      <c r="O78" s="6" t="str">
        <f>IFERROR(__xludf.DUMMYFUNCTION("GOOGLETRANSLATE(N78, ""de"", ""id"")"),"😍")</f>
        <v>😍</v>
      </c>
    </row>
    <row r="79">
      <c r="A79" s="1" t="s">
        <v>17</v>
      </c>
      <c r="B79" s="1" t="s">
        <v>96</v>
      </c>
      <c r="C79" s="15" t="s">
        <v>256</v>
      </c>
      <c r="D79" s="4" t="s">
        <v>174</v>
      </c>
      <c r="E79" s="15" t="s">
        <v>257</v>
      </c>
      <c r="F79" s="6" t="str">
        <f>IFERROR(__xludf.DUMMYFUNCTION("IFERROR(ARRAYFORMULA(REGEXREPLACE(E79, ""("" &amp; TEXTJOIN(""|"", TRUE, FILTER(Q79:Q94, E:E&lt;&gt;"""")) &amp; "")"", 
                     INDEX(R79:R94, MATCH(REGEXEXTRACT(E79:E965, ""("" &amp; TEXTJOIN(""|"", TRUE, FILTER(Q79:Q94, Q79:Q94&lt;&gt;"""")) &amp; "")""), Q79:Q94, 0)"&amp;"))), E79)"),"Nice 🔥🔥")</f>
        <v>Nice 🔥🔥</v>
      </c>
      <c r="G79" s="6" t="str">
        <f>IFERROR(__xludf.DUMMYFUNCTION("GOOGLETRANSLATE(F79, ""id"", ""de"")
"),"Schön 🔥🔥")</f>
        <v>Schön 🔥🔥</v>
      </c>
      <c r="H79" s="6" t="str">
        <f>IFERROR(__xludf.DUMMYFUNCTION("GOOGLETRANSLATE(G79, ""de"", ""id"")"),"Bagus 🔥🔥")</f>
        <v>Bagus 🔥🔥</v>
      </c>
      <c r="I79" s="6" t="str">
        <f>IFERROR(__xludf.DUMMYFUNCTION("GOOGLETRANSLATE(G79, ""de"", ""en"")"),"Nice 🔥🔥")</f>
        <v>Nice 🔥🔥</v>
      </c>
      <c r="J79" s="6" t="str">
        <f>IFERROR(__xludf.DUMMYFUNCTION("GOOGLETRANSLATE(I79, ""en"", ""id"")"),"Bagus 🔥🔥")</f>
        <v>Bagus 🔥🔥</v>
      </c>
      <c r="K79" s="6" t="str">
        <f>IFERROR(__xludf.DUMMYFUNCTION("GOOGLETRANSLATE(F79, ""id"", ""en"")"),"Nice 🔥🔥")</f>
        <v>Nice 🔥🔥</v>
      </c>
      <c r="L79" s="6" t="s">
        <v>257</v>
      </c>
      <c r="M79" s="6" t="str">
        <f>IFERROR(__xludf.DUMMYFUNCTION("GOOGLETRANSLATE(L79, ""en"", ""de"")"),"Schön 🔥🔥")</f>
        <v>Schön 🔥🔥</v>
      </c>
      <c r="N79" s="6" t="s">
        <v>258</v>
      </c>
      <c r="O79" s="6" t="str">
        <f>IFERROR(__xludf.DUMMYFUNCTION("GOOGLETRANSLATE(N79, ""de"", ""id"")"),"Bagus 🔥🔥")</f>
        <v>Bagus 🔥🔥</v>
      </c>
    </row>
    <row r="80">
      <c r="A80" s="1" t="s">
        <v>17</v>
      </c>
      <c r="B80" s="1" t="s">
        <v>96</v>
      </c>
      <c r="C80" s="15" t="s">
        <v>259</v>
      </c>
      <c r="D80" s="4" t="s">
        <v>174</v>
      </c>
      <c r="E80" s="15" t="s">
        <v>260</v>
      </c>
      <c r="F80" s="6" t="str">
        <f>IFERROR(__xludf.DUMMYFUNCTION("IFERROR(ARRAYFORMULA(REGEXREPLACE(E80, ""("" &amp; TEXTJOIN(""|"", TRUE, FILTER(Q80:Q95, E:E&lt;&gt;"""")) &amp; "")"", 
                     INDEX(R80:R95, MATCH(REGEXEXTRACT(E80:E965, ""("" &amp; TEXTJOIN(""|"", TRUE, FILTER(Q80:Q95, Q80:Q95&lt;&gt;"""")) &amp; "")""), Q80:Q95, 0)"&amp;"))), E80)"),"😢🔥")</f>
        <v>😢🔥</v>
      </c>
      <c r="G80" s="6" t="str">
        <f>IFERROR(__xludf.DUMMYFUNCTION("GOOGLETRANSLATE(F80, ""id"", ""de"")
"),"😢🔥")</f>
        <v>😢🔥</v>
      </c>
      <c r="H80" s="6" t="str">
        <f>IFERROR(__xludf.DUMMYFUNCTION("GOOGLETRANSLATE(G80, ""de"", ""id"")"),"😢🔥")</f>
        <v>😢🔥</v>
      </c>
      <c r="I80" s="6" t="str">
        <f>IFERROR(__xludf.DUMMYFUNCTION("GOOGLETRANSLATE(G80, ""de"", ""en"")"),"😢🔥")</f>
        <v>😢🔥</v>
      </c>
      <c r="J80" s="6" t="str">
        <f>IFERROR(__xludf.DUMMYFUNCTION("GOOGLETRANSLATE(I80, ""en"", ""id"")"),"😢🔥")</f>
        <v>😢🔥</v>
      </c>
      <c r="K80" s="6" t="str">
        <f>IFERROR(__xludf.DUMMYFUNCTION("GOOGLETRANSLATE(F80, ""id"", ""en"")"),"😢🔥")</f>
        <v>😢🔥</v>
      </c>
      <c r="L80" s="6" t="s">
        <v>260</v>
      </c>
      <c r="M80" s="6" t="str">
        <f>IFERROR(__xludf.DUMMYFUNCTION("GOOGLETRANSLATE(L80, ""en"", ""de"")"),"😢🔥")</f>
        <v>😢🔥</v>
      </c>
      <c r="N80" s="6" t="s">
        <v>260</v>
      </c>
      <c r="O80" s="6" t="str">
        <f>IFERROR(__xludf.DUMMYFUNCTION("GOOGLETRANSLATE(N80, ""de"", ""id"")"),"😢🔥")</f>
        <v>😢🔥</v>
      </c>
    </row>
    <row r="81">
      <c r="A81" s="1" t="s">
        <v>17</v>
      </c>
      <c r="B81" s="1" t="s">
        <v>96</v>
      </c>
      <c r="C81" s="15" t="s">
        <v>261</v>
      </c>
      <c r="D81" s="4" t="s">
        <v>174</v>
      </c>
      <c r="E81" s="15" t="s">
        <v>204</v>
      </c>
      <c r="F81" s="6" t="str">
        <f>IFERROR(__xludf.DUMMYFUNCTION("IFERROR(ARRAYFORMULA(REGEXREPLACE(E81, ""("" &amp; TEXTJOIN(""|"", TRUE, FILTER(Q81:Q96, E:E&lt;&gt;"""")) &amp; "")"", 
                     INDEX(R81:R96, MATCH(REGEXEXTRACT(E81:E965, ""("" &amp; TEXTJOIN(""|"", TRUE, FILTER(Q81:Q96, Q81:Q96&lt;&gt;"""")) &amp; "")""), Q81:Q96, 0)"&amp;"))), E81)"),"🔥🔥")</f>
        <v>🔥🔥</v>
      </c>
      <c r="G81" s="6" t="str">
        <f>IFERROR(__xludf.DUMMYFUNCTION("GOOGLETRANSLATE(F81, ""id"", ""de"")
"),"🔥🔥")</f>
        <v>🔥🔥</v>
      </c>
      <c r="H81" s="6" t="str">
        <f>IFERROR(__xludf.DUMMYFUNCTION("GOOGLETRANSLATE(G81, ""de"", ""id"")"),"🔥🔥")</f>
        <v>🔥🔥</v>
      </c>
      <c r="I81" s="6" t="str">
        <f>IFERROR(__xludf.DUMMYFUNCTION("GOOGLETRANSLATE(G81, ""de"", ""en"")"),"🔥🔥")</f>
        <v>🔥🔥</v>
      </c>
      <c r="J81" s="6" t="str">
        <f>IFERROR(__xludf.DUMMYFUNCTION("GOOGLETRANSLATE(I81, ""en"", ""id"")"),"🔥🔥")</f>
        <v>🔥🔥</v>
      </c>
      <c r="K81" s="6" t="str">
        <f>IFERROR(__xludf.DUMMYFUNCTION("GOOGLETRANSLATE(F81, ""id"", ""en"")"),"🔥🔥")</f>
        <v>🔥🔥</v>
      </c>
      <c r="L81" s="6" t="s">
        <v>204</v>
      </c>
      <c r="M81" s="6" t="str">
        <f>IFERROR(__xludf.DUMMYFUNCTION("GOOGLETRANSLATE(L81, ""en"", ""de"")"),"🔥🔥")</f>
        <v>🔥🔥</v>
      </c>
      <c r="N81" s="6" t="s">
        <v>204</v>
      </c>
      <c r="O81" s="6" t="str">
        <f>IFERROR(__xludf.DUMMYFUNCTION("GOOGLETRANSLATE(N81, ""de"", ""id"")"),"🔥🔥")</f>
        <v>🔥🔥</v>
      </c>
    </row>
    <row r="82">
      <c r="A82" s="1" t="s">
        <v>17</v>
      </c>
      <c r="B82" s="1" t="s">
        <v>96</v>
      </c>
      <c r="C82" s="15" t="s">
        <v>262</v>
      </c>
      <c r="D82" s="4" t="s">
        <v>174</v>
      </c>
      <c r="E82" s="15" t="s">
        <v>263</v>
      </c>
      <c r="F82" s="6" t="str">
        <f>IFERROR(__xludf.DUMMYFUNCTION("IFERROR(ARRAYFORMULA(REGEXREPLACE(E82, ""("" &amp; TEXTJOIN(""|"", TRUE, FILTER(Q82:Q97, E:E&lt;&gt;"""")) &amp; "")"", 
                     INDEX(R82:R97, MATCH(REGEXEXTRACT(E82:E965, ""("" &amp; TEXTJOIN(""|"", TRUE, FILTER(Q82:Q97, Q82:Q97&lt;&gt;"""")) &amp; "")""), Q82:Q97, 0)"&amp;"))), E82)"),"Menyala mantap🔥🔥")</f>
        <v>Menyala mantap🔥🔥</v>
      </c>
      <c r="G82" s="6" t="str">
        <f>IFERROR(__xludf.DUMMYFUNCTION("GOOGLETRANSLATE(F82, ""id"", ""de"")
"),"Lässt sich großartig anmachen🔥🔥")</f>
        <v>Lässt sich großartig anmachen🔥🔥</v>
      </c>
      <c r="H82" s="6" t="str">
        <f>IFERROR(__xludf.DUMMYFUNCTION("GOOGLETRANSLATE(G82, ""de"", ""id"")"),"Senang untuk dihidupkan🔥🔥")</f>
        <v>Senang untuk dihidupkan🔥🔥</v>
      </c>
      <c r="I82" s="6" t="str">
        <f>IFERROR(__xludf.DUMMYFUNCTION("GOOGLETRANSLATE(G82, ""de"", ""en"")"),"Great to turn on🔥🔥")</f>
        <v>Great to turn on🔥🔥</v>
      </c>
      <c r="J82" s="6" t="str">
        <f>IFERROR(__xludf.DUMMYFUNCTION("GOOGLETRANSLATE(I82, ""en"", ""id"")"),"Senang untuk dihidupkan🔥🔥")</f>
        <v>Senang untuk dihidupkan🔥🔥</v>
      </c>
      <c r="K82" s="6" t="str">
        <f>IFERROR(__xludf.DUMMYFUNCTION("GOOGLETRANSLATE(F82, ""id"", ""en"")"),"Turns on great🔥🔥")</f>
        <v>Turns on great🔥🔥</v>
      </c>
      <c r="L82" s="6" t="s">
        <v>264</v>
      </c>
      <c r="M82" s="6" t="str">
        <f>IFERROR(__xludf.DUMMYFUNCTION("GOOGLETRANSLATE(L82, ""en"", ""de"")"),"Lässt sich großartig anmachen🔥🔥")</f>
        <v>Lässt sich großartig anmachen🔥🔥</v>
      </c>
      <c r="N82" s="6" t="s">
        <v>265</v>
      </c>
      <c r="O82" s="6" t="str">
        <f>IFERROR(__xludf.DUMMYFUNCTION("GOOGLETRANSLATE(N82, ""de"", ""id"")"),"Senang untuk dihidupkan🔥🔥")</f>
        <v>Senang untuk dihidupkan🔥🔥</v>
      </c>
    </row>
    <row r="83">
      <c r="A83" s="1" t="s">
        <v>17</v>
      </c>
      <c r="B83" s="1" t="s">
        <v>96</v>
      </c>
      <c r="C83" s="15" t="s">
        <v>266</v>
      </c>
      <c r="D83" s="4" t="s">
        <v>174</v>
      </c>
      <c r="E83" s="15" t="s">
        <v>267</v>
      </c>
      <c r="F83" s="6" t="str">
        <f>IFERROR(__xludf.DUMMYFUNCTION("IFERROR(ARRAYFORMULA(REGEXREPLACE(E83, ""("" &amp; TEXTJOIN(""|"", TRUE, FILTER(Q83:Q98, E:E&lt;&gt;"""")) &amp; "")"", 
                     INDEX(R83:R98, MATCH(REGEXEXTRACT(E83:E965, ""("" &amp; TEXTJOIN(""|"", TRUE, FILTER(Q83:Q98, Q83:Q98&lt;&gt;"""")) &amp; "")""), Q83:Q98, 0)"&amp;"))), E83)"),"❤️👏😍")</f>
        <v>❤️👏😍</v>
      </c>
      <c r="G83" s="6" t="str">
        <f>IFERROR(__xludf.DUMMYFUNCTION("GOOGLETRANSLATE(F83, ""id"", ""de"")
"),"❤️👏😍")</f>
        <v>❤️👏😍</v>
      </c>
      <c r="H83" s="6" t="str">
        <f>IFERROR(__xludf.DUMMYFUNCTION("GOOGLETRANSLATE(G83, ""de"", ""id"")"),"❤️👏😍")</f>
        <v>❤️👏😍</v>
      </c>
      <c r="I83" s="6" t="str">
        <f>IFERROR(__xludf.DUMMYFUNCTION("GOOGLETRANSLATE(G83, ""de"", ""en"")"),"❤️👏😍")</f>
        <v>❤️👏😍</v>
      </c>
      <c r="J83" s="6" t="str">
        <f>IFERROR(__xludf.DUMMYFUNCTION("GOOGLETRANSLATE(I83, ""en"", ""id"")"),"❤️👏😍")</f>
        <v>❤️👏😍</v>
      </c>
      <c r="K83" s="6" t="str">
        <f>IFERROR(__xludf.DUMMYFUNCTION("GOOGLETRANSLATE(F83, ""id"", ""en"")"),"❤️👏😍")</f>
        <v>❤️👏😍</v>
      </c>
      <c r="L83" s="6" t="s">
        <v>267</v>
      </c>
      <c r="M83" s="6" t="str">
        <f>IFERROR(__xludf.DUMMYFUNCTION("GOOGLETRANSLATE(L83, ""en"", ""de"")"),"❤️👏😍")</f>
        <v>❤️👏😍</v>
      </c>
      <c r="N83" s="6" t="s">
        <v>267</v>
      </c>
      <c r="O83" s="6" t="str">
        <f>IFERROR(__xludf.DUMMYFUNCTION("GOOGLETRANSLATE(N83, ""de"", ""id"")"),"❤️👏😍")</f>
        <v>❤️👏😍</v>
      </c>
    </row>
    <row r="84">
      <c r="A84" s="1" t="s">
        <v>17</v>
      </c>
      <c r="B84" s="1" t="s">
        <v>96</v>
      </c>
      <c r="C84" s="15" t="s">
        <v>268</v>
      </c>
      <c r="D84" s="4" t="s">
        <v>174</v>
      </c>
      <c r="E84" s="15" t="s">
        <v>121</v>
      </c>
      <c r="F84" s="6" t="str">
        <f>IFERROR(__xludf.DUMMYFUNCTION("IFERROR(ARRAYFORMULA(REGEXREPLACE(E84, ""("" &amp; TEXTJOIN(""|"", TRUE, FILTER(Q84:Q99, E:E&lt;&gt;"""")) &amp; "")"", 
                     INDEX(R84:R99, MATCH(REGEXEXTRACT(E84:E965, ""("" &amp; TEXTJOIN(""|"", TRUE, FILTER(Q84:Q99, Q84:Q99&lt;&gt;"""")) &amp; "")""), Q84:Q99, 0)"&amp;"))), E84)"),"😍😍")</f>
        <v>😍😍</v>
      </c>
      <c r="G84" s="6" t="str">
        <f>IFERROR(__xludf.DUMMYFUNCTION("GOOGLETRANSLATE(F84, ""id"", ""de"")
"),"😍😍")</f>
        <v>😍😍</v>
      </c>
      <c r="H84" s="6" t="str">
        <f>IFERROR(__xludf.DUMMYFUNCTION("GOOGLETRANSLATE(G84, ""de"", ""id"")"),"😍😍")</f>
        <v>😍😍</v>
      </c>
      <c r="I84" s="6" t="str">
        <f>IFERROR(__xludf.DUMMYFUNCTION("GOOGLETRANSLATE(G84, ""de"", ""en"")"),"😍😍")</f>
        <v>😍😍</v>
      </c>
      <c r="J84" s="6" t="str">
        <f>IFERROR(__xludf.DUMMYFUNCTION("GOOGLETRANSLATE(I84, ""en"", ""id"")"),"😍😍")</f>
        <v>😍😍</v>
      </c>
      <c r="K84" s="6" t="str">
        <f>IFERROR(__xludf.DUMMYFUNCTION("GOOGLETRANSLATE(F84, ""id"", ""en"")"),"😍😍")</f>
        <v>😍😍</v>
      </c>
      <c r="L84" s="6" t="s">
        <v>121</v>
      </c>
      <c r="M84" s="6" t="str">
        <f>IFERROR(__xludf.DUMMYFUNCTION("GOOGLETRANSLATE(L84, ""en"", ""de"")"),"😍😍")</f>
        <v>😍😍</v>
      </c>
      <c r="N84" s="6" t="s">
        <v>121</v>
      </c>
      <c r="O84" s="6" t="str">
        <f>IFERROR(__xludf.DUMMYFUNCTION("GOOGLETRANSLATE(N84, ""de"", ""id"")"),"😍😍")</f>
        <v>😍😍</v>
      </c>
    </row>
    <row r="85">
      <c r="A85" s="1" t="s">
        <v>17</v>
      </c>
      <c r="B85" s="1" t="s">
        <v>96</v>
      </c>
      <c r="C85" s="15" t="s">
        <v>220</v>
      </c>
      <c r="D85" s="4" t="s">
        <v>174</v>
      </c>
      <c r="E85" s="15" t="s">
        <v>269</v>
      </c>
      <c r="F85" s="6" t="str">
        <f>IFERROR(__xludf.DUMMYFUNCTION("IFERROR(ARRAYFORMULA(REGEXREPLACE(E85, ""("" &amp; TEXTJOIN(""|"", TRUE, FILTER(Q85:Q100, E:E&lt;&gt;"""")) &amp; "")"", 
                     INDEX(R85:R100, MATCH(REGEXEXTRACT(E85:E965, ""("" &amp; TEXTJOIN(""|"", TRUE, FILTER(Q85:Q100, Q85:Q100&lt;&gt;"""")) &amp; "")""), Q85:Q10"&amp;"0, 0)))), E85)"),"🔥❤️")</f>
        <v>🔥❤️</v>
      </c>
      <c r="G85" s="6" t="str">
        <f>IFERROR(__xludf.DUMMYFUNCTION("GOOGLETRANSLATE(F85, ""id"", ""de"")
"),"🔥❤️")</f>
        <v>🔥❤️</v>
      </c>
      <c r="H85" s="6" t="str">
        <f>IFERROR(__xludf.DUMMYFUNCTION("GOOGLETRANSLATE(G85, ""de"", ""id"")"),"🔥❤️")</f>
        <v>🔥❤️</v>
      </c>
      <c r="I85" s="6" t="str">
        <f>IFERROR(__xludf.DUMMYFUNCTION("GOOGLETRANSLATE(G85, ""de"", ""en"")"),"🔥❤️")</f>
        <v>🔥❤️</v>
      </c>
      <c r="J85" s="6" t="str">
        <f>IFERROR(__xludf.DUMMYFUNCTION("GOOGLETRANSLATE(I85, ""en"", ""id"")"),"🔥❤️")</f>
        <v>🔥❤️</v>
      </c>
      <c r="K85" s="6" t="str">
        <f>IFERROR(__xludf.DUMMYFUNCTION("GOOGLETRANSLATE(F85, ""id"", ""en"")"),"🔥❤️")</f>
        <v>🔥❤️</v>
      </c>
      <c r="L85" s="6" t="s">
        <v>269</v>
      </c>
      <c r="M85" s="6" t="str">
        <f>IFERROR(__xludf.DUMMYFUNCTION("GOOGLETRANSLATE(L85, ""en"", ""de"")"),"🔥❤️")</f>
        <v>🔥❤️</v>
      </c>
      <c r="N85" s="6" t="s">
        <v>269</v>
      </c>
      <c r="O85" s="6" t="str">
        <f>IFERROR(__xludf.DUMMYFUNCTION("GOOGLETRANSLATE(N85, ""de"", ""id"")"),"🔥❤️")</f>
        <v>🔥❤️</v>
      </c>
    </row>
    <row r="86">
      <c r="A86" s="1" t="s">
        <v>17</v>
      </c>
      <c r="B86" s="1" t="s">
        <v>96</v>
      </c>
      <c r="C86" s="15" t="s">
        <v>270</v>
      </c>
      <c r="D86" s="4" t="s">
        <v>174</v>
      </c>
      <c r="E86" s="15" t="s">
        <v>119</v>
      </c>
      <c r="F86" s="6" t="str">
        <f>IFERROR(__xludf.DUMMYFUNCTION("IFERROR(ARRAYFORMULA(REGEXREPLACE(E86, ""("" &amp; TEXTJOIN(""|"", TRUE, FILTER(Q86:Q101, E:E&lt;&gt;"""")) &amp; "")"", 
                     INDEX(R86:R101, MATCH(REGEXEXTRACT(E86:E965, ""("" &amp; TEXTJOIN(""|"", TRUE, FILTER(Q86:Q101, Q86:Q101&lt;&gt;"""")) &amp; "")""), Q86:Q10"&amp;"1, 0)))), E86)"),"🔥🔥🔥🔥")</f>
        <v>🔥🔥🔥🔥</v>
      </c>
      <c r="G86" s="6" t="str">
        <f>IFERROR(__xludf.DUMMYFUNCTION("GOOGLETRANSLATE(F86, ""id"", ""de"")
"),"🔥🔥🔥🔥")</f>
        <v>🔥🔥🔥🔥</v>
      </c>
      <c r="H86" s="6" t="str">
        <f>IFERROR(__xludf.DUMMYFUNCTION("GOOGLETRANSLATE(G86, ""de"", ""id"")"),"🔥🔥🔥🔥")</f>
        <v>🔥🔥🔥🔥</v>
      </c>
      <c r="I86" s="6" t="str">
        <f>IFERROR(__xludf.DUMMYFUNCTION("GOOGLETRANSLATE(G86, ""de"", ""en"")"),"🔥🔥🔥🔥")</f>
        <v>🔥🔥🔥🔥</v>
      </c>
      <c r="J86" s="6" t="str">
        <f>IFERROR(__xludf.DUMMYFUNCTION("GOOGLETRANSLATE(I86, ""en"", ""id"")"),"🔥🔥🔥🔥")</f>
        <v>🔥🔥🔥🔥</v>
      </c>
      <c r="K86" s="6" t="str">
        <f>IFERROR(__xludf.DUMMYFUNCTION("GOOGLETRANSLATE(F86, ""id"", ""en"")"),"🔥🔥🔥🔥")</f>
        <v>🔥🔥🔥🔥</v>
      </c>
      <c r="L86" s="6" t="s">
        <v>119</v>
      </c>
      <c r="M86" s="6" t="str">
        <f>IFERROR(__xludf.DUMMYFUNCTION("GOOGLETRANSLATE(L86, ""en"", ""de"")"),"🔥🔥🔥🔥")</f>
        <v>🔥🔥🔥🔥</v>
      </c>
      <c r="N86" s="6" t="s">
        <v>119</v>
      </c>
      <c r="O86" s="6" t="str">
        <f>IFERROR(__xludf.DUMMYFUNCTION("GOOGLETRANSLATE(N86, ""de"", ""id"")"),"🔥🔥🔥🔥")</f>
        <v>🔥🔥🔥🔥</v>
      </c>
    </row>
    <row r="87">
      <c r="A87" s="1" t="s">
        <v>17</v>
      </c>
      <c r="B87" s="1" t="s">
        <v>96</v>
      </c>
      <c r="C87" s="15" t="s">
        <v>271</v>
      </c>
      <c r="D87" s="4" t="s">
        <v>174</v>
      </c>
      <c r="E87" s="15" t="s">
        <v>198</v>
      </c>
      <c r="F87" s="6" t="str">
        <f>IFERROR(__xludf.DUMMYFUNCTION("IFERROR(ARRAYFORMULA(REGEXREPLACE(E87, ""("" &amp; TEXTJOIN(""|"", TRUE, FILTER(Q87:Q102, E:E&lt;&gt;"""")) &amp; "")"", 
                     INDEX(R87:R102, MATCH(REGEXEXTRACT(E87:E965, ""("" &amp; TEXTJOIN(""|"", TRUE, FILTER(Q87:Q102, Q87:Q102&lt;&gt;"""")) &amp; "")""), Q87:Q10"&amp;"2, 0)))), E87)"),"❤️❤️")</f>
        <v>❤️❤️</v>
      </c>
      <c r="G87" s="6" t="str">
        <f>IFERROR(__xludf.DUMMYFUNCTION("GOOGLETRANSLATE(F87, ""id"", ""de"")
"),"❤️❤️")</f>
        <v>❤️❤️</v>
      </c>
      <c r="H87" s="6" t="str">
        <f>IFERROR(__xludf.DUMMYFUNCTION("GOOGLETRANSLATE(G87, ""de"", ""id"")"),"❤️❤️")</f>
        <v>❤️❤️</v>
      </c>
      <c r="I87" s="6" t="str">
        <f>IFERROR(__xludf.DUMMYFUNCTION("GOOGLETRANSLATE(G87, ""de"", ""en"")"),"❤️❤️")</f>
        <v>❤️❤️</v>
      </c>
      <c r="J87" s="6" t="str">
        <f>IFERROR(__xludf.DUMMYFUNCTION("GOOGLETRANSLATE(I87, ""en"", ""id"")"),"❤️❤️")</f>
        <v>❤️❤️</v>
      </c>
      <c r="K87" s="6" t="str">
        <f>IFERROR(__xludf.DUMMYFUNCTION("GOOGLETRANSLATE(F87, ""id"", ""en"")"),"❤️❤️")</f>
        <v>❤️❤️</v>
      </c>
      <c r="L87" s="6" t="s">
        <v>198</v>
      </c>
      <c r="M87" s="6" t="str">
        <f>IFERROR(__xludf.DUMMYFUNCTION("GOOGLETRANSLATE(L87, ""en"", ""de"")"),"❤️❤️")</f>
        <v>❤️❤️</v>
      </c>
      <c r="N87" s="6" t="s">
        <v>198</v>
      </c>
      <c r="O87" s="6" t="str">
        <f>IFERROR(__xludf.DUMMYFUNCTION("GOOGLETRANSLATE(N87, ""de"", ""id"")"),"❤️❤️")</f>
        <v>❤️❤️</v>
      </c>
    </row>
    <row r="88">
      <c r="A88" s="1" t="s">
        <v>17</v>
      </c>
      <c r="B88" s="1" t="s">
        <v>96</v>
      </c>
      <c r="C88" s="15" t="s">
        <v>272</v>
      </c>
      <c r="D88" s="4" t="s">
        <v>174</v>
      </c>
      <c r="E88" s="1" t="s">
        <v>273</v>
      </c>
      <c r="F88" s="6" t="str">
        <f>IFERROR(__xludf.DUMMYFUNCTION("IFERROR(ARRAYFORMULA(REGEXREPLACE(E88, ""("" &amp; TEXTJOIN(""|"", TRUE, FILTER(Q88:Q103, E:E&lt;&gt;"""")) &amp; "")"", 
                     INDEX(R88:R103, MATCH(REGEXEXTRACT(E88:E965, ""("" &amp; TEXTJOIN(""|"", TRUE, FILTER(Q88:Q103, Q88:Q103&lt;&gt;"""")) &amp; "")""), Q88:Q10"&amp;"3, 0)))), E88)"),"sial malah gua hampir sedih lihat lu puk di sorakin 😂")</f>
        <v>sial malah gua hampir sedih lihat lu puk di sorakin 😂</v>
      </c>
      <c r="G88" s="6" t="str">
        <f>IFERROR(__xludf.DUMMYFUNCTION("GOOGLETRANSLATE(F88, ""id"", ""de"")
"),"Verdammt, ich bin fast traurig zu sehen, wie du angefeuert wirst 😂")</f>
        <v>Verdammt, ich bin fast traurig zu sehen, wie du angefeuert wirst 😂</v>
      </c>
      <c r="H88" s="6" t="str">
        <f>IFERROR(__xludf.DUMMYFUNCTION("GOOGLETRANSLATE(G88, ""de"", ""id"")"),"Sial, aku hampir sedih melihatmu disemangati 😂")</f>
        <v>Sial, aku hampir sedih melihatmu disemangati 😂</v>
      </c>
      <c r="I88" s="6" t="str">
        <f>IFERROR(__xludf.DUMMYFUNCTION("GOOGLETRANSLATE(G88, ""de"", ""en"")"),"Damn, I'm almost sad to see you getting cheered on 😂")</f>
        <v>Damn, I'm almost sad to see you getting cheered on 😂</v>
      </c>
      <c r="J88" s="6" t="str">
        <f>IFERROR(__xludf.DUMMYFUNCTION("GOOGLETRANSLATE(I88, ""en"", ""id"")"),"Sial, aku hampir sedih melihatmu disemangati 😂")</f>
        <v>Sial, aku hampir sedih melihatmu disemangati 😂</v>
      </c>
      <c r="K88" s="6" t="str">
        <f>IFERROR(__xludf.DUMMYFUNCTION("GOOGLETRANSLATE(F88, ""id"", ""en"")"),"Damn, I'm almost sad to see you being cheered 😂")</f>
        <v>Damn, I'm almost sad to see you being cheered 😂</v>
      </c>
      <c r="L88" s="6" t="s">
        <v>274</v>
      </c>
      <c r="M88" s="6" t="str">
        <f>IFERROR(__xludf.DUMMYFUNCTION("GOOGLETRANSLATE(L88, ""en"", ""de"")"),"Verdammt, ich bin fast traurig zu sehen, wie du angefeuert wirst 😂")</f>
        <v>Verdammt, ich bin fast traurig zu sehen, wie du angefeuert wirst 😂</v>
      </c>
      <c r="N88" s="6" t="s">
        <v>275</v>
      </c>
      <c r="O88" s="6" t="str">
        <f>IFERROR(__xludf.DUMMYFUNCTION("GOOGLETRANSLATE(N88, ""de"", ""id"")"),"Sial, aku hampir sedih melihatmu disemangati 😂")</f>
        <v>Sial, aku hampir sedih melihatmu disemangati 😂</v>
      </c>
    </row>
    <row r="89">
      <c r="A89" s="1" t="s">
        <v>17</v>
      </c>
      <c r="B89" s="1" t="s">
        <v>96</v>
      </c>
      <c r="C89" s="15" t="s">
        <v>276</v>
      </c>
      <c r="D89" s="4" t="s">
        <v>174</v>
      </c>
      <c r="E89" s="15" t="s">
        <v>277</v>
      </c>
      <c r="F89" s="6" t="str">
        <f>IFERROR(__xludf.DUMMYFUNCTION("IFERROR(ARRAYFORMULA(REGEXREPLACE(E89, ""("" &amp; TEXTJOIN(""|"", TRUE, FILTER(Q89:Q104, E:E&lt;&gt;"""")) &amp; "")"", 
                     INDEX(R89:R104, MATCH(REGEXEXTRACT(E89:E965, ""("" &amp; TEXTJOIN(""|"", TRUE, FILTER(Q89:Q104, Q89:Q104&lt;&gt;"""")) &amp; "")""), Q89:Q10"&amp;"4, 0)))), E89)"),"😍😍😍😍🔥")</f>
        <v>😍😍😍😍🔥</v>
      </c>
      <c r="G89" s="6" t="str">
        <f>IFERROR(__xludf.DUMMYFUNCTION("GOOGLETRANSLATE(F89, ""id"", ""de"")
"),"😍😍😍😍🔥")</f>
        <v>😍😍😍😍🔥</v>
      </c>
      <c r="H89" s="6" t="str">
        <f>IFERROR(__xludf.DUMMYFUNCTION("GOOGLETRANSLATE(G89, ""de"", ""id"")"),"😍😍😍😍🔥")</f>
        <v>😍😍😍😍🔥</v>
      </c>
      <c r="I89" s="6" t="str">
        <f>IFERROR(__xludf.DUMMYFUNCTION("GOOGLETRANSLATE(G89, ""de"", ""en"")"),"😍😍😍😍🔥")</f>
        <v>😍😍😍😍🔥</v>
      </c>
      <c r="J89" s="6" t="str">
        <f>IFERROR(__xludf.DUMMYFUNCTION("GOOGLETRANSLATE(I89, ""en"", ""id"")"),"😍😍😍😍🔥")</f>
        <v>😍😍😍😍🔥</v>
      </c>
      <c r="K89" s="6" t="str">
        <f>IFERROR(__xludf.DUMMYFUNCTION("GOOGLETRANSLATE(F89, ""id"", ""en"")"),"😍😍😍😍🔥")</f>
        <v>😍😍😍😍🔥</v>
      </c>
      <c r="L89" s="6" t="s">
        <v>277</v>
      </c>
      <c r="M89" s="6" t="str">
        <f>IFERROR(__xludf.DUMMYFUNCTION("GOOGLETRANSLATE(L89, ""en"", ""de"")"),"😍😍😍😍🔥")</f>
        <v>😍😍😍😍🔥</v>
      </c>
      <c r="N89" s="6" t="s">
        <v>277</v>
      </c>
      <c r="O89" s="6" t="str">
        <f>IFERROR(__xludf.DUMMYFUNCTION("GOOGLETRANSLATE(N89, ""de"", ""id"")"),"😍😍😍😍🔥")</f>
        <v>😍😍😍😍🔥</v>
      </c>
    </row>
    <row r="90">
      <c r="A90" s="1" t="s">
        <v>17</v>
      </c>
      <c r="B90" s="1" t="s">
        <v>96</v>
      </c>
      <c r="C90" s="15" t="s">
        <v>278</v>
      </c>
      <c r="D90" s="4" t="s">
        <v>174</v>
      </c>
      <c r="E90" s="15" t="s">
        <v>185</v>
      </c>
      <c r="F90" s="6" t="str">
        <f>IFERROR(__xludf.DUMMYFUNCTION("IFERROR(ARRAYFORMULA(REGEXREPLACE(E90, ""("" &amp; TEXTJOIN(""|"", TRUE, FILTER(Q90:Q105, E:E&lt;&gt;"""")) &amp; "")"", 
                     INDEX(R90:R105, MATCH(REGEXEXTRACT(E90:E965, ""("" &amp; TEXTJOIN(""|"", TRUE, FILTER(Q90:Q105, Q90:Q105&lt;&gt;"""")) &amp; "")""), Q90:Q10"&amp;"5, 0)))), E90)"),"❤️")</f>
        <v>❤️</v>
      </c>
      <c r="G90" s="6" t="str">
        <f>IFERROR(__xludf.DUMMYFUNCTION("GOOGLETRANSLATE(F90, ""id"", ""de"")
"),"❤️")</f>
        <v>❤️</v>
      </c>
      <c r="H90" s="6" t="str">
        <f>IFERROR(__xludf.DUMMYFUNCTION("GOOGLETRANSLATE(G90, ""de"", ""id"")"),"❤️")</f>
        <v>❤️</v>
      </c>
      <c r="I90" s="6" t="str">
        <f>IFERROR(__xludf.DUMMYFUNCTION("GOOGLETRANSLATE(G90, ""de"", ""en"")"),"❤️")</f>
        <v>❤️</v>
      </c>
      <c r="J90" s="6" t="str">
        <f>IFERROR(__xludf.DUMMYFUNCTION("GOOGLETRANSLATE(I90, ""en"", ""id"")"),"❤️")</f>
        <v>❤️</v>
      </c>
      <c r="K90" s="6" t="str">
        <f>IFERROR(__xludf.DUMMYFUNCTION("GOOGLETRANSLATE(F90, ""id"", ""en"")"),"❤️")</f>
        <v>❤️</v>
      </c>
      <c r="L90" s="6" t="s">
        <v>185</v>
      </c>
      <c r="M90" s="6" t="str">
        <f>IFERROR(__xludf.DUMMYFUNCTION("GOOGLETRANSLATE(L90, ""en"", ""de"")"),"❤️")</f>
        <v>❤️</v>
      </c>
      <c r="N90" s="6" t="s">
        <v>185</v>
      </c>
      <c r="O90" s="6" t="str">
        <f>IFERROR(__xludf.DUMMYFUNCTION("GOOGLETRANSLATE(N90, ""de"", ""id"")"),"❤️")</f>
        <v>❤️</v>
      </c>
    </row>
    <row r="91">
      <c r="A91" s="1" t="s">
        <v>17</v>
      </c>
      <c r="B91" s="1" t="s">
        <v>96</v>
      </c>
      <c r="C91" s="15" t="s">
        <v>279</v>
      </c>
      <c r="D91" s="4" t="s">
        <v>174</v>
      </c>
      <c r="E91" s="15" t="s">
        <v>204</v>
      </c>
      <c r="F91" s="6" t="str">
        <f>IFERROR(__xludf.DUMMYFUNCTION("IFERROR(ARRAYFORMULA(REGEXREPLACE(E91, ""("" &amp; TEXTJOIN(""|"", TRUE, FILTER(Q91:Q106, E:E&lt;&gt;"""")) &amp; "")"", 
                     INDEX(R91:R106, MATCH(REGEXEXTRACT(E91:E965, ""("" &amp; TEXTJOIN(""|"", TRUE, FILTER(Q91:Q106, Q91:Q106&lt;&gt;"""")) &amp; "")""), Q91:Q10"&amp;"6, 0)))), E91)"),"🔥🔥")</f>
        <v>🔥🔥</v>
      </c>
      <c r="G91" s="6" t="str">
        <f>IFERROR(__xludf.DUMMYFUNCTION("GOOGLETRANSLATE(F91, ""id"", ""de"")
"),"🔥🔥")</f>
        <v>🔥🔥</v>
      </c>
      <c r="H91" s="6" t="str">
        <f>IFERROR(__xludf.DUMMYFUNCTION("GOOGLETRANSLATE(G91, ""de"", ""id"")"),"🔥🔥")</f>
        <v>🔥🔥</v>
      </c>
      <c r="I91" s="6" t="str">
        <f>IFERROR(__xludf.DUMMYFUNCTION("GOOGLETRANSLATE(G91, ""de"", ""en"")"),"🔥🔥")</f>
        <v>🔥🔥</v>
      </c>
      <c r="J91" s="6" t="str">
        <f>IFERROR(__xludf.DUMMYFUNCTION("GOOGLETRANSLATE(I91, ""en"", ""id"")"),"🔥🔥")</f>
        <v>🔥🔥</v>
      </c>
      <c r="K91" s="6" t="str">
        <f>IFERROR(__xludf.DUMMYFUNCTION("GOOGLETRANSLATE(F91, ""id"", ""en"")"),"🔥🔥")</f>
        <v>🔥🔥</v>
      </c>
      <c r="L91" s="6" t="s">
        <v>204</v>
      </c>
      <c r="M91" s="6" t="str">
        <f>IFERROR(__xludf.DUMMYFUNCTION("GOOGLETRANSLATE(L91, ""en"", ""de"")"),"🔥🔥")</f>
        <v>🔥🔥</v>
      </c>
      <c r="N91" s="6" t="s">
        <v>204</v>
      </c>
      <c r="O91" s="6" t="str">
        <f>IFERROR(__xludf.DUMMYFUNCTION("GOOGLETRANSLATE(N91, ""de"", ""id"")"),"🔥🔥")</f>
        <v>🔥🔥</v>
      </c>
    </row>
    <row r="92">
      <c r="A92" s="1" t="s">
        <v>17</v>
      </c>
      <c r="B92" s="1" t="s">
        <v>96</v>
      </c>
      <c r="C92" s="15" t="s">
        <v>280</v>
      </c>
      <c r="D92" s="4" t="s">
        <v>174</v>
      </c>
      <c r="E92" s="15" t="s">
        <v>185</v>
      </c>
      <c r="F92" s="6" t="str">
        <f>IFERROR(__xludf.DUMMYFUNCTION("IFERROR(ARRAYFORMULA(REGEXREPLACE(E92, ""("" &amp; TEXTJOIN(""|"", TRUE, FILTER(Q92:Q107, E:E&lt;&gt;"""")) &amp; "")"", 
                     INDEX(R92:R107, MATCH(REGEXEXTRACT(E92:E965, ""("" &amp; TEXTJOIN(""|"", TRUE, FILTER(Q92:Q107, Q92:Q107&lt;&gt;"""")) &amp; "")""), Q92:Q10"&amp;"7, 0)))), E92)"),"❤️")</f>
        <v>❤️</v>
      </c>
      <c r="G92" s="6" t="str">
        <f>IFERROR(__xludf.DUMMYFUNCTION("GOOGLETRANSLATE(F92, ""id"", ""de"")
"),"❤️")</f>
        <v>❤️</v>
      </c>
      <c r="H92" s="6" t="str">
        <f>IFERROR(__xludf.DUMMYFUNCTION("GOOGLETRANSLATE(G92, ""de"", ""id"")"),"❤️")</f>
        <v>❤️</v>
      </c>
      <c r="I92" s="6" t="str">
        <f>IFERROR(__xludf.DUMMYFUNCTION("GOOGLETRANSLATE(G92, ""de"", ""en"")"),"❤️")</f>
        <v>❤️</v>
      </c>
      <c r="J92" s="6" t="str">
        <f>IFERROR(__xludf.DUMMYFUNCTION("GOOGLETRANSLATE(I92, ""en"", ""id"")"),"❤️")</f>
        <v>❤️</v>
      </c>
      <c r="K92" s="6" t="str">
        <f>IFERROR(__xludf.DUMMYFUNCTION("GOOGLETRANSLATE(F92, ""id"", ""en"")"),"❤️")</f>
        <v>❤️</v>
      </c>
      <c r="L92" s="6" t="s">
        <v>185</v>
      </c>
      <c r="M92" s="6" t="str">
        <f>IFERROR(__xludf.DUMMYFUNCTION("GOOGLETRANSLATE(L92, ""en"", ""de"")"),"❤️")</f>
        <v>❤️</v>
      </c>
      <c r="N92" s="6" t="s">
        <v>185</v>
      </c>
      <c r="O92" s="6" t="str">
        <f>IFERROR(__xludf.DUMMYFUNCTION("GOOGLETRANSLATE(N92, ""de"", ""id"")"),"❤️")</f>
        <v>❤️</v>
      </c>
    </row>
    <row r="93">
      <c r="A93" s="1" t="s">
        <v>17</v>
      </c>
      <c r="B93" s="1" t="s">
        <v>96</v>
      </c>
      <c r="C93" s="15" t="s">
        <v>281</v>
      </c>
      <c r="D93" s="4" t="s">
        <v>174</v>
      </c>
      <c r="E93" s="15" t="s">
        <v>185</v>
      </c>
      <c r="F93" s="6" t="str">
        <f>IFERROR(__xludf.DUMMYFUNCTION("IFERROR(ARRAYFORMULA(REGEXREPLACE(E93, ""("" &amp; TEXTJOIN(""|"", TRUE, FILTER(Q93:Q108, E:E&lt;&gt;"""")) &amp; "")"", 
                     INDEX(R93:R108, MATCH(REGEXEXTRACT(E93:E965, ""("" &amp; TEXTJOIN(""|"", TRUE, FILTER(Q93:Q108, Q93:Q108&lt;&gt;"""")) &amp; "")""), Q93:Q10"&amp;"8, 0)))), E93)"),"❤️")</f>
        <v>❤️</v>
      </c>
      <c r="G93" s="6" t="str">
        <f>IFERROR(__xludf.DUMMYFUNCTION("GOOGLETRANSLATE(F93, ""id"", ""de"")
"),"❤️")</f>
        <v>❤️</v>
      </c>
      <c r="H93" s="6" t="str">
        <f>IFERROR(__xludf.DUMMYFUNCTION("GOOGLETRANSLATE(G93, ""de"", ""id"")"),"❤️")</f>
        <v>❤️</v>
      </c>
      <c r="I93" s="6" t="str">
        <f>IFERROR(__xludf.DUMMYFUNCTION("GOOGLETRANSLATE(G93, ""de"", ""en"")"),"❤️")</f>
        <v>❤️</v>
      </c>
      <c r="J93" s="6" t="str">
        <f>IFERROR(__xludf.DUMMYFUNCTION("GOOGLETRANSLATE(I93, ""en"", ""id"")"),"❤️")</f>
        <v>❤️</v>
      </c>
      <c r="K93" s="6" t="str">
        <f>IFERROR(__xludf.DUMMYFUNCTION("GOOGLETRANSLATE(F93, ""id"", ""en"")"),"❤️")</f>
        <v>❤️</v>
      </c>
      <c r="L93" s="6" t="s">
        <v>185</v>
      </c>
      <c r="M93" s="6" t="str">
        <f>IFERROR(__xludf.DUMMYFUNCTION("GOOGLETRANSLATE(L93, ""en"", ""de"")"),"❤️")</f>
        <v>❤️</v>
      </c>
      <c r="N93" s="6" t="s">
        <v>185</v>
      </c>
      <c r="O93" s="6" t="str">
        <f>IFERROR(__xludf.DUMMYFUNCTION("GOOGLETRANSLATE(N93, ""de"", ""id"")"),"❤️")</f>
        <v>❤️</v>
      </c>
    </row>
    <row r="94">
      <c r="A94" s="1" t="s">
        <v>17</v>
      </c>
      <c r="B94" s="1" t="s">
        <v>96</v>
      </c>
      <c r="C94" s="15" t="s">
        <v>282</v>
      </c>
      <c r="D94" s="4" t="s">
        <v>174</v>
      </c>
      <c r="E94" s="15" t="s">
        <v>191</v>
      </c>
      <c r="F94" s="6" t="str">
        <f>IFERROR(__xludf.DUMMYFUNCTION("IFERROR(ARRAYFORMULA(REGEXREPLACE(E94, ""("" &amp; TEXTJOIN(""|"", TRUE, FILTER(Q94:Q109, E:E&lt;&gt;"""")) &amp; "")"", 
                     INDEX(R94:R109, MATCH(REGEXEXTRACT(E94:E965, ""("" &amp; TEXTJOIN(""|"", TRUE, FILTER(Q94:Q109, Q94:Q109&lt;&gt;"""")) &amp; "")""), Q94:Q10"&amp;"9, 0)))), E94)"),"😍😍😍")</f>
        <v>😍😍😍</v>
      </c>
      <c r="G94" s="6" t="str">
        <f>IFERROR(__xludf.DUMMYFUNCTION("GOOGLETRANSLATE(F94, ""id"", ""de"")
"),"😍😍😍")</f>
        <v>😍😍😍</v>
      </c>
      <c r="H94" s="6" t="str">
        <f>IFERROR(__xludf.DUMMYFUNCTION("GOOGLETRANSLATE(G94, ""de"", ""id"")"),"😍😍😍")</f>
        <v>😍😍😍</v>
      </c>
      <c r="I94" s="6" t="str">
        <f>IFERROR(__xludf.DUMMYFUNCTION("GOOGLETRANSLATE(G94, ""de"", ""en"")"),"😍😍😍")</f>
        <v>😍😍😍</v>
      </c>
      <c r="J94" s="6" t="str">
        <f>IFERROR(__xludf.DUMMYFUNCTION("GOOGLETRANSLATE(I94, ""en"", ""id"")"),"😍😍😍")</f>
        <v>😍😍😍</v>
      </c>
      <c r="K94" s="6" t="str">
        <f>IFERROR(__xludf.DUMMYFUNCTION("GOOGLETRANSLATE(F94, ""id"", ""en"")"),"😍😍😍")</f>
        <v>😍😍😍</v>
      </c>
      <c r="L94" s="6" t="s">
        <v>191</v>
      </c>
      <c r="M94" s="6" t="str">
        <f>IFERROR(__xludf.DUMMYFUNCTION("GOOGLETRANSLATE(L94, ""en"", ""de"")"),"😍😍😍")</f>
        <v>😍😍😍</v>
      </c>
      <c r="N94" s="6" t="s">
        <v>191</v>
      </c>
      <c r="O94" s="6" t="str">
        <f>IFERROR(__xludf.DUMMYFUNCTION("GOOGLETRANSLATE(N94, ""de"", ""id"")"),"😍😍😍")</f>
        <v>😍😍😍</v>
      </c>
    </row>
    <row r="95">
      <c r="A95" s="1" t="s">
        <v>17</v>
      </c>
      <c r="B95" s="1" t="s">
        <v>96</v>
      </c>
      <c r="C95" s="15" t="s">
        <v>283</v>
      </c>
      <c r="D95" s="4" t="s">
        <v>174</v>
      </c>
      <c r="E95" s="15" t="s">
        <v>204</v>
      </c>
      <c r="F95" s="6" t="str">
        <f>IFERROR(__xludf.DUMMYFUNCTION("IFERROR(ARRAYFORMULA(REGEXREPLACE(E95, ""("" &amp; TEXTJOIN(""|"", TRUE, FILTER(Q95:Q110, E:E&lt;&gt;"""")) &amp; "")"", 
                     INDEX(R95:R110, MATCH(REGEXEXTRACT(E95:E965, ""("" &amp; TEXTJOIN(""|"", TRUE, FILTER(Q95:Q110, Q95:Q110&lt;&gt;"""")) &amp; "")""), Q95:Q11"&amp;"0, 0)))), E95)"),"🔥🔥")</f>
        <v>🔥🔥</v>
      </c>
      <c r="G95" s="6" t="str">
        <f>IFERROR(__xludf.DUMMYFUNCTION("GOOGLETRANSLATE(F95, ""id"", ""de"")
"),"🔥🔥")</f>
        <v>🔥🔥</v>
      </c>
      <c r="H95" s="6" t="str">
        <f>IFERROR(__xludf.DUMMYFUNCTION("GOOGLETRANSLATE(G95, ""de"", ""id"")"),"🔥🔥")</f>
        <v>🔥🔥</v>
      </c>
      <c r="I95" s="6" t="str">
        <f>IFERROR(__xludf.DUMMYFUNCTION("GOOGLETRANSLATE(G95, ""de"", ""en"")"),"🔥🔥")</f>
        <v>🔥🔥</v>
      </c>
      <c r="J95" s="6" t="str">
        <f>IFERROR(__xludf.DUMMYFUNCTION("GOOGLETRANSLATE(I95, ""en"", ""id"")"),"🔥🔥")</f>
        <v>🔥🔥</v>
      </c>
      <c r="K95" s="6" t="str">
        <f>IFERROR(__xludf.DUMMYFUNCTION("GOOGLETRANSLATE(F95, ""id"", ""en"")"),"🔥🔥")</f>
        <v>🔥🔥</v>
      </c>
      <c r="L95" s="6" t="s">
        <v>204</v>
      </c>
      <c r="M95" s="6" t="str">
        <f>IFERROR(__xludf.DUMMYFUNCTION("GOOGLETRANSLATE(L95, ""en"", ""de"")"),"🔥🔥")</f>
        <v>🔥🔥</v>
      </c>
      <c r="N95" s="6" t="s">
        <v>204</v>
      </c>
      <c r="O95" s="6" t="str">
        <f>IFERROR(__xludf.DUMMYFUNCTION("GOOGLETRANSLATE(N95, ""de"", ""id"")"),"🔥🔥")</f>
        <v>🔥🔥</v>
      </c>
    </row>
    <row r="96">
      <c r="A96" s="1" t="s">
        <v>17</v>
      </c>
      <c r="B96" s="1" t="s">
        <v>96</v>
      </c>
      <c r="C96" s="15" t="s">
        <v>284</v>
      </c>
      <c r="D96" s="4" t="s">
        <v>174</v>
      </c>
      <c r="E96" s="15" t="s">
        <v>204</v>
      </c>
      <c r="F96" s="6" t="str">
        <f>IFERROR(__xludf.DUMMYFUNCTION("IFERROR(ARRAYFORMULA(REGEXREPLACE(E96, ""("" &amp; TEXTJOIN(""|"", TRUE, FILTER(Q96:Q111, E:E&lt;&gt;"""")) &amp; "")"", 
                     INDEX(R96:R111, MATCH(REGEXEXTRACT(E96:E965, ""("" &amp; TEXTJOIN(""|"", TRUE, FILTER(Q96:Q111, Q96:Q111&lt;&gt;"""")) &amp; "")""), Q96:Q11"&amp;"1, 0)))), E96)"),"🔥🔥")</f>
        <v>🔥🔥</v>
      </c>
      <c r="G96" s="6" t="str">
        <f>IFERROR(__xludf.DUMMYFUNCTION("GOOGLETRANSLATE(F96, ""id"", ""de"")
"),"🔥🔥")</f>
        <v>🔥🔥</v>
      </c>
      <c r="H96" s="6" t="str">
        <f>IFERROR(__xludf.DUMMYFUNCTION("GOOGLETRANSLATE(G96, ""de"", ""id"")"),"🔥🔥")</f>
        <v>🔥🔥</v>
      </c>
      <c r="I96" s="6" t="str">
        <f>IFERROR(__xludf.DUMMYFUNCTION("GOOGLETRANSLATE(G96, ""de"", ""en"")"),"🔥🔥")</f>
        <v>🔥🔥</v>
      </c>
      <c r="J96" s="6" t="str">
        <f>IFERROR(__xludf.DUMMYFUNCTION("GOOGLETRANSLATE(I96, ""en"", ""id"")"),"🔥🔥")</f>
        <v>🔥🔥</v>
      </c>
      <c r="K96" s="6" t="str">
        <f>IFERROR(__xludf.DUMMYFUNCTION("GOOGLETRANSLATE(F96, ""id"", ""en"")"),"🔥🔥")</f>
        <v>🔥🔥</v>
      </c>
      <c r="L96" s="6" t="s">
        <v>204</v>
      </c>
      <c r="M96" s="6" t="str">
        <f>IFERROR(__xludf.DUMMYFUNCTION("GOOGLETRANSLATE(L96, ""en"", ""de"")"),"🔥🔥")</f>
        <v>🔥🔥</v>
      </c>
      <c r="N96" s="6" t="s">
        <v>204</v>
      </c>
      <c r="O96" s="6" t="str">
        <f>IFERROR(__xludf.DUMMYFUNCTION("GOOGLETRANSLATE(N96, ""de"", ""id"")"),"🔥🔥")</f>
        <v>🔥🔥</v>
      </c>
    </row>
    <row r="97">
      <c r="A97" s="1" t="s">
        <v>17</v>
      </c>
      <c r="B97" s="1" t="s">
        <v>96</v>
      </c>
      <c r="C97" s="15" t="s">
        <v>285</v>
      </c>
      <c r="D97" s="4" t="s">
        <v>174</v>
      </c>
      <c r="E97" s="15" t="s">
        <v>286</v>
      </c>
      <c r="F97" s="6" t="str">
        <f>IFERROR(__xludf.DUMMYFUNCTION("IFERROR(ARRAYFORMULA(REGEXREPLACE(E97, ""("" &amp; TEXTJOIN(""|"", TRUE, FILTER(Q97:Q112, E:E&lt;&gt;"""")) &amp; "")"", 
                     INDEX(R97:R112, MATCH(REGEXEXTRACT(E97:E965, ""("" &amp; TEXTJOIN(""|"", TRUE, FILTER(Q97:Q112, Q97:Q112&lt;&gt;"""")) &amp; "")""), Q97:Q11"&amp;"2, 0)))), E97)"),"🫠🫠")</f>
        <v>🫠🫠</v>
      </c>
      <c r="G97" s="6" t="str">
        <f>IFERROR(__xludf.DUMMYFUNCTION("GOOGLETRANSLATE(F97, ""id"", ""de"")
"),"🫠🫠")</f>
        <v>🫠🫠</v>
      </c>
      <c r="H97" s="6" t="str">
        <f>IFERROR(__xludf.DUMMYFUNCTION("GOOGLETRANSLATE(G97, ""de"", ""id"")"),"🫠🫠")</f>
        <v>🫠🫠</v>
      </c>
      <c r="I97" s="6" t="str">
        <f>IFERROR(__xludf.DUMMYFUNCTION("GOOGLETRANSLATE(G97, ""de"", ""en"")"),"🫠🫠")</f>
        <v>🫠🫠</v>
      </c>
      <c r="J97" s="6" t="str">
        <f>IFERROR(__xludf.DUMMYFUNCTION("GOOGLETRANSLATE(I97, ""en"", ""id"")"),"🫠🫠")</f>
        <v>🫠🫠</v>
      </c>
      <c r="K97" s="6" t="str">
        <f>IFERROR(__xludf.DUMMYFUNCTION("GOOGLETRANSLATE(F97, ""id"", ""en"")"),"🫠🫠")</f>
        <v>🫠🫠</v>
      </c>
      <c r="L97" s="6" t="s">
        <v>286</v>
      </c>
      <c r="M97" s="6" t="str">
        <f>IFERROR(__xludf.DUMMYFUNCTION("GOOGLETRANSLATE(L97, ""en"", ""de"")"),"🫠🫠")</f>
        <v>🫠🫠</v>
      </c>
      <c r="N97" s="6" t="s">
        <v>286</v>
      </c>
      <c r="O97" s="6" t="str">
        <f>IFERROR(__xludf.DUMMYFUNCTION("GOOGLETRANSLATE(N97, ""de"", ""id"")"),"🫠🫠")</f>
        <v>🫠🫠</v>
      </c>
    </row>
    <row r="98">
      <c r="A98" s="1" t="s">
        <v>17</v>
      </c>
      <c r="B98" s="1" t="s">
        <v>96</v>
      </c>
      <c r="C98" s="15" t="s">
        <v>287</v>
      </c>
      <c r="D98" s="4" t="s">
        <v>174</v>
      </c>
      <c r="E98" s="15" t="s">
        <v>288</v>
      </c>
      <c r="F98" s="6" t="str">
        <f>IFERROR(__xludf.DUMMYFUNCTION("IFERROR(ARRAYFORMULA(REGEXREPLACE(E98, ""("" &amp; TEXTJOIN(""|"", TRUE, FILTER(Q98:Q113, E:E&lt;&gt;"""")) &amp; "")"", 
                     INDEX(R98:R113, MATCH(REGEXEXTRACT(E98:E965, ""("" &amp; TEXTJOIN(""|"", TRUE, FILTER(Q98:Q113, Q98:Q113&lt;&gt;"""")) &amp; "")""), Q98:Q11"&amp;"3, 0)))), E98)"),"🥺🥺🥺")</f>
        <v>🥺🥺🥺</v>
      </c>
      <c r="G98" s="6" t="str">
        <f>IFERROR(__xludf.DUMMYFUNCTION("GOOGLETRANSLATE(F98, ""id"", ""de"")
"),"🥺🥺🥺")</f>
        <v>🥺🥺🥺</v>
      </c>
      <c r="H98" s="6" t="str">
        <f>IFERROR(__xludf.DUMMYFUNCTION("GOOGLETRANSLATE(G98, ""de"", ""id"")"),"🥺🥺🥺")</f>
        <v>🥺🥺🥺</v>
      </c>
      <c r="I98" s="6" t="str">
        <f>IFERROR(__xludf.DUMMYFUNCTION("GOOGLETRANSLATE(G98, ""de"", ""en"")"),"🥺🥺🥺")</f>
        <v>🥺🥺🥺</v>
      </c>
      <c r="J98" s="6" t="str">
        <f>IFERROR(__xludf.DUMMYFUNCTION("GOOGLETRANSLATE(I98, ""en"", ""id"")"),"🥺🥺🥺")</f>
        <v>🥺🥺🥺</v>
      </c>
      <c r="K98" s="6" t="str">
        <f>IFERROR(__xludf.DUMMYFUNCTION("GOOGLETRANSLATE(F98, ""id"", ""en"")"),"🥺🥺🥺")</f>
        <v>🥺🥺🥺</v>
      </c>
      <c r="L98" s="6" t="s">
        <v>288</v>
      </c>
      <c r="M98" s="6" t="str">
        <f>IFERROR(__xludf.DUMMYFUNCTION("GOOGLETRANSLATE(L98, ""en"", ""de"")"),"🥺🥺🥺")</f>
        <v>🥺🥺🥺</v>
      </c>
      <c r="N98" s="6" t="s">
        <v>288</v>
      </c>
      <c r="O98" s="6" t="str">
        <f>IFERROR(__xludf.DUMMYFUNCTION("GOOGLETRANSLATE(N98, ""de"", ""id"")"),"🥺🥺🥺")</f>
        <v>🥺🥺🥺</v>
      </c>
    </row>
    <row r="99" ht="18.75" customHeight="1">
      <c r="A99" s="1" t="s">
        <v>17</v>
      </c>
      <c r="B99" s="1" t="s">
        <v>96</v>
      </c>
      <c r="C99" s="15" t="s">
        <v>289</v>
      </c>
      <c r="D99" s="4" t="s">
        <v>174</v>
      </c>
      <c r="E99" s="15" t="s">
        <v>290</v>
      </c>
      <c r="F99" s="6" t="str">
        <f>IFERROR(__xludf.DUMMYFUNCTION("IFERROR(ARRAYFORMULA(REGEXREPLACE(E99, ""("" &amp; TEXTJOIN(""|"", TRUE, FILTER(Q99:Q114, E:E&lt;&gt;"""")) &amp; "")"", 
                     INDEX(R99:R114, MATCH(REGEXEXTRACT(E99:E965, ""("" &amp; TEXTJOIN(""|"", TRUE, FILTER(Q99:Q114, Q99:Q114&lt;&gt;"""")) &amp; "")""), Q99:Q11"&amp;"4, 0)))), E99)"),"Maa syaa Allah 🤩")</f>
        <v>Maa syaa Allah 🤩</v>
      </c>
      <c r="G99" s="6" t="str">
        <f>IFERROR(__xludf.DUMMYFUNCTION("GOOGLETRANSLATE(F99, ""id"", ""de"")
"),"Maa shaa Allah 🤩")</f>
        <v>Maa shaa Allah 🤩</v>
      </c>
      <c r="H99" s="6" t="str">
        <f>IFERROR(__xludf.DUMMYFUNCTION("GOOGLETRANSLATE(G99, ""de"", ""id"")"),"Maa syaa Allah 🤩")</f>
        <v>Maa syaa Allah 🤩</v>
      </c>
      <c r="I99" s="6" t="str">
        <f>IFERROR(__xludf.DUMMYFUNCTION("GOOGLETRANSLATE(G99, ""de"", ""en"")"),"Maa shaa Allah 🤩")</f>
        <v>Maa shaa Allah 🤩</v>
      </c>
      <c r="J99" s="6" t="str">
        <f>IFERROR(__xludf.DUMMYFUNCTION("GOOGLETRANSLATE(I99, ""en"", ""id"")"),"Maa syaa Allah 🤩")</f>
        <v>Maa syaa Allah 🤩</v>
      </c>
      <c r="K99" s="6" t="str">
        <f>IFERROR(__xludf.DUMMYFUNCTION("GOOGLETRANSLATE(F99, ""id"", ""en"")"),"Maa shaa Allah 🤩")</f>
        <v>Maa shaa Allah 🤩</v>
      </c>
      <c r="L99" s="6" t="s">
        <v>291</v>
      </c>
      <c r="M99" s="6" t="str">
        <f>IFERROR(__xludf.DUMMYFUNCTION("GOOGLETRANSLATE(L99, ""en"", ""de"")"),"Maa shaa Allah 🤩")</f>
        <v>Maa shaa Allah 🤩</v>
      </c>
      <c r="N99" s="6" t="s">
        <v>291</v>
      </c>
      <c r="O99" s="6" t="str">
        <f>IFERROR(__xludf.DUMMYFUNCTION("GOOGLETRANSLATE(N99, ""de"", ""id"")"),"Maa syaa Allah 🤩")</f>
        <v>Maa syaa Allah 🤩</v>
      </c>
    </row>
    <row r="100">
      <c r="A100" s="1" t="s">
        <v>17</v>
      </c>
      <c r="B100" s="1" t="s">
        <v>96</v>
      </c>
      <c r="C100" s="15" t="s">
        <v>292</v>
      </c>
      <c r="D100" s="4" t="s">
        <v>174</v>
      </c>
      <c r="E100" s="15" t="s">
        <v>198</v>
      </c>
      <c r="F100" s="6" t="str">
        <f>IFERROR(__xludf.DUMMYFUNCTION("IFERROR(ARRAYFORMULA(REGEXREPLACE(E100, ""("" &amp; TEXTJOIN(""|"", TRUE, FILTER(Q100:Q115, E:E&lt;&gt;"""")) &amp; "")"", 
                     INDEX(R100:R115, MATCH(REGEXEXTRACT(E100:E965, ""("" &amp; TEXTJOIN(""|"", TRUE, FILTER(Q100:Q115, Q100:Q115&lt;&gt;"""")) &amp; "")""), Q"&amp;"100:Q115, 0)))), E100)"),"❤️❤️")</f>
        <v>❤️❤️</v>
      </c>
      <c r="G100" s="6" t="str">
        <f>IFERROR(__xludf.DUMMYFUNCTION("GOOGLETRANSLATE(F100, ""id"", ""de"")
"),"❤️❤️")</f>
        <v>❤️❤️</v>
      </c>
      <c r="H100" s="6" t="str">
        <f>IFERROR(__xludf.DUMMYFUNCTION("GOOGLETRANSLATE(G100, ""de"", ""id"")"),"❤️❤️")</f>
        <v>❤️❤️</v>
      </c>
      <c r="I100" s="6" t="str">
        <f>IFERROR(__xludf.DUMMYFUNCTION("GOOGLETRANSLATE(G100, ""de"", ""en"")"),"❤️❤️")</f>
        <v>❤️❤️</v>
      </c>
      <c r="J100" s="6" t="str">
        <f>IFERROR(__xludf.DUMMYFUNCTION("GOOGLETRANSLATE(I100, ""en"", ""id"")"),"❤️❤️")</f>
        <v>❤️❤️</v>
      </c>
      <c r="K100" s="6" t="str">
        <f>IFERROR(__xludf.DUMMYFUNCTION("GOOGLETRANSLATE(F100, ""id"", ""en"")"),"❤️❤️")</f>
        <v>❤️❤️</v>
      </c>
      <c r="L100" s="6" t="s">
        <v>198</v>
      </c>
      <c r="M100" s="6" t="str">
        <f>IFERROR(__xludf.DUMMYFUNCTION("GOOGLETRANSLATE(L100, ""en"", ""de"")"),"❤️❤️")</f>
        <v>❤️❤️</v>
      </c>
      <c r="N100" s="6" t="s">
        <v>198</v>
      </c>
      <c r="O100" s="6" t="str">
        <f>IFERROR(__xludf.DUMMYFUNCTION("GOOGLETRANSLATE(N100, ""de"", ""id"")"),"❤️❤️")</f>
        <v>❤️❤️</v>
      </c>
    </row>
    <row r="101">
      <c r="A101" s="1" t="s">
        <v>17</v>
      </c>
      <c r="B101" s="1" t="s">
        <v>96</v>
      </c>
      <c r="C101" s="15" t="s">
        <v>293</v>
      </c>
      <c r="D101" s="4" t="s">
        <v>174</v>
      </c>
      <c r="E101" s="15" t="s">
        <v>294</v>
      </c>
      <c r="F101" s="6" t="str">
        <f>IFERROR(__xludf.DUMMYFUNCTION("IFERROR(ARRAYFORMULA(REGEXREPLACE(E101, ""("" &amp; TEXTJOIN(""|"", TRUE, FILTER(Q101:Q116, E:E&lt;&gt;"""")) &amp; "")"", 
                     INDEX(R101:R116, MATCH(REGEXEXTRACT(E101:E965, ""("" &amp; TEXTJOIN(""|"", TRUE, FILTER(Q101:Q116, Q101:Q116&lt;&gt;"""")) &amp; "")""), Q"&amp;"101:Q116, 0)))), E101)"),"❤️❤️❤️")</f>
        <v>❤️❤️❤️</v>
      </c>
      <c r="G101" s="6" t="str">
        <f>IFERROR(__xludf.DUMMYFUNCTION("GOOGLETRANSLATE(F101, ""id"", ""de"")
"),"❤️❤️❤️")</f>
        <v>❤️❤️❤️</v>
      </c>
      <c r="H101" s="6" t="str">
        <f>IFERROR(__xludf.DUMMYFUNCTION("GOOGLETRANSLATE(G101, ""de"", ""id"")"),"❤️❤️❤️")</f>
        <v>❤️❤️❤️</v>
      </c>
      <c r="I101" s="6" t="str">
        <f>IFERROR(__xludf.DUMMYFUNCTION("GOOGLETRANSLATE(G101, ""de"", ""en"")"),"❤️❤️❤️")</f>
        <v>❤️❤️❤️</v>
      </c>
      <c r="J101" s="6" t="str">
        <f>IFERROR(__xludf.DUMMYFUNCTION("GOOGLETRANSLATE(I101, ""en"", ""id"")"),"❤️❤️❤️")</f>
        <v>❤️❤️❤️</v>
      </c>
      <c r="K101" s="6" t="str">
        <f>IFERROR(__xludf.DUMMYFUNCTION("GOOGLETRANSLATE(F101, ""id"", ""en"")"),"❤️❤️❤️")</f>
        <v>❤️❤️❤️</v>
      </c>
      <c r="L101" s="6" t="s">
        <v>294</v>
      </c>
      <c r="M101" s="6" t="str">
        <f>IFERROR(__xludf.DUMMYFUNCTION("GOOGLETRANSLATE(L101, ""en"", ""de"")"),"❤️❤️❤️")</f>
        <v>❤️❤️❤️</v>
      </c>
      <c r="N101" s="6" t="s">
        <v>294</v>
      </c>
      <c r="O101" s="6" t="str">
        <f>IFERROR(__xludf.DUMMYFUNCTION("GOOGLETRANSLATE(N101, ""de"", ""id"")"),"❤️❤️❤️")</f>
        <v>❤️❤️❤️</v>
      </c>
    </row>
    <row r="102">
      <c r="A102" s="1" t="s">
        <v>17</v>
      </c>
      <c r="B102" s="1" t="s">
        <v>96</v>
      </c>
      <c r="C102" s="15" t="s">
        <v>295</v>
      </c>
      <c r="D102" s="4" t="s">
        <v>174</v>
      </c>
      <c r="E102" s="15" t="s">
        <v>296</v>
      </c>
      <c r="F102" s="6" t="str">
        <f>IFERROR(__xludf.DUMMYFUNCTION("IFERROR(ARRAYFORMULA(REGEXREPLACE(E102, ""("" &amp; TEXTJOIN(""|"", TRUE, FILTER(Q102:Q117, E:E&lt;&gt;"""")) &amp; "")"", 
                     INDEX(R102:R117, MATCH(REGEXEXTRACT(E102:E965, ""("" &amp; TEXTJOIN(""|"", TRUE, FILTER(Q102:Q117, Q102:Q117&lt;&gt;"""")) &amp; "")""), Q"&amp;"102:Q117, 0)))), E102)"),"🙌")</f>
        <v>🙌</v>
      </c>
      <c r="G102" s="6" t="str">
        <f>IFERROR(__xludf.DUMMYFUNCTION("GOOGLETRANSLATE(F102, ""id"", ""de"")
"),"🙌")</f>
        <v>🙌</v>
      </c>
      <c r="H102" s="6" t="str">
        <f>IFERROR(__xludf.DUMMYFUNCTION("GOOGLETRANSLATE(G102, ""de"", ""id"")"),"🙌")</f>
        <v>🙌</v>
      </c>
      <c r="I102" s="6" t="str">
        <f>IFERROR(__xludf.DUMMYFUNCTION("GOOGLETRANSLATE(G102, ""de"", ""en"")"),"🙌")</f>
        <v>🙌</v>
      </c>
      <c r="J102" s="6" t="str">
        <f>IFERROR(__xludf.DUMMYFUNCTION("GOOGLETRANSLATE(I102, ""en"", ""id"")"),"🙌")</f>
        <v>🙌</v>
      </c>
      <c r="K102" s="6" t="str">
        <f>IFERROR(__xludf.DUMMYFUNCTION("GOOGLETRANSLATE(F102, ""id"", ""en"")"),"🙌")</f>
        <v>🙌</v>
      </c>
      <c r="L102" s="6" t="s">
        <v>296</v>
      </c>
      <c r="M102" s="6" t="str">
        <f>IFERROR(__xludf.DUMMYFUNCTION("GOOGLETRANSLATE(L102, ""en"", ""de"")"),"🙌")</f>
        <v>🙌</v>
      </c>
      <c r="N102" s="6" t="s">
        <v>296</v>
      </c>
      <c r="O102" s="6" t="str">
        <f>IFERROR(__xludf.DUMMYFUNCTION("GOOGLETRANSLATE(N102, ""de"", ""id"")"),"🙌")</f>
        <v>🙌</v>
      </c>
    </row>
    <row r="103">
      <c r="A103" s="1" t="s">
        <v>17</v>
      </c>
      <c r="B103" s="1" t="s">
        <v>96</v>
      </c>
      <c r="C103" s="15" t="s">
        <v>297</v>
      </c>
      <c r="D103" s="4" t="s">
        <v>174</v>
      </c>
      <c r="E103" s="15" t="s">
        <v>194</v>
      </c>
      <c r="F103" s="6" t="str">
        <f>IFERROR(__xludf.DUMMYFUNCTION("IFERROR(ARRAYFORMULA(REGEXREPLACE(E103, ""("" &amp; TEXTJOIN(""|"", TRUE, FILTER(Q103:Q118, E:E&lt;&gt;"""")) &amp; "")"", 
                     INDEX(R103:R118, MATCH(REGEXEXTRACT(E103:E965, ""("" &amp; TEXTJOIN(""|"", TRUE, FILTER(Q103:Q118, Q103:Q118&lt;&gt;"""")) &amp; "")""), Q"&amp;"103:Q118, 0)))), E103)"),"😍")</f>
        <v>😍</v>
      </c>
      <c r="G103" s="6" t="str">
        <f>IFERROR(__xludf.DUMMYFUNCTION("GOOGLETRANSLATE(F103, ""id"", ""de"")
"),"😍")</f>
        <v>😍</v>
      </c>
      <c r="H103" s="6" t="str">
        <f>IFERROR(__xludf.DUMMYFUNCTION("GOOGLETRANSLATE(G103, ""de"", ""id"")"),"😍")</f>
        <v>😍</v>
      </c>
      <c r="I103" s="6" t="str">
        <f>IFERROR(__xludf.DUMMYFUNCTION("GOOGLETRANSLATE(G103, ""de"", ""en"")"),"😍")</f>
        <v>😍</v>
      </c>
      <c r="J103" s="6" t="str">
        <f>IFERROR(__xludf.DUMMYFUNCTION("GOOGLETRANSLATE(I103, ""en"", ""id"")"),"😍")</f>
        <v>😍</v>
      </c>
      <c r="K103" s="6" t="str">
        <f>IFERROR(__xludf.DUMMYFUNCTION("GOOGLETRANSLATE(F103, ""id"", ""en"")"),"😍")</f>
        <v>😍</v>
      </c>
      <c r="L103" s="6" t="s">
        <v>194</v>
      </c>
      <c r="M103" s="6" t="str">
        <f>IFERROR(__xludf.DUMMYFUNCTION("GOOGLETRANSLATE(L103, ""en"", ""de"")"),"😍")</f>
        <v>😍</v>
      </c>
      <c r="N103" s="6" t="s">
        <v>194</v>
      </c>
      <c r="O103" s="6" t="str">
        <f>IFERROR(__xludf.DUMMYFUNCTION("GOOGLETRANSLATE(N103, ""de"", ""id"")"),"😍")</f>
        <v>😍</v>
      </c>
    </row>
    <row r="104">
      <c r="A104" s="1" t="s">
        <v>17</v>
      </c>
      <c r="B104" s="1" t="s">
        <v>96</v>
      </c>
      <c r="C104" s="15" t="s">
        <v>298</v>
      </c>
      <c r="D104" s="4" t="s">
        <v>174</v>
      </c>
      <c r="E104" s="15" t="s">
        <v>135</v>
      </c>
      <c r="F104" s="6" t="str">
        <f>IFERROR(__xludf.DUMMYFUNCTION("IFERROR(ARRAYFORMULA(REGEXREPLACE(E104, ""("" &amp; TEXTJOIN(""|"", TRUE, FILTER(Q104:Q119, E:E&lt;&gt;"""")) &amp; "")"", 
                     INDEX(R104:R119, MATCH(REGEXEXTRACT(E104:E965, ""("" &amp; TEXTJOIN(""|"", TRUE, FILTER(Q104:Q119, Q104:Q119&lt;&gt;"""")) &amp; "")""), Q"&amp;"104:Q119, 0)))), E104)"),"🔥🔥🔥")</f>
        <v>🔥🔥🔥</v>
      </c>
      <c r="G104" s="6" t="str">
        <f>IFERROR(__xludf.DUMMYFUNCTION("GOOGLETRANSLATE(F104, ""id"", ""de"")
"),"🔥🔥🔥")</f>
        <v>🔥🔥🔥</v>
      </c>
      <c r="H104" s="6" t="str">
        <f>IFERROR(__xludf.DUMMYFUNCTION("GOOGLETRANSLATE(G104, ""de"", ""id"")"),"🔥🔥🔥")</f>
        <v>🔥🔥🔥</v>
      </c>
      <c r="I104" s="6" t="str">
        <f>IFERROR(__xludf.DUMMYFUNCTION("GOOGLETRANSLATE(G104, ""de"", ""en"")"),"🔥🔥🔥")</f>
        <v>🔥🔥🔥</v>
      </c>
      <c r="J104" s="6" t="str">
        <f>IFERROR(__xludf.DUMMYFUNCTION("GOOGLETRANSLATE(I104, ""en"", ""id"")"),"🔥🔥🔥")</f>
        <v>🔥🔥🔥</v>
      </c>
      <c r="K104" s="6" t="str">
        <f>IFERROR(__xludf.DUMMYFUNCTION("GOOGLETRANSLATE(F104, ""id"", ""en"")"),"🔥🔥🔥")</f>
        <v>🔥🔥🔥</v>
      </c>
      <c r="L104" s="6" t="s">
        <v>135</v>
      </c>
      <c r="M104" s="6" t="str">
        <f>IFERROR(__xludf.DUMMYFUNCTION("GOOGLETRANSLATE(L104, ""en"", ""de"")"),"🔥🔥🔥")</f>
        <v>🔥🔥🔥</v>
      </c>
      <c r="N104" s="6" t="s">
        <v>135</v>
      </c>
      <c r="O104" s="6" t="str">
        <f>IFERROR(__xludf.DUMMYFUNCTION("GOOGLETRANSLATE(N104, ""de"", ""id"")"),"🔥🔥🔥")</f>
        <v>🔥🔥🔥</v>
      </c>
    </row>
    <row r="105">
      <c r="A105" s="1" t="s">
        <v>17</v>
      </c>
      <c r="B105" s="1" t="s">
        <v>96</v>
      </c>
      <c r="C105" s="15" t="s">
        <v>299</v>
      </c>
      <c r="D105" s="4" t="s">
        <v>174</v>
      </c>
      <c r="E105" s="15" t="s">
        <v>300</v>
      </c>
      <c r="F105" s="6" t="str">
        <f>IFERROR(__xludf.DUMMYFUNCTION("IFERROR(ARRAYFORMULA(REGEXREPLACE(E105, ""("" &amp; TEXTJOIN(""|"", TRUE, FILTER(Q105:Q120, E:E&lt;&gt;"""")) &amp; "")"", 
                     INDEX(R105:R120, MATCH(REGEXEXTRACT(E105:E965, ""("" &amp; TEXTJOIN(""|"", TRUE, FILTER(Q105:Q120, Q105:Q120&lt;&gt;"""")) &amp; "")""), Q"&amp;"105:Q120, 0)))), E105)"),"👏🔥")</f>
        <v>👏🔥</v>
      </c>
      <c r="G105" s="6" t="str">
        <f>IFERROR(__xludf.DUMMYFUNCTION("GOOGLETRANSLATE(F105, ""id"", ""de"")
"),"👏🔥")</f>
        <v>👏🔥</v>
      </c>
      <c r="H105" s="6" t="str">
        <f>IFERROR(__xludf.DUMMYFUNCTION("GOOGLETRANSLATE(G105, ""de"", ""id"")"),"👏🔥")</f>
        <v>👏🔥</v>
      </c>
      <c r="I105" s="6" t="str">
        <f>IFERROR(__xludf.DUMMYFUNCTION("GOOGLETRANSLATE(G105, ""de"", ""en"")"),"👏🔥")</f>
        <v>👏🔥</v>
      </c>
      <c r="J105" s="6" t="str">
        <f>IFERROR(__xludf.DUMMYFUNCTION("GOOGLETRANSLATE(I105, ""en"", ""id"")"),"👏🔥")</f>
        <v>👏🔥</v>
      </c>
      <c r="K105" s="6" t="str">
        <f>IFERROR(__xludf.DUMMYFUNCTION("GOOGLETRANSLATE(F105, ""id"", ""en"")"),"👏🔥")</f>
        <v>👏🔥</v>
      </c>
      <c r="L105" s="6" t="s">
        <v>300</v>
      </c>
      <c r="M105" s="6" t="str">
        <f>IFERROR(__xludf.DUMMYFUNCTION("GOOGLETRANSLATE(L105, ""en"", ""de"")"),"👏🔥")</f>
        <v>👏🔥</v>
      </c>
      <c r="N105" s="6" t="s">
        <v>300</v>
      </c>
      <c r="O105" s="6" t="str">
        <f>IFERROR(__xludf.DUMMYFUNCTION("GOOGLETRANSLATE(N105, ""de"", ""id"")"),"👏🔥")</f>
        <v>👏🔥</v>
      </c>
    </row>
    <row r="106">
      <c r="A106" s="1" t="s">
        <v>17</v>
      </c>
      <c r="B106" s="1" t="s">
        <v>96</v>
      </c>
      <c r="C106" s="15" t="s">
        <v>301</v>
      </c>
      <c r="D106" s="4" t="s">
        <v>174</v>
      </c>
      <c r="E106" s="15" t="s">
        <v>302</v>
      </c>
      <c r="F106" s="6" t="str">
        <f>IFERROR(__xludf.DUMMYFUNCTION("IFERROR(ARRAYFORMULA(REGEXREPLACE(E106, ""("" &amp; TEXTJOIN(""|"", TRUE, FILTER(Q106:Q121, E:E&lt;&gt;"""")) &amp; "")"", 
                     INDEX(R106:R121, MATCH(REGEXEXTRACT(E106:E965, ""("" &amp; TEXTJOIN(""|"", TRUE, FILTER(Q106:Q121, Q106:Q121&lt;&gt;"""")) &amp; "")""), Q"&amp;"106:Q121, 0)))), E106)"),"🔥🙌")</f>
        <v>🔥🙌</v>
      </c>
      <c r="G106" s="6" t="str">
        <f>IFERROR(__xludf.DUMMYFUNCTION("GOOGLETRANSLATE(F106, ""id"", ""de"")
"),"🔥🙌")</f>
        <v>🔥🙌</v>
      </c>
      <c r="H106" s="6" t="str">
        <f>IFERROR(__xludf.DUMMYFUNCTION("GOOGLETRANSLATE(G106, ""de"", ""id"")"),"🔥🙌")</f>
        <v>🔥🙌</v>
      </c>
      <c r="I106" s="6" t="str">
        <f>IFERROR(__xludf.DUMMYFUNCTION("GOOGLETRANSLATE(G106, ""de"", ""en"")"),"🔥🙌")</f>
        <v>🔥🙌</v>
      </c>
      <c r="J106" s="6" t="str">
        <f>IFERROR(__xludf.DUMMYFUNCTION("GOOGLETRANSLATE(I106, ""en"", ""id"")"),"🔥🙌")</f>
        <v>🔥🙌</v>
      </c>
      <c r="K106" s="6" t="str">
        <f>IFERROR(__xludf.DUMMYFUNCTION("GOOGLETRANSLATE(F106, ""id"", ""en"")"),"🔥🙌")</f>
        <v>🔥🙌</v>
      </c>
      <c r="L106" s="6" t="s">
        <v>302</v>
      </c>
      <c r="M106" s="6" t="str">
        <f>IFERROR(__xludf.DUMMYFUNCTION("GOOGLETRANSLATE(L106, ""en"", ""de"")"),"🔥🙌")</f>
        <v>🔥🙌</v>
      </c>
      <c r="N106" s="6" t="s">
        <v>302</v>
      </c>
      <c r="O106" s="6" t="str">
        <f>IFERROR(__xludf.DUMMYFUNCTION("GOOGLETRANSLATE(N106, ""de"", ""id"")"),"🔥🙌")</f>
        <v>🔥🙌</v>
      </c>
    </row>
    <row r="107">
      <c r="A107" s="1" t="s">
        <v>17</v>
      </c>
      <c r="B107" s="1" t="s">
        <v>96</v>
      </c>
      <c r="C107" s="15" t="s">
        <v>303</v>
      </c>
      <c r="D107" s="4" t="s">
        <v>174</v>
      </c>
      <c r="E107" s="15" t="s">
        <v>135</v>
      </c>
      <c r="F107" s="6" t="str">
        <f>IFERROR(__xludf.DUMMYFUNCTION("IFERROR(ARRAYFORMULA(REGEXREPLACE(E107, ""("" &amp; TEXTJOIN(""|"", TRUE, FILTER(Q107:Q122, E:E&lt;&gt;"""")) &amp; "")"", 
                     INDEX(R107:R122, MATCH(REGEXEXTRACT(E107:E965, ""("" &amp; TEXTJOIN(""|"", TRUE, FILTER(Q107:Q122, Q107:Q122&lt;&gt;"""")) &amp; "")""), Q"&amp;"107:Q122, 0)))), E107)"),"🔥🔥🔥")</f>
        <v>🔥🔥🔥</v>
      </c>
      <c r="G107" s="6" t="str">
        <f>IFERROR(__xludf.DUMMYFUNCTION("GOOGLETRANSLATE(F107, ""id"", ""de"")
"),"🔥🔥🔥")</f>
        <v>🔥🔥🔥</v>
      </c>
      <c r="H107" s="6" t="str">
        <f>IFERROR(__xludf.DUMMYFUNCTION("GOOGLETRANSLATE(G107, ""de"", ""id"")"),"🔥🔥🔥")</f>
        <v>🔥🔥🔥</v>
      </c>
      <c r="I107" s="6" t="str">
        <f>IFERROR(__xludf.DUMMYFUNCTION("GOOGLETRANSLATE(G107, ""de"", ""en"")"),"🔥🔥🔥")</f>
        <v>🔥🔥🔥</v>
      </c>
      <c r="J107" s="6" t="str">
        <f>IFERROR(__xludf.DUMMYFUNCTION("GOOGLETRANSLATE(I107, ""en"", ""id"")"),"🔥🔥🔥")</f>
        <v>🔥🔥🔥</v>
      </c>
      <c r="K107" s="6" t="str">
        <f>IFERROR(__xludf.DUMMYFUNCTION("GOOGLETRANSLATE(F107, ""id"", ""en"")"),"🔥🔥🔥")</f>
        <v>🔥🔥🔥</v>
      </c>
      <c r="L107" s="6" t="s">
        <v>135</v>
      </c>
      <c r="M107" s="6" t="str">
        <f>IFERROR(__xludf.DUMMYFUNCTION("GOOGLETRANSLATE(L107, ""en"", ""de"")"),"🔥🔥🔥")</f>
        <v>🔥🔥🔥</v>
      </c>
      <c r="N107" s="6" t="s">
        <v>135</v>
      </c>
      <c r="O107" s="6" t="str">
        <f>IFERROR(__xludf.DUMMYFUNCTION("GOOGLETRANSLATE(N107, ""de"", ""id"")"),"🔥🔥🔥")</f>
        <v>🔥🔥🔥</v>
      </c>
    </row>
    <row r="108">
      <c r="A108" s="1" t="s">
        <v>17</v>
      </c>
      <c r="B108" s="1" t="s">
        <v>96</v>
      </c>
      <c r="C108" s="15" t="s">
        <v>304</v>
      </c>
      <c r="D108" s="4" t="s">
        <v>174</v>
      </c>
      <c r="E108" s="15" t="s">
        <v>194</v>
      </c>
      <c r="F108" s="6" t="str">
        <f>IFERROR(__xludf.DUMMYFUNCTION("IFERROR(ARRAYFORMULA(REGEXREPLACE(E108, ""("" &amp; TEXTJOIN(""|"", TRUE, FILTER(Q108:Q123, E:E&lt;&gt;"""")) &amp; "")"", 
                     INDEX(R108:R123, MATCH(REGEXEXTRACT(E108:E965, ""("" &amp; TEXTJOIN(""|"", TRUE, FILTER(Q108:Q123, Q108:Q123&lt;&gt;"""")) &amp; "")""), Q"&amp;"108:Q123, 0)))), E108)"),"😍")</f>
        <v>😍</v>
      </c>
      <c r="G108" s="6" t="str">
        <f>IFERROR(__xludf.DUMMYFUNCTION("GOOGLETRANSLATE(F108, ""id"", ""de"")
"),"😍")</f>
        <v>😍</v>
      </c>
      <c r="H108" s="6" t="str">
        <f>IFERROR(__xludf.DUMMYFUNCTION("GOOGLETRANSLATE(G108, ""de"", ""id"")"),"😍")</f>
        <v>😍</v>
      </c>
      <c r="I108" s="6" t="str">
        <f>IFERROR(__xludf.DUMMYFUNCTION("GOOGLETRANSLATE(G108, ""de"", ""en"")"),"😍")</f>
        <v>😍</v>
      </c>
      <c r="J108" s="6" t="str">
        <f>IFERROR(__xludf.DUMMYFUNCTION("GOOGLETRANSLATE(I108, ""en"", ""id"")"),"😍")</f>
        <v>😍</v>
      </c>
      <c r="K108" s="6" t="str">
        <f>IFERROR(__xludf.DUMMYFUNCTION("GOOGLETRANSLATE(F108, ""id"", ""en"")"),"😍")</f>
        <v>😍</v>
      </c>
      <c r="L108" s="6" t="s">
        <v>194</v>
      </c>
      <c r="M108" s="6" t="str">
        <f>IFERROR(__xludf.DUMMYFUNCTION("GOOGLETRANSLATE(L108, ""en"", ""de"")"),"😍")</f>
        <v>😍</v>
      </c>
      <c r="N108" s="6" t="s">
        <v>194</v>
      </c>
      <c r="O108" s="6" t="str">
        <f>IFERROR(__xludf.DUMMYFUNCTION("GOOGLETRANSLATE(N108, ""de"", ""id"")"),"😍")</f>
        <v>😍</v>
      </c>
    </row>
    <row r="109">
      <c r="A109" s="1" t="s">
        <v>17</v>
      </c>
      <c r="B109" s="1" t="s">
        <v>305</v>
      </c>
      <c r="C109" s="15" t="s">
        <v>306</v>
      </c>
      <c r="D109" s="4" t="s">
        <v>307</v>
      </c>
      <c r="E109" s="15" t="s">
        <v>308</v>
      </c>
      <c r="F109" s="6" t="str">
        <f>IFERROR(__xludf.DUMMYFUNCTION("IFERROR(ARRAYFORMULA(REGEXREPLACE(E109, ""("" &amp; TEXTJOIN(""|"", TRUE, FILTER(Q109:Q124, E:E&lt;&gt;"""")) &amp; "")"", 
                     INDEX(R109:R124, MATCH(REGEXEXTRACT(E109:E965, ""("" &amp; TEXTJOIN(""|"", TRUE, FILTER(Q109:Q124, Q109:Q124&lt;&gt;"""")) &amp; "")""), Q"&amp;"109:Q124, 0)))), E109)"),"Kasian😢")</f>
        <v>Kasian😢</v>
      </c>
      <c r="G109" s="6" t="str">
        <f>IFERROR(__xludf.DUMMYFUNCTION("GOOGLETRANSLATE(F109, ""id"", ""de"")
"),"Armes Ding😢")</f>
        <v>Armes Ding😢</v>
      </c>
      <c r="H109" s="6" t="str">
        <f>IFERROR(__xludf.DUMMYFUNCTION("GOOGLETRANSLATE(G109, ""de"", ""id"")"),"Kasihan😢")</f>
        <v>Kasihan😢</v>
      </c>
      <c r="I109" s="6" t="str">
        <f>IFERROR(__xludf.DUMMYFUNCTION("GOOGLETRANSLATE(G109, ""de"", ""en"")"),"Poor thing😢")</f>
        <v>Poor thing😢</v>
      </c>
      <c r="J109" s="6" t="str">
        <f>IFERROR(__xludf.DUMMYFUNCTION("GOOGLETRANSLATE(I109, ""en"", ""id"")"),"Kasihan😢")</f>
        <v>Kasihan😢</v>
      </c>
      <c r="K109" s="6" t="str">
        <f>IFERROR(__xludf.DUMMYFUNCTION("GOOGLETRANSLATE(F109, ""id"", ""en"")"),"Poor thing😢")</f>
        <v>Poor thing😢</v>
      </c>
      <c r="L109" s="6" t="s">
        <v>309</v>
      </c>
      <c r="M109" s="6" t="str">
        <f>IFERROR(__xludf.DUMMYFUNCTION("GOOGLETRANSLATE(L109, ""en"", ""de"")"),"Armes Ding😢")</f>
        <v>Armes Ding😢</v>
      </c>
      <c r="N109" s="6" t="s">
        <v>310</v>
      </c>
      <c r="O109" s="6" t="str">
        <f>IFERROR(__xludf.DUMMYFUNCTION("GOOGLETRANSLATE(N109, ""de"", ""id"")"),"Kasihan😢")</f>
        <v>Kasihan😢</v>
      </c>
    </row>
    <row r="110">
      <c r="A110" s="1" t="s">
        <v>17</v>
      </c>
      <c r="B110" s="1" t="s">
        <v>305</v>
      </c>
      <c r="C110" s="15" t="s">
        <v>311</v>
      </c>
      <c r="D110" s="4" t="s">
        <v>307</v>
      </c>
      <c r="E110" s="15" t="s">
        <v>312</v>
      </c>
      <c r="F110" s="6" t="str">
        <f>IFERROR(__xludf.DUMMYFUNCTION("IFERROR(ARRAYFORMULA(REGEXREPLACE(E110, ""("" &amp; TEXTJOIN(""|"", TRUE, FILTER(Q110:Q125, E:E&lt;&gt;"""")) &amp; "")"", 
                     INDEX(R110:R125, MATCH(REGEXEXTRACT(E110:E965, ""("" &amp; TEXTJOIN(""|"", TRUE, FILTER(Q110:Q125, Q110:Q125&lt;&gt;"""")) &amp; "")""), Q"&amp;"110:Q125, 0)))), E110)"),"@ddhryntoo bang udah bang")</f>
        <v>@ddhryntoo bang udah bang</v>
      </c>
      <c r="G110" s="6" t="str">
        <f>IFERROR(__xludf.DUMMYFUNCTION("GOOGLETRANSLATE(F110, ""id"", ""de"")
"),"@ddhryntoo Bruder, das ist es, Bruder")</f>
        <v>@ddhryntoo Bruder, das ist es, Bruder</v>
      </c>
      <c r="H110" s="6" t="str">
        <f>IFERROR(__xludf.DUMMYFUNCTION("GOOGLETRANSLATE(G110, ""de"", ""id"")"),"@ddhryntoo Gan, itu dia gan")</f>
        <v>@ddhryntoo Gan, itu dia gan</v>
      </c>
      <c r="I110" s="6" t="str">
        <f>IFERROR(__xludf.DUMMYFUNCTION("GOOGLETRANSLATE(G110, ""de"", ""en"")"),"@ddhryntoo Bro, that's it bro")</f>
        <v>@ddhryntoo Bro, that's it bro</v>
      </c>
      <c r="J110" s="6" t="str">
        <f>IFERROR(__xludf.DUMMYFUNCTION("GOOGLETRANSLATE(I110, ""en"", ""id"")"),"@ddhryntoo Gan, itu dia gan")</f>
        <v>@ddhryntoo Gan, itu dia gan</v>
      </c>
      <c r="K110" s="6" t="str">
        <f>IFERROR(__xludf.DUMMYFUNCTION("GOOGLETRANSLATE(F110, ""id"", ""en"")"),"@ddhryntoo bro, that's it bro")</f>
        <v>@ddhryntoo bro, that's it bro</v>
      </c>
      <c r="L110" s="6" t="s">
        <v>313</v>
      </c>
      <c r="M110" s="6" t="str">
        <f>IFERROR(__xludf.DUMMYFUNCTION("GOOGLETRANSLATE(L110, ""en"", ""de"")"),"@ddhryntoo Bruder, das ist es, Bruder")</f>
        <v>@ddhryntoo Bruder, das ist es, Bruder</v>
      </c>
      <c r="N110" s="6" t="s">
        <v>314</v>
      </c>
      <c r="O110" s="6" t="str">
        <f>IFERROR(__xludf.DUMMYFUNCTION("GOOGLETRANSLATE(N110, ""de"", ""id"")"),"@ddhryntoo Gan, itu dia gan")</f>
        <v>@ddhryntoo Gan, itu dia gan</v>
      </c>
    </row>
    <row r="111">
      <c r="A111" s="1" t="s">
        <v>17</v>
      </c>
      <c r="B111" s="1" t="s">
        <v>305</v>
      </c>
      <c r="C111" s="15" t="s">
        <v>315</v>
      </c>
      <c r="D111" s="4" t="s">
        <v>307</v>
      </c>
      <c r="E111" s="15" t="s">
        <v>316</v>
      </c>
      <c r="F111" s="6" t="str">
        <f>IFERROR(__xludf.DUMMYFUNCTION("IFERROR(ARRAYFORMULA(REGEXREPLACE(E111, ""("" &amp; TEXTJOIN(""|"", TRUE, FILTER(Q111:Q126, E:E&lt;&gt;"""")) &amp; "")"", 
                     INDEX(R111:R126, MATCH(REGEXEXTRACT(E111:E965, ""("" &amp; TEXTJOIN(""|"", TRUE, FILTER(Q111:Q126, Q111:Q126&lt;&gt;"""")) &amp; "")""), Q"&amp;"111:Q126, 0)))), E111)"),"@ddhryntoo Huss jgan gitu dong 😂")</f>
        <v>@ddhryntoo Huss jgan gitu dong 😂</v>
      </c>
      <c r="G111" s="6" t="str">
        <f>IFERROR(__xludf.DUMMYFUNCTION("GOOGLETRANSLATE(F111, ""id"", ""de"")
"),"@ddhryntoo Huss, sei nicht so, Bruder 😂")</f>
        <v>@ddhryntoo Huss, sei nicht so, Bruder 😂</v>
      </c>
      <c r="H111" s="6" t="str">
        <f>IFERROR(__xludf.DUMMYFUNCTION("GOOGLETRANSLATE(G111, ""de"", ""id"")"),"@ddhryntoo Huss jangan seperti itu gan 😂")</f>
        <v>@ddhryntoo Huss jangan seperti itu gan 😂</v>
      </c>
      <c r="I111" s="6" t="str">
        <f>IFERROR(__xludf.DUMMYFUNCTION("GOOGLETRANSLATE(G111, ""de"", ""en"")"),"@ddhryntoo Huss don't be like that bro 😂")</f>
        <v>@ddhryntoo Huss don't be like that bro 😂</v>
      </c>
      <c r="J111" s="6" t="str">
        <f>IFERROR(__xludf.DUMMYFUNCTION("GOOGLETRANSLATE(I111, ""en"", ""id"")"),"@ddhryntoo Huss jangan seperti itu gan 😂")</f>
        <v>@ddhryntoo Huss jangan seperti itu gan 😂</v>
      </c>
      <c r="K111" s="6" t="str">
        <f>IFERROR(__xludf.DUMMYFUNCTION("GOOGLETRANSLATE(F111, ""id"", ""en"")"),"@ddhryntoo Huss don't be like that, bro 😂")</f>
        <v>@ddhryntoo Huss don't be like that, bro 😂</v>
      </c>
      <c r="L111" s="6" t="s">
        <v>317</v>
      </c>
      <c r="M111" s="6" t="str">
        <f>IFERROR(__xludf.DUMMYFUNCTION("GOOGLETRANSLATE(L111, ""en"", ""de"")"),"@ddhryntoo Huss, sei nicht so, Bruder 😂")</f>
        <v>@ddhryntoo Huss, sei nicht so, Bruder 😂</v>
      </c>
      <c r="N111" s="6" t="s">
        <v>318</v>
      </c>
      <c r="O111" s="6" t="str">
        <f>IFERROR(__xludf.DUMMYFUNCTION("GOOGLETRANSLATE(N111, ""de"", ""id"")"),"@ddhryntoo Huss jangan seperti itu gan 😂")</f>
        <v>@ddhryntoo Huss jangan seperti itu gan 😂</v>
      </c>
    </row>
    <row r="112">
      <c r="A112" s="1" t="s">
        <v>17</v>
      </c>
      <c r="B112" s="1" t="s">
        <v>305</v>
      </c>
      <c r="C112" s="15" t="s">
        <v>319</v>
      </c>
      <c r="D112" s="4" t="s">
        <v>307</v>
      </c>
      <c r="E112" s="15" t="s">
        <v>320</v>
      </c>
      <c r="F112" s="6" t="str">
        <f>IFERROR(__xludf.DUMMYFUNCTION("IFERROR(ARRAYFORMULA(REGEXREPLACE(E112, ""("" &amp; TEXTJOIN(""|"", TRUE, FILTER(Q112:Q127, E:E&lt;&gt;"""")) &amp; "")"", 
                     INDEX(R112:R127, MATCH(REGEXEXTRACT(E112:E965, ""("" &amp; TEXTJOIN(""|"", TRUE, FILTER(Q112:Q127, Q112:Q127&lt;&gt;"""")) &amp; "")""), Q"&amp;"112:Q127, 0)))), E112)"),"@ddhryntoo belum juga balik modal kasian")</f>
        <v>@ddhryntoo belum juga balik modal kasian</v>
      </c>
      <c r="G112" s="6" t="str">
        <f>IFERROR(__xludf.DUMMYFUNCTION("GOOGLETRANSLATE(F112, ""id"", ""de"")
"),"@ddhryntoo hat sein Kapital noch nicht zurückgegeben, das arme Ding")</f>
        <v>@ddhryntoo hat sein Kapital noch nicht zurückgegeben, das arme Ding</v>
      </c>
      <c r="H112" s="6" t="str">
        <f>IFERROR(__xludf.DUMMYFUNCTION("GOOGLETRANSLATE(G112, ""de"", ""id"")"),"@ddhryntoo belum mengembalikan modalnya, malangnya")</f>
        <v>@ddhryntoo belum mengembalikan modalnya, malangnya</v>
      </c>
      <c r="I112" s="6" t="str">
        <f>IFERROR(__xludf.DUMMYFUNCTION("GOOGLETRANSLATE(G112, ""de"", ""en"")"),"@ddhryntoo hasn't returned his capital yet, poor thing")</f>
        <v>@ddhryntoo hasn't returned his capital yet, poor thing</v>
      </c>
      <c r="J112" s="6" t="str">
        <f>IFERROR(__xludf.DUMMYFUNCTION("GOOGLETRANSLATE(I112, ""en"", ""id"")"),"@ddhryntoo belum mengembalikan modalnya, malangnya")</f>
        <v>@ddhryntoo belum mengembalikan modalnya, malangnya</v>
      </c>
      <c r="K112" s="6" t="str">
        <f>IFERROR(__xludf.DUMMYFUNCTION("GOOGLETRANSLATE(F112, ""id"", ""en"")"),"@ddhryntoo hasn't returned his capital yet, poor thing")</f>
        <v>@ddhryntoo hasn't returned his capital yet, poor thing</v>
      </c>
      <c r="L112" s="6" t="s">
        <v>321</v>
      </c>
      <c r="M112" s="6" t="str">
        <f>IFERROR(__xludf.DUMMYFUNCTION("GOOGLETRANSLATE(L112, ""en"", ""de"")"),"@ddhryntoo hat sein Kapital noch nicht zurückgegeben, das arme Ding")</f>
        <v>@ddhryntoo hat sein Kapital noch nicht zurückgegeben, das arme Ding</v>
      </c>
      <c r="N112" s="6" t="s">
        <v>322</v>
      </c>
      <c r="O112" s="6" t="str">
        <f>IFERROR(__xludf.DUMMYFUNCTION("GOOGLETRANSLATE(N112, ""de"", ""id"")"),"@ddhryntoo belum mengembalikan modalnya, malangnya")</f>
        <v>@ddhryntoo belum mengembalikan modalnya, malangnya</v>
      </c>
    </row>
    <row r="113">
      <c r="A113" s="1" t="s">
        <v>17</v>
      </c>
      <c r="B113" s="1" t="s">
        <v>305</v>
      </c>
      <c r="C113" s="15" t="s">
        <v>323</v>
      </c>
      <c r="D113" s="4" t="s">
        <v>307</v>
      </c>
      <c r="E113" s="15" t="s">
        <v>324</v>
      </c>
      <c r="F113" s="6" t="str">
        <f>IFERROR(__xludf.DUMMYFUNCTION("IFERROR(ARRAYFORMULA(REGEXREPLACE(E113, ""("" &amp; TEXTJOIN(""|"", TRUE, FILTER(Q113:Q128, E:E&lt;&gt;"""")) &amp; "")"", 
                     INDEX(R113:R128, MATCH(REGEXEXTRACT(E113:E965, ""("" &amp; TEXTJOIN(""|"", TRUE, FILTER(Q113:Q128, Q113:Q128&lt;&gt;"""")) &amp; "")""), Q"&amp;"113:Q128, 0)))), E113)"),"Kasian sudah bayar mahal bahkan sampai jual sawah atau kebun 😢")</f>
        <v>Kasian sudah bayar mahal bahkan sampai jual sawah atau kebun 😢</v>
      </c>
      <c r="G113" s="6" t="str">
        <f>IFERROR(__xludf.DUMMYFUNCTION("GOOGLETRANSLATE(F113, ""id"", ""de"")
"),"Armes Ding, ich habe so viel bezahlt und sogar mein Reisfeld oder meinen Garten verkauft 😢")</f>
        <v>Armes Ding, ich habe so viel bezahlt und sogar mein Reisfeld oder meinen Garten verkauft 😢</v>
      </c>
      <c r="H113" s="6" t="str">
        <f>IFERROR(__xludf.DUMMYFUNCTION("GOOGLETRANSLATE(G113, ""de"", ""id"")"),"Kasihan, saya bayar mahal malah jual sawah atau kebun saya 😢")</f>
        <v>Kasihan, saya bayar mahal malah jual sawah atau kebun saya 😢</v>
      </c>
      <c r="I113" s="6" t="str">
        <f>IFERROR(__xludf.DUMMYFUNCTION("GOOGLETRANSLATE(G113, ""de"", ""en"")"),"Poor thing, I paid so much and even sold my rice field or garden 😢")</f>
        <v>Poor thing, I paid so much and even sold my rice field or garden 😢</v>
      </c>
      <c r="J113" s="6" t="str">
        <f>IFERROR(__xludf.DUMMYFUNCTION("GOOGLETRANSLATE(I113, ""en"", ""id"")"),"Kasihan, saya bayar mahal malah jual sawah atau kebun saya 😢")</f>
        <v>Kasihan, saya bayar mahal malah jual sawah atau kebun saya 😢</v>
      </c>
      <c r="K113" s="6" t="str">
        <f>IFERROR(__xludf.DUMMYFUNCTION("GOOGLETRANSLATE(F113, ""id"", ""en"")"),"Poor thing, I paid so much and even sold my rice field or garden 😢")</f>
        <v>Poor thing, I paid so much and even sold my rice field or garden 😢</v>
      </c>
      <c r="L113" s="6" t="s">
        <v>325</v>
      </c>
      <c r="M113" s="6" t="str">
        <f>IFERROR(__xludf.DUMMYFUNCTION("GOOGLETRANSLATE(L113, ""en"", ""de"")"),"Armes Ding, ich habe so viel bezahlt und sogar mein Reisfeld oder meinen Garten verkauft 😢")</f>
        <v>Armes Ding, ich habe so viel bezahlt und sogar mein Reisfeld oder meinen Garten verkauft 😢</v>
      </c>
      <c r="N113" s="6" t="s">
        <v>326</v>
      </c>
      <c r="O113" s="6" t="str">
        <f>IFERROR(__xludf.DUMMYFUNCTION("GOOGLETRANSLATE(N113, ""de"", ""id"")"),"Kasihan, saya bayar mahal malah jual sawah atau kebun saya 😢")</f>
        <v>Kasihan, saya bayar mahal malah jual sawah atau kebun saya 😢</v>
      </c>
    </row>
    <row r="114">
      <c r="A114" s="1" t="s">
        <v>17</v>
      </c>
      <c r="B114" s="1" t="s">
        <v>305</v>
      </c>
      <c r="C114" s="15" t="s">
        <v>306</v>
      </c>
      <c r="D114" s="4" t="s">
        <v>307</v>
      </c>
      <c r="E114" s="15" t="s">
        <v>327</v>
      </c>
      <c r="F114" s="6" t="str">
        <f>IFERROR(__xludf.DUMMYFUNCTION("IFERROR(ARRAYFORMULA(REGEXREPLACE(E114, ""("" &amp; TEXTJOIN(""|"", TRUE, FILTER(Q114:Q129, E:E&lt;&gt;"""")) &amp; "")"", 
                     INDEX(R114:R129, MATCH(REGEXEXTRACT(E114:E965, ""("" &amp; TEXTJOIN(""|"", TRUE, FILTER(Q114:Q129, Q114:Q129&lt;&gt;"""")) &amp; "")""), Q"&amp;"114:Q129, 0)))), E114)"),"@aguriawankm_97 mahkotamu king 👑 masih Di Packing Di JNE Bonebula 😂")</f>
        <v>@aguriawankm_97 mahkotamu king 👑 masih Di Packing Di JNE Bonebula 😂</v>
      </c>
      <c r="G114" s="6" t="str">
        <f>IFERROR(__xludf.DUMMYFUNCTION("GOOGLETRANSLATE(F114, ""id"", ""de"")
"),"@aguriawankm_97 Deine Krone ist König 👑 immer noch verpackt bei JNE Bonebula 😂")</f>
        <v>@aguriawankm_97 Deine Krone ist König 👑 immer noch verpackt bei JNE Bonebula 😂</v>
      </c>
      <c r="H114" s="6" t="str">
        <f>IFERROR(__xludf.DUMMYFUNCTION("GOOGLETRANSLATE(G114, ""de"", ""id"")"),"@aguriawankm_97 Mahkotamu adalah raja 👑 masih dikemas di JNE Bonebula 😂")</f>
        <v>@aguriawankm_97 Mahkotamu adalah raja 👑 masih dikemas di JNE Bonebula 😂</v>
      </c>
      <c r="I114" s="6" t="str">
        <f>IFERROR(__xludf.DUMMYFUNCTION("GOOGLETRANSLATE(G114, ""de"", ""en"")"),"@aguriawankm_97 Your crown is king 👑 still packed at JNE Bonebula 😂")</f>
        <v>@aguriawankm_97 Your crown is king 👑 still packed at JNE Bonebula 😂</v>
      </c>
      <c r="J114" s="6" t="str">
        <f>IFERROR(__xludf.DUMMYFUNCTION("GOOGLETRANSLATE(I114, ""en"", ""id"")"),"@aguriawankm_97 Mahkotamu adalah raja 👑 masih dikemas di JNE Bonebula 😂")</f>
        <v>@aguriawankm_97 Mahkotamu adalah raja 👑 masih dikemas di JNE Bonebula 😂</v>
      </c>
      <c r="K114" s="6" t="str">
        <f>IFERROR(__xludf.DUMMYFUNCTION("GOOGLETRANSLATE(F114, ""id"", ""en"")"),"@aguriawankm_97 your crown is king 👑 still packed at JNE Bonebula 😂")</f>
        <v>@aguriawankm_97 your crown is king 👑 still packed at JNE Bonebula 😂</v>
      </c>
      <c r="L114" s="6" t="s">
        <v>328</v>
      </c>
      <c r="M114" s="6" t="str">
        <f>IFERROR(__xludf.DUMMYFUNCTION("GOOGLETRANSLATE(L114, ""en"", ""de"")"),"@aguriawankm_97 Deine Krone ist König 👑 immer noch verpackt bei JNE Bonebula 😂")</f>
        <v>@aguriawankm_97 Deine Krone ist König 👑 immer noch verpackt bei JNE Bonebula 😂</v>
      </c>
      <c r="N114" s="6" t="s">
        <v>329</v>
      </c>
      <c r="O114" s="6" t="str">
        <f>IFERROR(__xludf.DUMMYFUNCTION("GOOGLETRANSLATE(N114, ""de"", ""id"")"),"@aguriawankm_97 Mahkotamu adalah raja 👑 masih dikemas di JNE Bonebula 😂")</f>
        <v>@aguriawankm_97 Mahkotamu adalah raja 👑 masih dikemas di JNE Bonebula 😂</v>
      </c>
    </row>
    <row r="115">
      <c r="A115" s="1" t="s">
        <v>17</v>
      </c>
      <c r="B115" s="1" t="s">
        <v>305</v>
      </c>
      <c r="C115" s="15" t="s">
        <v>330</v>
      </c>
      <c r="D115" s="4" t="s">
        <v>307</v>
      </c>
      <c r="E115" s="15" t="s">
        <v>331</v>
      </c>
      <c r="F115" s="6" t="str">
        <f>IFERROR(__xludf.DUMMYFUNCTION("IFERROR(ARRAYFORMULA(REGEXREPLACE(E115, ""("" &amp; TEXTJOIN(""|"", TRUE, FILTER(Q115:Q130, E:E&lt;&gt;"""")) &amp; "")"", 
                     INDEX(R115:R130, MATCH(REGEXEXTRACT(E115:E965, ""("" &amp; TEXTJOIN(""|"", TRUE, FILTER(Q115:Q130, Q115:Q130&lt;&gt;"""")) &amp; "")""), Q"&amp;"115:Q130, 0)))), E115)"),"@aguriawankm_97 itu sudah resiko nya, jng gitu jd aparat seenak jidat mau berbuat apa. Udah di pecat gitu baru tau rasa.")</f>
        <v>@aguriawankm_97 itu sudah resiko nya, jng gitu jd aparat seenak jidat mau berbuat apa. Udah di pecat gitu baru tau rasa.</v>
      </c>
      <c r="G115" s="6" t="str">
        <f>IFERROR(__xludf.DUMMYFUNCTION("GOOGLETRANSLATE(F115, ""id"", ""de"")
"),"@aguriawankm_97 Das ist bereits ein Risiko. Lassen Sie die Behörden nicht tun, was sie wollen. Ich wurde gefeuert, also weiß ich, wie es sich anfühlt.")</f>
        <v>@aguriawankm_97 Das ist bereits ein Risiko. Lassen Sie die Behörden nicht tun, was sie wollen. Ich wurde gefeuert, also weiß ich, wie es sich anfühlt.</v>
      </c>
      <c r="H115" s="6" t="str">
        <f>IFERROR(__xludf.DUMMYFUNCTION("GOOGLETRANSLATE(G115, ""de"", ""id"")"),"@aguriawankm_97 Itu sudah resiko. Jangan biarkan pihak berwenang melakukan apa yang mereka inginkan. Saya dipecat, jadi saya tahu bagaimana rasanya.")</f>
        <v>@aguriawankm_97 Itu sudah resiko. Jangan biarkan pihak berwenang melakukan apa yang mereka inginkan. Saya dipecat, jadi saya tahu bagaimana rasanya.</v>
      </c>
      <c r="I115" s="6" t="str">
        <f>IFERROR(__xludf.DUMMYFUNCTION("GOOGLETRANSLATE(G115, ""de"", ""en"")"),"@aguriawankm_97 That's already a risk. Don't let the authorities do what they want. I was fired, so I know how it feels.")</f>
        <v>@aguriawankm_97 That's already a risk. Don't let the authorities do what they want. I was fired, so I know how it feels.</v>
      </c>
      <c r="J115" s="6" t="str">
        <f>IFERROR(__xludf.DUMMYFUNCTION("GOOGLETRANSLATE(I115, ""en"", ""id"")"),"@aguriawankm_97 Itu sudah resiko. Jangan biarkan pihak berwenang melakukan apa yang mereka inginkan. Saya dipecat, jadi saya tahu bagaimana rasanya.")</f>
        <v>@aguriawankm_97 Itu sudah resiko. Jangan biarkan pihak berwenang melakukan apa yang mereka inginkan. Saya dipecat, jadi saya tahu bagaimana rasanya.</v>
      </c>
      <c r="K115" s="6" t="str">
        <f>IFERROR(__xludf.DUMMYFUNCTION("GOOGLETRANSLATE(F115, ""id"", ""en"")"),"@aguriawankm_97 That's already a risk, don't let the authorities do whatever they want to do. I've been fired so I know what it feels like.")</f>
        <v>@aguriawankm_97 That's already a risk, don't let the authorities do whatever they want to do. I've been fired so I know what it feels like.</v>
      </c>
      <c r="L115" s="6" t="s">
        <v>332</v>
      </c>
      <c r="M115" s="6" t="str">
        <f>IFERROR(__xludf.DUMMYFUNCTION("GOOGLETRANSLATE(L115, ""en"", ""de"")"),"@aguriawankm_97 Das ist bereits ein Risiko. Lassen Sie die Behörden nicht tun, was sie wollen. Ich wurde gefeuert, also weiß ich, wie es sich anfühlt.")</f>
        <v>@aguriawankm_97 Das ist bereits ein Risiko. Lassen Sie die Behörden nicht tun, was sie wollen. Ich wurde gefeuert, also weiß ich, wie es sich anfühlt.</v>
      </c>
      <c r="N115" s="6" t="s">
        <v>333</v>
      </c>
      <c r="O115" s="6" t="str">
        <f>IFERROR(__xludf.DUMMYFUNCTION("GOOGLETRANSLATE(N115, ""de"", ""id"")"),"@aguriawankm_97 Itu sudah resiko. Jangan biarkan pihak berwenang melakukan apa yang mereka inginkan. Saya dipecat, jadi saya tahu bagaimana rasanya.")</f>
        <v>@aguriawankm_97 Itu sudah resiko. Jangan biarkan pihak berwenang melakukan apa yang mereka inginkan. Saya dipecat, jadi saya tahu bagaimana rasanya.</v>
      </c>
    </row>
    <row r="116">
      <c r="A116" s="1" t="s">
        <v>17</v>
      </c>
      <c r="B116" s="1" t="s">
        <v>305</v>
      </c>
      <c r="C116" s="15" t="s">
        <v>334</v>
      </c>
      <c r="D116" s="4" t="s">
        <v>307</v>
      </c>
      <c r="E116" s="15" t="s">
        <v>335</v>
      </c>
      <c r="F116" s="6" t="str">
        <f>IFERROR(__xludf.DUMMYFUNCTION("IFERROR(ARRAYFORMULA(REGEXREPLACE(E116, ""("" &amp; TEXTJOIN(""|"", TRUE, FILTER(Q116:Q131, E:E&lt;&gt;"""")) &amp; "")"", 
                     INDEX(R116:R131, MATCH(REGEXEXTRACT(E116:E965, ""("" &amp; TEXTJOIN(""|"", TRUE, FILTER(Q116:Q131, Q116:Q131&lt;&gt;"""")) &amp; "")""), Q"&amp;"116:Q131, 0)))), E116)"),"@aguriawankm_97 sapa suruh makan uang haram")</f>
        <v>@aguriawankm_97 sapa suruh makan uang haram</v>
      </c>
      <c r="G116" s="6" t="str">
        <f>IFERROR(__xludf.DUMMYFUNCTION("GOOGLETRANSLATE(F116, ""id"", ""de"")
"),"@aguriawankm_97 Wer hat dir gesagt, dass du Haram-Geld essen sollst?")</f>
        <v>@aguriawankm_97 Wer hat dir gesagt, dass du Haram-Geld essen sollst?</v>
      </c>
      <c r="H116" s="6" t="str">
        <f>IFERROR(__xludf.DUMMYFUNCTION("GOOGLETRANSLATE(G116, ""de"", ""id"")"),"@aguriawankm_97 Siapa suruh makan uang haram?")</f>
        <v>@aguriawankm_97 Siapa suruh makan uang haram?</v>
      </c>
      <c r="I116" s="6" t="str">
        <f>IFERROR(__xludf.DUMMYFUNCTION("GOOGLETRANSLATE(G116, ""de"", ""en"")"),"@aguriawankm_97 Who told you to eat haram money?")</f>
        <v>@aguriawankm_97 Who told you to eat haram money?</v>
      </c>
      <c r="J116" s="6" t="str">
        <f>IFERROR(__xludf.DUMMYFUNCTION("GOOGLETRANSLATE(I116, ""en"", ""id"")"),"@aguriawankm_97 Siapa suruh makan uang haram?")</f>
        <v>@aguriawankm_97 Siapa suruh makan uang haram?</v>
      </c>
      <c r="K116" s="6" t="str">
        <f>IFERROR(__xludf.DUMMYFUNCTION("GOOGLETRANSLATE(F116, ""id"", ""en"")"),"@aguriawankm_97 who told you to eat haram money?")</f>
        <v>@aguriawankm_97 who told you to eat haram money?</v>
      </c>
      <c r="L116" s="6" t="s">
        <v>336</v>
      </c>
      <c r="M116" s="6" t="str">
        <f>IFERROR(__xludf.DUMMYFUNCTION("GOOGLETRANSLATE(L116, ""en"", ""de"")"),"@aguriawankm_97 Wer hat dir gesagt, dass du Haram-Geld essen sollst?")</f>
        <v>@aguriawankm_97 Wer hat dir gesagt, dass du Haram-Geld essen sollst?</v>
      </c>
      <c r="N116" s="6" t="s">
        <v>337</v>
      </c>
      <c r="O116" s="6" t="str">
        <f>IFERROR(__xludf.DUMMYFUNCTION("GOOGLETRANSLATE(N116, ""de"", ""id"")"),"@aguriawankm_97 Siapa suruh makan uang haram?")</f>
        <v>@aguriawankm_97 Siapa suruh makan uang haram?</v>
      </c>
    </row>
    <row r="117">
      <c r="A117" s="1" t="s">
        <v>17</v>
      </c>
      <c r="B117" s="1" t="s">
        <v>305</v>
      </c>
      <c r="C117" s="15" t="s">
        <v>338</v>
      </c>
      <c r="D117" s="4" t="s">
        <v>307</v>
      </c>
      <c r="E117" s="15" t="s">
        <v>339</v>
      </c>
      <c r="F117" s="6" t="str">
        <f>IFERROR(__xludf.DUMMYFUNCTION("IFERROR(ARRAYFORMULA(REGEXREPLACE(E117, ""("" &amp; TEXTJOIN(""|"", TRUE, FILTER(Q117:Q132, E:E&lt;&gt;"""")) &amp; "")"", 
                     INDEX(R117:R132, MATCH(REGEXEXTRACT(E117:E965, ""("" &amp; TEXTJOIN(""|"", TRUE, FILTER(Q117:Q132, Q117:Q132&lt;&gt;"""")) &amp; "")""), Q"&amp;"117:Q132, 0)))), E117)"),"Kenapa asn pns tidak dibeginikan juga ya? Banyak pns yg tidak bisa kerja. Cuma datang nongol warkop. Harudnya yg seperti itu dipecat saja. Ngapain diselamatkan karna kasian. Ganti dengan pns2 muda yg masih bisa dibina")</f>
        <v>Kenapa asn pns tidak dibeginikan juga ya? Banyak pns yg tidak bisa kerja. Cuma datang nongol warkop. Harudnya yg seperti itu dipecat saja. Ngapain diselamatkan karna kasian. Ganti dengan pns2 muda yg masih bisa dibina</v>
      </c>
      <c r="G117" s="6" t="str">
        <f>IFERROR(__xludf.DUMMYFUNCTION("GOOGLETRANSLATE(F117, ""id"", ""de"")
"),"Warum machen das nicht auch Beamte? Viele Beamte können nicht arbeiten. Bin gerade im Warkop angekommen. Solche Leute sollten einfach gefeuert werden. Warum aus Mitleid sparen? Ersetzung durch junge Beamte, die noch ausbildungsfähig sind")</f>
        <v>Warum machen das nicht auch Beamte? Viele Beamte können nicht arbeiten. Bin gerade im Warkop angekommen. Solche Leute sollten einfach gefeuert werden. Warum aus Mitleid sparen? Ersetzung durch junge Beamte, die noch ausbildungsfähig sind</v>
      </c>
      <c r="H117" s="6" t="str">
        <f>IFERROR(__xludf.DUMMYFUNCTION("GOOGLETRANSLATE(G117, ""de"", ""id"")"),"Mengapa para pejabat tidak melakukan hal yang sama? Banyak PNS yang tidak bisa bekerja. Saya baru saja tiba di Warkop. Orang seperti itu sebaiknya dipecat saja. Mengapa menabung karena kasihan? Penggantinya oleh PNS muda yang masih mampu mengikuti pelatih"&amp;"an")</f>
        <v>Mengapa para pejabat tidak melakukan hal yang sama? Banyak PNS yang tidak bisa bekerja. Saya baru saja tiba di Warkop. Orang seperti itu sebaiknya dipecat saja. Mengapa menabung karena kasihan? Penggantinya oleh PNS muda yang masih mampu mengikuti pelatihan</v>
      </c>
      <c r="I117" s="6" t="str">
        <f>IFERROR(__xludf.DUMMYFUNCTION("GOOGLETRANSLATE(G117, ""de"", ""en"")"),"Why don't officials do the same? Many civil servants cannot work. I just arrived at the Warkop. People like that should just be fired. Why save out of pity? Replacement by young civil servants who are still capable of training")</f>
        <v>Why don't officials do the same? Many civil servants cannot work. I just arrived at the Warkop. People like that should just be fired. Why save out of pity? Replacement by young civil servants who are still capable of training</v>
      </c>
      <c r="J117" s="6" t="str">
        <f>IFERROR(__xludf.DUMMYFUNCTION("GOOGLETRANSLATE(I117, ""en"", ""id"")"),"Mengapa para pejabat tidak melakukan hal yang sama? Banyak PNS yang tidak bisa bekerja. Saya baru saja tiba di Warkop. Orang seperti itu sebaiknya dipecat saja. Mengapa menabung karena kasihan? Penggantinya oleh PNS muda yang masih mampu mengikuti pelatih"&amp;"an")</f>
        <v>Mengapa para pejabat tidak melakukan hal yang sama? Banyak PNS yang tidak bisa bekerja. Saya baru saja tiba di Warkop. Orang seperti itu sebaiknya dipecat saja. Mengapa menabung karena kasihan? Penggantinya oleh PNS muda yang masih mampu mengikuti pelatihan</v>
      </c>
      <c r="K117" s="6" t="str">
        <f>IFERROR(__xludf.DUMMYFUNCTION("GOOGLETRANSLATE(F117, ""id"", ""en"")"),"Why aren't civil servants doing this too? Many civil servants cannot work. Just came to the warkop. People like that should just be fired. Why save because of pity. Replace with young civil servants who can still be trained")</f>
        <v>Why aren't civil servants doing this too? Many civil servants cannot work. Just came to the warkop. People like that should just be fired. Why save because of pity. Replace with young civil servants who can still be trained</v>
      </c>
      <c r="L117" s="6" t="s">
        <v>340</v>
      </c>
      <c r="M117" s="6" t="str">
        <f>IFERROR(__xludf.DUMMYFUNCTION("GOOGLETRANSLATE(L117, ""en"", ""de"")"),"Warum machen das nicht auch Beamte? Viele Beamte können nicht arbeiten. Bin gerade im Warkop angekommen. Solche Leute sollten einfach gefeuert werden. Warum aus Mitleid sparen? Ersetzung durch junge Beamte, die noch ausbildungsfähig sind")</f>
        <v>Warum machen das nicht auch Beamte? Viele Beamte können nicht arbeiten. Bin gerade im Warkop angekommen. Solche Leute sollten einfach gefeuert werden. Warum aus Mitleid sparen? Ersetzung durch junge Beamte, die noch ausbildungsfähig sind</v>
      </c>
      <c r="N117" s="6" t="s">
        <v>341</v>
      </c>
      <c r="O117" s="6" t="str">
        <f>IFERROR(__xludf.DUMMYFUNCTION("GOOGLETRANSLATE(N117, ""de"", ""id"")"),"Mengapa para pejabat tidak melakukan hal yang sama? Banyak PNS yang tidak bisa bekerja. Saya baru saja tiba di Warkop. Orang seperti itu sebaiknya dipecat saja. Mengapa menabung karena kasihan? Penggantinya oleh PNS muda yang masih mampu mengikuti pelatih"&amp;"an")</f>
        <v>Mengapa para pejabat tidak melakukan hal yang sama? Banyak PNS yang tidak bisa bekerja. Saya baru saja tiba di Warkop. Orang seperti itu sebaiknya dipecat saja. Mengapa menabung karena kasihan? Penggantinya oleh PNS muda yang masih mampu mengikuti pelatihan</v>
      </c>
    </row>
    <row r="118">
      <c r="A118" s="1" t="s">
        <v>17</v>
      </c>
      <c r="B118" s="1" t="s">
        <v>305</v>
      </c>
      <c r="C118" s="15" t="s">
        <v>342</v>
      </c>
      <c r="D118" s="4" t="s">
        <v>307</v>
      </c>
      <c r="E118" s="15" t="s">
        <v>343</v>
      </c>
      <c r="F118" s="6" t="str">
        <f>IFERROR(__xludf.DUMMYFUNCTION("IFERROR(ARRAYFORMULA(REGEXREPLACE(E118, ""("" &amp; TEXTJOIN(""|"", TRUE, FILTER(Q118:Q133, E:E&lt;&gt;"""")) &amp; "")"", 
                     INDEX(R118:R133, MATCH(REGEXEXTRACT(E118:E965, ""("" &amp; TEXTJOIN(""|"", TRUE, FILTER(Q118:Q133, Q118:Q133&lt;&gt;"""")) &amp; "")""), Q"&amp;"118:Q133, 0)))), E118)"),"@kodoka.5655 Kalau ASN tidak semudah itu Kak. Sudah tertuang dalam peraturan yang ada. Alhamdulillah ditempat kerjaku ASN tidak ada yang cuman datang nongol di warkop doang.")</f>
        <v>@kodoka.5655 Kalau ASN tidak semudah itu Kak. Sudah tertuang dalam peraturan yang ada. Alhamdulillah ditempat kerjaku ASN tidak ada yang cuman datang nongol di warkop doang.</v>
      </c>
      <c r="G118" s="6" t="str">
        <f>IFERROR(__xludf.DUMMYFUNCTION("GOOGLETRANSLATE(F118, ""id"", ""de"")
"),"@kodoka.5655 Für ASN ist es nicht so einfach, Schwester. Dies ist in den bestehenden Vorschriften festgelegt. Gott sei Dank gibt es an meinem Arbeitsplatz keine ASNs, die einfach im Café auftauchen.")</f>
        <v>@kodoka.5655 Für ASN ist es nicht so einfach, Schwester. Dies ist in den bestehenden Vorschriften festgelegt. Gott sei Dank gibt es an meinem Arbeitsplatz keine ASNs, die einfach im Café auftauchen.</v>
      </c>
      <c r="H118" s="6" t="str">
        <f>IFERROR(__xludf.DUMMYFUNCTION("GOOGLETRANSLATE(G118, ""de"", ""id"")"),"@kodoka.5655 Tak semudah itu bagi ASN, Kak. Hal ini diatur dalam peraturan yang ada. Alhamdulillah di tempat kerja saya tidak ada ASN yang muncul begitu saja di kedai kopi.")</f>
        <v>@kodoka.5655 Tak semudah itu bagi ASN, Kak. Hal ini diatur dalam peraturan yang ada. Alhamdulillah di tempat kerja saya tidak ada ASN yang muncul begitu saja di kedai kopi.</v>
      </c>
      <c r="I118" s="6" t="str">
        <f>IFERROR(__xludf.DUMMYFUNCTION("GOOGLETRANSLATE(G118, ""de"", ""en"")"),"@kodoka.5655 It's not that easy for ASN, sister. This is set out in the existing regulations. Thank God my workplace doesn't have ASNs that just show up at the coffee shop.")</f>
        <v>@kodoka.5655 It's not that easy for ASN, sister. This is set out in the existing regulations. Thank God my workplace doesn't have ASNs that just show up at the coffee shop.</v>
      </c>
      <c r="J118" s="6" t="str">
        <f>IFERROR(__xludf.DUMMYFUNCTION("GOOGLETRANSLATE(I118, ""en"", ""id"")"),"@kodoka.5655 Tak semudah itu bagi ASN, Kak. Hal ini diatur dalam peraturan yang ada. Alhamdulillah di tempat kerja saya tidak ada ASN yang muncul begitu saja di kedai kopi.")</f>
        <v>@kodoka.5655 Tak semudah itu bagi ASN, Kak. Hal ini diatur dalam peraturan yang ada. Alhamdulillah di tempat kerja saya tidak ada ASN yang muncul begitu saja di kedai kopi.</v>
      </c>
      <c r="K118" s="6" t="str">
        <f>IFERROR(__xludf.DUMMYFUNCTION("GOOGLETRANSLATE(F118, ""id"", ""en"")"),"@kodoka.5655 For ASN it's not that easy, Sis. It is stated in the existing regulations. Thank God, at my workplace there are no ASNs who just show up at the coffee shop.")</f>
        <v>@kodoka.5655 For ASN it's not that easy, Sis. It is stated in the existing regulations. Thank God, at my workplace there are no ASNs who just show up at the coffee shop.</v>
      </c>
      <c r="L118" s="6" t="s">
        <v>344</v>
      </c>
      <c r="M118" s="6" t="str">
        <f>IFERROR(__xludf.DUMMYFUNCTION("GOOGLETRANSLATE(L118, ""en"", ""de"")"),"@kodoka.5655 Für ASN ist es nicht so einfach, Schwester. Dies ist in den bestehenden Vorschriften festgelegt. Gott sei Dank gibt es an meinem Arbeitsplatz keine ASNs, die einfach im Café auftauchen.")</f>
        <v>@kodoka.5655 Für ASN ist es nicht so einfach, Schwester. Dies ist in den bestehenden Vorschriften festgelegt. Gott sei Dank gibt es an meinem Arbeitsplatz keine ASNs, die einfach im Café auftauchen.</v>
      </c>
      <c r="N118" s="6" t="s">
        <v>345</v>
      </c>
      <c r="O118" s="6" t="str">
        <f>IFERROR(__xludf.DUMMYFUNCTION("GOOGLETRANSLATE(N118, ""de"", ""id"")"),"@kodoka.5655 Tak semudah itu bagi ASN, Kak. Hal ini diatur dalam peraturan yang ada. Alhamdulillah di tempat kerja saya tidak ada ASN yang muncul begitu saja di kedai kopi.")</f>
        <v>@kodoka.5655 Tak semudah itu bagi ASN, Kak. Hal ini diatur dalam peraturan yang ada. Alhamdulillah di tempat kerja saya tidak ada ASN yang muncul begitu saja di kedai kopi.</v>
      </c>
    </row>
    <row r="119">
      <c r="A119" s="1" t="s">
        <v>17</v>
      </c>
      <c r="B119" s="1" t="s">
        <v>305</v>
      </c>
      <c r="C119" s="15" t="s">
        <v>338</v>
      </c>
      <c r="D119" s="4" t="s">
        <v>307</v>
      </c>
      <c r="E119" s="15" t="s">
        <v>346</v>
      </c>
      <c r="F119" s="6" t="str">
        <f>IFERROR(__xludf.DUMMYFUNCTION("IFERROR(ARRAYFORMULA(REGEXREPLACE(E119, ""("" &amp; TEXTJOIN(""|"", TRUE, FILTER(Q119:Q134, E:E&lt;&gt;"""")) &amp; "")"", 
                     INDEX(R119:R134, MATCH(REGEXEXTRACT(E119:E965, ""("" &amp; TEXTJOIN(""|"", TRUE, FILTER(Q119:Q134, Q119:Q134&lt;&gt;"""")) &amp; "")""), Q"&amp;"119:Q134, 0)))), E119)"),"@utami_fitriyah asn begitu biasanya di buang ke kelurahan. Makin jadilah dia dikelurahan. Makanya pelayanan kelurahan itu selalu dikeluhkan padahal kelurahan itu yg paling banyak berurusan dengan masyarakat. Harusnya langsung pecat saja, tidak perlu di bu"&amp;"ang2. Sekarang pecat asn sudah mudah, nilai skp rendah sudah bisa jadi alasan pemecatan. Sekian hari tidak masuk sudah bisa dipecat. Memang dasar pimpinannya yg tidak mau karna kasian. Sudah cuma nongkrong tidak ada kerja, eh pas penilaian skp malah dikas"&amp;"ih nilai baik terus")</f>
        <v>@utami_fitriyah asn begitu biasanya di buang ke kelurahan. Makin jadilah dia dikelurahan. Makanya pelayanan kelurahan itu selalu dikeluhkan padahal kelurahan itu yg paling banyak berurusan dengan masyarakat. Harusnya langsung pecat saja, tidak perlu di buang2. Sekarang pecat asn sudah mudah, nilai skp rendah sudah bisa jadi alasan pemecatan. Sekian hari tidak masuk sudah bisa dipecat. Memang dasar pimpinannya yg tidak mau karna kasian. Sudah cuma nongkrong tidak ada kerja, eh pas penilaian skp malah dikasih nilai baik terus</v>
      </c>
      <c r="G119" s="6" t="str">
        <f>IFERROR(__xludf.DUMMYFUNCTION("GOOGLETRANSLATE(F119, ""id"", ""de"")
"),"@utami_fitriyah ASN wird normalerweise im Unterbezirk abgeladen. Zunehmend ist er im Dorf. Aus diesem Grund werden die Dienste der Unterbezirke immer beklagt, obwohl der Unterbezirk derjenige ist, der sich am meisten mit der Gemeinschaft befasst. Du sollt"&amp;"est ihn einfach sofort feuern, es ist nicht nötig, ihn wegzuwerfen. Da es nun einfacher ist, ASN zu entlassen, kann ein niedriger SKP-Wert ein Grund für eine Entlassung sein. Wenn Sie einige Tage lang nicht erscheinen, können Sie entlassen werden. Es stim"&amp;"mt, dass die Führung das nicht will, weil es schade ist. Ich habe einfach nur rumgehangen und keine Arbeit gehabt, aber als ich zur SKP-Bewertung kam, bekam ich immer wieder gute Noten")</f>
        <v>@utami_fitriyah ASN wird normalerweise im Unterbezirk abgeladen. Zunehmend ist er im Dorf. Aus diesem Grund werden die Dienste der Unterbezirke immer beklagt, obwohl der Unterbezirk derjenige ist, der sich am meisten mit der Gemeinschaft befasst. Du solltest ihn einfach sofort feuern, es ist nicht nötig, ihn wegzuwerfen. Da es nun einfacher ist, ASN zu entlassen, kann ein niedriger SKP-Wert ein Grund für eine Entlassung sein. Wenn Sie einige Tage lang nicht erscheinen, können Sie entlassen werden. Es stimmt, dass die Führung das nicht will, weil es schade ist. Ich habe einfach nur rumgehangen und keine Arbeit gehabt, aber als ich zur SKP-Bewertung kam, bekam ich immer wieder gute Noten</v>
      </c>
      <c r="H119" s="6" t="str">
        <f>IFERROR(__xludf.DUMMYFUNCTION("GOOGLETRANSLATE(G119, ""de"", ""id"")"),"ASN @utami_fitriyah biasanya dibuang di kecamatan. Dia semakin banyak berada di desa. Oleh karena itu, pelayanan kelurahan selalu dikeluhkan, padahal kelurahanlah yang paling banyak berhubungan dengan masyarakat. Sebaiknya kau segera memecatnya, tidak per"&amp;"lu membuangnya. Karena kini lebih mudah memberhentikan ASN, nilai SKP yang rendah bisa menjadi alasan pemecatan. Jika Anda tidak muncul selama beberapa hari, Anda mungkin dipecat. Memang benar pimpinan tidak menginginkan hal itu karena memalukan. Aku hany"&amp;"a mondar-mandir dan tidak mempunyai pekerjaan apa-apa, namun saat sampai penilaian SKP aku tetap mendapat nilai bagus")</f>
        <v>ASN @utami_fitriyah biasanya dibuang di kecamatan. Dia semakin banyak berada di desa. Oleh karena itu, pelayanan kelurahan selalu dikeluhkan, padahal kelurahanlah yang paling banyak berhubungan dengan masyarakat. Sebaiknya kau segera memecatnya, tidak perlu membuangnya. Karena kini lebih mudah memberhentikan ASN, nilai SKP yang rendah bisa menjadi alasan pemecatan. Jika Anda tidak muncul selama beberapa hari, Anda mungkin dipecat. Memang benar pimpinan tidak menginginkan hal itu karena memalukan. Aku hanya mondar-mandir dan tidak mempunyai pekerjaan apa-apa, namun saat sampai penilaian SKP aku tetap mendapat nilai bagus</v>
      </c>
      <c r="I119" s="6" t="str">
        <f>IFERROR(__xludf.DUMMYFUNCTION("GOOGLETRANSLATE(G119, ""de"", ""en"")"),"@utami_fitriyah ASN is usually dumped in the sub-district. He is increasingly in the village. For this reason, sub-district services are always complained about, even though the sub-district is the one that deals most with the community. You should just f"&amp;"ire him immediately, there's no need to throw him away. Since it is now easier to dismiss ASN, a low SKP score can be a reason for dismissal. If you don't show up for a few days, you may be fired. It's true that the leadership doesn't want that because it"&amp;"'s a shame. I was just hanging around and didn't have any work, but when I got to the SKP assessment I kept getting good grades")</f>
        <v>@utami_fitriyah ASN is usually dumped in the sub-district. He is increasingly in the village. For this reason, sub-district services are always complained about, even though the sub-district is the one that deals most with the community. You should just fire him immediately, there's no need to throw him away. Since it is now easier to dismiss ASN, a low SKP score can be a reason for dismissal. If you don't show up for a few days, you may be fired. It's true that the leadership doesn't want that because it's a shame. I was just hanging around and didn't have any work, but when I got to the SKP assessment I kept getting good grades</v>
      </c>
      <c r="J119" s="6" t="str">
        <f>IFERROR(__xludf.DUMMYFUNCTION("GOOGLETRANSLATE(I119, ""en"", ""id"")"),"ASN @utami_fitriyah biasanya dibuang di kecamatan. Dia semakin banyak berada di desa. Oleh karena itu, pelayanan kelurahan selalu dikeluhkan, padahal kelurahanlah yang paling banyak berhubungan dengan masyarakat. Sebaiknya kau segera memecatnya, tidak per"&amp;"lu membuangnya. Karena kini lebih mudah memberhentikan ASN, nilai SKP yang rendah bisa menjadi alasan pemecatan. Jika Anda tidak muncul selama beberapa hari, Anda mungkin dipecat. Memang benar pimpinan tidak menginginkan hal itu karena memalukan. Aku hany"&amp;"a mondar-mandir dan tidak mempunyai pekerjaan apa-apa, namun saat sampai penilaian SKP aku tetap mendapat nilai bagus")</f>
        <v>ASN @utami_fitriyah biasanya dibuang di kecamatan. Dia semakin banyak berada di desa. Oleh karena itu, pelayanan kelurahan selalu dikeluhkan, padahal kelurahanlah yang paling banyak berhubungan dengan masyarakat. Sebaiknya kau segera memecatnya, tidak perlu membuangnya. Karena kini lebih mudah memberhentikan ASN, nilai SKP yang rendah bisa menjadi alasan pemecatan. Jika Anda tidak muncul selama beberapa hari, Anda mungkin dipecat. Memang benar pimpinan tidak menginginkan hal itu karena memalukan. Aku hanya mondar-mandir dan tidak mempunyai pekerjaan apa-apa, namun saat sampai penilaian SKP aku tetap mendapat nilai bagus</v>
      </c>
      <c r="K119" s="6" t="str">
        <f>IFERROR(__xludf.DUMMYFUNCTION("GOOGLETRANSLATE(F119, ""id"", ""en"")"),"@utami_fitriyah ASN is usually dumped in the sub-district. Increasingly, he is in the village. That's why sub-district services are always complained about even though the sub-district is the one that deals the most with the community. You should just fir"&amp;"e him straight away, there's no need to throw it away. Now that it's easy to fire ASN, a low SKP value can be a reason for dismissal. If you don't show up for a few days, you can be fired. It's true that the leadership doesn't want to because it's a pity."&amp;" I've been just hanging out with no work, but when I got to the SKP assessment, I kept getting good marks")</f>
        <v>@utami_fitriyah ASN is usually dumped in the sub-district. Increasingly, he is in the village. That's why sub-district services are always complained about even though the sub-district is the one that deals the most with the community. You should just fire him straight away, there's no need to throw it away. Now that it's easy to fire ASN, a low SKP value can be a reason for dismissal. If you don't show up for a few days, you can be fired. It's true that the leadership doesn't want to because it's a pity. I've been just hanging out with no work, but when I got to the SKP assessment, I kept getting good marks</v>
      </c>
      <c r="L119" s="6" t="s">
        <v>347</v>
      </c>
      <c r="M119" s="6" t="str">
        <f>IFERROR(__xludf.DUMMYFUNCTION("GOOGLETRANSLATE(L119, ""en"", ""de"")"),"@utami_fitriyah ASN wird normalerweise im Unterbezirk abgeladen. Zunehmend ist er im Dorf. Aus diesem Grund werden die Dienste der Unterbezirke immer beklagt, obwohl der Unterbezirk derjenige ist, der sich am meisten mit der Gemeinschaft befasst. Du sollt"&amp;"est ihn einfach sofort feuern, es ist nicht nötig, ihn wegzuwerfen. Da es nun einfacher ist, ASN zu entlassen, kann ein niedriger SKP-Wert ein Grund für eine Entlassung sein. Wenn Sie einige Tage lang nicht erscheinen, können Sie entlassen werden. Es stim"&amp;"mt, dass die Führung das nicht will, weil es schade ist. Ich habe einfach nur rumgehangen und keine Arbeit gehabt, aber als ich zur SKP-Bewertung kam, bekam ich immer wieder gute Noten")</f>
        <v>@utami_fitriyah ASN wird normalerweise im Unterbezirk abgeladen. Zunehmend ist er im Dorf. Aus diesem Grund werden die Dienste der Unterbezirke immer beklagt, obwohl der Unterbezirk derjenige ist, der sich am meisten mit der Gemeinschaft befasst. Du solltest ihn einfach sofort feuern, es ist nicht nötig, ihn wegzuwerfen. Da es nun einfacher ist, ASN zu entlassen, kann ein niedriger SKP-Wert ein Grund für eine Entlassung sein. Wenn Sie einige Tage lang nicht erscheinen, können Sie entlassen werden. Es stimmt, dass die Führung das nicht will, weil es schade ist. Ich habe einfach nur rumgehangen und keine Arbeit gehabt, aber als ich zur SKP-Bewertung kam, bekam ich immer wieder gute Noten</v>
      </c>
      <c r="N119" s="6" t="s">
        <v>348</v>
      </c>
      <c r="O119" s="6" t="str">
        <f>IFERROR(__xludf.DUMMYFUNCTION("GOOGLETRANSLATE(N119, ""de"", ""id"")"),"ASN @utami_fitriyah biasanya dibuang di kecamatan. Dia semakin banyak berada di desa. Oleh karena itu, pelayanan kelurahan selalu dikeluhkan, padahal kelurahanlah yang paling peduli dengan masyarakat. Sebaiknya kau segera memecatnya, tidak perlu membuangn"&amp;"ya. Karena kini lebih mudah memberhentikan ASN, nilai SKP yang rendah bisa menjadi alasan pemecatan. Jika Anda tidak muncul selama beberapa hari, Anda mungkin dipecat. Memang benar pimpinan tidak menginginkan hal itu karena memalukan. Aku hanya mondar-man"&amp;"dir dan tidak mempunyai pekerjaan apa-apa, namun saat sampai penilaian SKP aku tetap mendapat nilai bagus")</f>
        <v>ASN @utami_fitriyah biasanya dibuang di kecamatan. Dia semakin banyak berada di desa. Oleh karena itu, pelayanan kelurahan selalu dikeluhkan, padahal kelurahanlah yang paling peduli dengan masyarakat. Sebaiknya kau segera memecatnya, tidak perlu membuangnya. Karena kini lebih mudah memberhentikan ASN, nilai SKP yang rendah bisa menjadi alasan pemecatan. Jika Anda tidak muncul selama beberapa hari, Anda mungkin dipecat. Memang benar pimpinan tidak menginginkan hal itu karena memalukan. Aku hanya mondar-mandir dan tidak mempunyai pekerjaan apa-apa, namun saat sampai penilaian SKP aku tetap mendapat nilai bagus</v>
      </c>
    </row>
    <row r="120">
      <c r="A120" s="1" t="s">
        <v>17</v>
      </c>
      <c r="B120" s="1" t="s">
        <v>305</v>
      </c>
      <c r="C120" s="1" t="s">
        <v>342</v>
      </c>
      <c r="D120" s="4" t="s">
        <v>307</v>
      </c>
      <c r="E120" s="15" t="s">
        <v>349</v>
      </c>
      <c r="F120" s="6" t="str">
        <f>IFERROR(__xludf.DUMMYFUNCTION("IFERROR(ARRAYFORMULA(REGEXREPLACE(E120, ""("" &amp; TEXTJOIN(""|"", TRUE, FILTER(Q120:Q135, E:E&lt;&gt;"""")) &amp; "")"", 
                     INDEX(R120:R135, MATCH(REGEXEXTRACT(E120:E965, ""("" &amp; TEXTJOIN(""|"", TRUE, FILTER(Q120:Q135, Q120:Q135&lt;&gt;"""")) &amp; "")""), Q"&amp;"120:Q135, 0)))), E120)"),"@kodoka.5655 Untung aku bukan ASN pemda atau provinsi jadi tidak ada yang begitu. Kalau malas langsung mutasi ke pelosok contohnya di Pegunungan Jayawijaya sana.")</f>
        <v>@kodoka.5655 Untung aku bukan ASN pemda atau provinsi jadi tidak ada yang begitu. Kalau malas langsung mutasi ke pelosok contohnya di Pegunungan Jayawijaya sana.</v>
      </c>
      <c r="G120" s="6" t="str">
        <f>IFERROR(__xludf.DUMMYFUNCTION("GOOGLETRANSLATE(F120, ""id"", ""de"")
"),"@kodoka.5655 Zum Glück bin ich kein ASN einer lokalen oder provinziellen Regierung, also gibt es nichts Vergleichbares. Wenn Sie faul sind, fahren Sie direkt in abgelegene Gebiete, zum Beispiel in die Jayawijaya-Berge.")</f>
        <v>@kodoka.5655 Zum Glück bin ich kein ASN einer lokalen oder provinziellen Regierung, also gibt es nichts Vergleichbares. Wenn Sie faul sind, fahren Sie direkt in abgelegene Gebiete, zum Beispiel in die Jayawijaya-Berge.</v>
      </c>
      <c r="H120" s="6" t="str">
        <f>IFERROR(__xludf.DUMMYFUNCTION("GOOGLETRANSLATE(G120, ""de"", ""id"")"),"@kodoka.5655 Untung saya bukan ASN pemerintah daerah atau provinsi, jadi tidak ada tandingannya. Kalau malas, langsung saja ke daerah terpencil, seperti Pegunungan Jayawijaya.")</f>
        <v>@kodoka.5655 Untung saya bukan ASN pemerintah daerah atau provinsi, jadi tidak ada tandingannya. Kalau malas, langsung saja ke daerah terpencil, seperti Pegunungan Jayawijaya.</v>
      </c>
      <c r="I120" s="6" t="str">
        <f>IFERROR(__xludf.DUMMYFUNCTION("GOOGLETRANSLATE(G120, ""de"", ""en"")"),"@kodoka.5655 Luckily I'm not a local or provincial government ASN, so there's nothing comparable. If you're lazy, head straight to remote areas, such as the Jayawijaya Mountains.")</f>
        <v>@kodoka.5655 Luckily I'm not a local or provincial government ASN, so there's nothing comparable. If you're lazy, head straight to remote areas, such as the Jayawijaya Mountains.</v>
      </c>
      <c r="J120" s="6" t="str">
        <f>IFERROR(__xludf.DUMMYFUNCTION("GOOGLETRANSLATE(I120, ""en"", ""id"")"),"@kodoka.5655 Untung saya bukan ASN pemerintah daerah atau provinsi, jadi tidak ada tandingannya. Kalau malas, langsung saja ke daerah terpencil, seperti Pegunungan Jayawijaya.")</f>
        <v>@kodoka.5655 Untung saya bukan ASN pemerintah daerah atau provinsi, jadi tidak ada tandingannya. Kalau malas, langsung saja ke daerah terpencil, seperti Pegunungan Jayawijaya.</v>
      </c>
      <c r="K120" s="6" t="str">
        <f>IFERROR(__xludf.DUMMYFUNCTION("GOOGLETRANSLATE(F120, ""id"", ""en"")"),"@kodoka.5655 Luckily I'm not a local or provincial government ASN so there's nothing like that. If you are lazy, transfer directly to remote areas, for example in the Jayawijaya Mountains.")</f>
        <v>@kodoka.5655 Luckily I'm not a local or provincial government ASN so there's nothing like that. If you are lazy, transfer directly to remote areas, for example in the Jayawijaya Mountains.</v>
      </c>
      <c r="L120" s="6" t="s">
        <v>350</v>
      </c>
      <c r="M120" s="6" t="str">
        <f>IFERROR(__xludf.DUMMYFUNCTION("GOOGLETRANSLATE(L120, ""en"", ""de"")"),"@kodoka.5655 Zum Glück bin ich kein ASN einer lokalen oder provinziellen Regierung, also gibt es nichts Vergleichbares. Wenn Sie faul sind, fahren Sie gleich in abgelegene Gebiete, zum Beispiel in die Jayawijaya-Berge.")</f>
        <v>@kodoka.5655 Zum Glück bin ich kein ASN einer lokalen oder provinziellen Regierung, also gibt es nichts Vergleichbares. Wenn Sie faul sind, fahren Sie gleich in abgelegene Gebiete, zum Beispiel in die Jayawijaya-Berge.</v>
      </c>
      <c r="N120" s="6" t="s">
        <v>351</v>
      </c>
      <c r="O120" s="6" t="str">
        <f>IFERROR(__xludf.DUMMYFUNCTION("GOOGLETRANSLATE(N120, ""de"", ""id"")"),"@kodoka.5655 Untung saya bukan ASN pemerintah daerah atau provinsi, jadi tidak ada tandingannya. Kalau malas, langsung saja ke daerah terpencil, seperti Pegunungan Jayawijaya.")</f>
        <v>@kodoka.5655 Untung saya bukan ASN pemerintah daerah atau provinsi, jadi tidak ada tandingannya. Kalau malas, langsung saja ke daerah terpencil, seperti Pegunungan Jayawijaya.</v>
      </c>
    </row>
    <row r="121">
      <c r="A121" s="1" t="s">
        <v>17</v>
      </c>
      <c r="B121" s="1" t="s">
        <v>305</v>
      </c>
      <c r="C121" s="1" t="s">
        <v>352</v>
      </c>
      <c r="D121" s="4" t="s">
        <v>307</v>
      </c>
      <c r="E121" s="15" t="s">
        <v>353</v>
      </c>
      <c r="F121" s="6" t="str">
        <f>IFERROR(__xludf.DUMMYFUNCTION("IFERROR(ARRAYFORMULA(REGEXREPLACE(E121, ""("" &amp; TEXTJOIN(""|"", TRUE, FILTER(Q121:Q136, E:E&lt;&gt;"""")) &amp; "")"", 
                     INDEX(R121:R136, MATCH(REGEXEXTRACT(E121:E965, ""("" &amp; TEXTJOIN(""|"", TRUE, FILTER(Q121:Q136, Q121:Q136&lt;&gt;"""")) &amp; "")""), Q"&amp;"121:Q136, 0)))), E121)"),"Angsurannya bgmn kasihan")</f>
        <v>Angsurannya bgmn kasihan</v>
      </c>
      <c r="G121" s="6" t="str">
        <f>IFERROR(__xludf.DUMMYFUNCTION("GOOGLETRANSLATE(F121, ""id"", ""de"")
"),"Schade, dass die Ratenzahlungen so sind")</f>
        <v>Schade, dass die Ratenzahlungen so sind</v>
      </c>
      <c r="H121" s="6" t="str">
        <f>IFERROR(__xludf.DUMMYFUNCTION("GOOGLETRANSLATE(G121, ""de"", ""id"")"),"Sayang sekali pembayaran cicilannya seperti itu")</f>
        <v>Sayang sekali pembayaran cicilannya seperti itu</v>
      </c>
      <c r="I121" s="6" t="str">
        <f>IFERROR(__xludf.DUMMYFUNCTION("GOOGLETRANSLATE(G121, ""de"", ""en"")"),"It's a shame that the installment payments are like that")</f>
        <v>It's a shame that the installment payments are like that</v>
      </c>
      <c r="J121" s="6" t="str">
        <f>IFERROR(__xludf.DUMMYFUNCTION("GOOGLETRANSLATE(I121, ""en"", ""id"")"),"Sayang sekali pembayaran cicilannya seperti itu")</f>
        <v>Sayang sekali pembayaran cicilannya seperti itu</v>
      </c>
      <c r="K121" s="6" t="str">
        <f>IFERROR(__xludf.DUMMYFUNCTION("GOOGLETRANSLATE(F121, ""id"", ""en"")"),"What a pity the installments are")</f>
        <v>What a pity the installments are</v>
      </c>
      <c r="L121" s="6" t="s">
        <v>354</v>
      </c>
      <c r="M121" s="6" t="str">
        <f>IFERROR(__xludf.DUMMYFUNCTION("GOOGLETRANSLATE(L121, ""en"", ""de"")"),"Schade, dass die Ratenzahlungen so sind")</f>
        <v>Schade, dass die Ratenzahlungen so sind</v>
      </c>
      <c r="N121" s="6" t="s">
        <v>355</v>
      </c>
      <c r="O121" s="6" t="str">
        <f>IFERROR(__xludf.DUMMYFUNCTION("GOOGLETRANSLATE(N121, ""de"", ""id"")"),"Sayang sekali pembayaran cicilannya seperti itu")</f>
        <v>Sayang sekali pembayaran cicilannya seperti itu</v>
      </c>
    </row>
    <row r="122">
      <c r="A122" s="1" t="s">
        <v>17</v>
      </c>
      <c r="B122" s="1" t="s">
        <v>305</v>
      </c>
      <c r="C122" s="1" t="s">
        <v>356</v>
      </c>
      <c r="D122" s="4" t="s">
        <v>307</v>
      </c>
      <c r="E122" s="15" t="s">
        <v>357</v>
      </c>
      <c r="F122" s="6" t="str">
        <f>IFERROR(__xludf.DUMMYFUNCTION("IFERROR(ARRAYFORMULA(REGEXREPLACE(E122, ""("" &amp; TEXTJOIN(""|"", TRUE, FILTER(Q122:Q137, E:E&lt;&gt;"""")) &amp; "")"", 
                     INDEX(R122:R137, MATCH(REGEXEXTRACT(E122:E965, ""("" &amp; TEXTJOIN(""|"", TRUE, FILTER(Q122:Q137, Q122:Q137&lt;&gt;"""")) &amp; "")""), Q"&amp;"122:Q137, 0)))), E122)"),"@multazamst sampean orang leasing, bank atau balai lelang😂")</f>
        <v>@multazamst sampean orang leasing, bank atau balai lelang😂</v>
      </c>
      <c r="G122" s="6" t="str">
        <f>IFERROR(__xludf.DUMMYFUNCTION("GOOGLETRANSLATE(F122, ""id"", ""de"")
"),"@multazamst ihr Leute von Leasing, Banken oder Auktionshäusern😂")</f>
        <v>@multazamst ihr Leute von Leasing, Banken oder Auktionshäusern😂</v>
      </c>
      <c r="H122" s="6" t="str">
        <f>IFERROR(__xludf.DUMMYFUNCTION("GOOGLETRANSLATE(G122, ""de"", ""id"")"),"@multazamst kalian dari leasing, bank atau balai lelang😂")</f>
        <v>@multazamst kalian dari leasing, bank atau balai lelang😂</v>
      </c>
      <c r="I122" s="6" t="str">
        <f>IFERROR(__xludf.DUMMYFUNCTION("GOOGLETRANSLATE(G122, ""de"", ""en"")"),"@multazamst you people from leasing, banks or auction houses😂")</f>
        <v>@multazamst you people from leasing, banks or auction houses😂</v>
      </c>
      <c r="J122" s="6" t="str">
        <f>IFERROR(__xludf.DUMMYFUNCTION("GOOGLETRANSLATE(I122, ""en"", ""id"")"),"@multazamst kalian dari leasing, bank atau balai lelang😂")</f>
        <v>@multazamst kalian dari leasing, bank atau balai lelang😂</v>
      </c>
      <c r="K122" s="6" t="str">
        <f>IFERROR(__xludf.DUMMYFUNCTION("GOOGLETRANSLATE(F122, ""id"", ""en"")"),"@multazamst you people from leasing, banks or auction houses😂")</f>
        <v>@multazamst you people from leasing, banks or auction houses😂</v>
      </c>
      <c r="L122" s="6" t="s">
        <v>358</v>
      </c>
      <c r="M122" s="6" t="str">
        <f>IFERROR(__xludf.DUMMYFUNCTION("GOOGLETRANSLATE(L122, ""en"", ""de"")"),"@multazamst ihr Leute von Leasing, Banken oder Auktionshäusern😂")</f>
        <v>@multazamst ihr Leute von Leasing, Banken oder Auktionshäusern😂</v>
      </c>
      <c r="N122" s="6" t="s">
        <v>359</v>
      </c>
      <c r="O122" s="6" t="str">
        <f>IFERROR(__xludf.DUMMYFUNCTION("GOOGLETRANSLATE(N122, ""de"", ""id"")"),"@multazamst kalian dari leasing, bank atau balai lelang😂")</f>
        <v>@multazamst kalian dari leasing, bank atau balai lelang😂</v>
      </c>
    </row>
    <row r="123">
      <c r="A123" s="1" t="s">
        <v>17</v>
      </c>
      <c r="B123" s="1" t="s">
        <v>305</v>
      </c>
      <c r="C123" s="1" t="s">
        <v>352</v>
      </c>
      <c r="D123" s="4" t="s">
        <v>307</v>
      </c>
      <c r="E123" s="1" t="s">
        <v>360</v>
      </c>
      <c r="F123" s="6" t="str">
        <f>IFERROR(__xludf.DUMMYFUNCTION("IFERROR(ARRAYFORMULA(REGEXREPLACE(E123, ""("" &amp; TEXTJOIN(""|"", TRUE, FILTER(Q123:Q138, E:E&lt;&gt;"""")) &amp; "")"", 
                     INDEX(R123:R138, MATCH(REGEXEXTRACT(E123:E965, ""("" &amp; TEXTJOIN(""|"", TRUE, FILTER(Q123:Q138, Q123:Q138&lt;&gt;"""")) &amp; "")""), Q"&amp;"123:Q138, 0)))), E123)"),"@yoyo_sukaryatmo taksasi😂")</f>
        <v>@yoyo_sukaryatmo taksasi😂</v>
      </c>
      <c r="G123" s="6" t="str">
        <f>IFERROR(__xludf.DUMMYFUNCTION("GOOGLETRANSLATE(F123, ""id"", ""de"")
"),"@yoyo_sukaryatmo takasi😂")</f>
        <v>@yoyo_sukaryatmo takasi😂</v>
      </c>
      <c r="H123" s="6" t="str">
        <f>IFERROR(__xludf.DUMMYFUNCTION("GOOGLETRANSLATE(G123, ""de"", ""id"")"),"@yoyo_sukaryatmo takasi😂")</f>
        <v>@yoyo_sukaryatmo takasi😂</v>
      </c>
      <c r="I123" s="6" t="str">
        <f>IFERROR(__xludf.DUMMYFUNCTION("GOOGLETRANSLATE(G123, ""de"", ""en"")"),"@yoyo_sukaryatmo takasi😂")</f>
        <v>@yoyo_sukaryatmo takasi😂</v>
      </c>
      <c r="J123" s="6" t="str">
        <f>IFERROR(__xludf.DUMMYFUNCTION("GOOGLETRANSLATE(I123, ""en"", ""id"")"),"@yoyo_sukaryatmo takasi😂")</f>
        <v>@yoyo_sukaryatmo takasi😂</v>
      </c>
      <c r="K123" s="6" t="str">
        <f>IFERROR(__xludf.DUMMYFUNCTION("GOOGLETRANSLATE(F123, ""id"", ""en"")"),"@yoyo_sukaryatmo takasi😂")</f>
        <v>@yoyo_sukaryatmo takasi😂</v>
      </c>
      <c r="L123" s="6" t="s">
        <v>361</v>
      </c>
      <c r="M123" s="6" t="str">
        <f>IFERROR(__xludf.DUMMYFUNCTION("GOOGLETRANSLATE(L123, ""en"", ""de"")"),"@yoyo_sukaryatmo takasi😂")</f>
        <v>@yoyo_sukaryatmo takasi😂</v>
      </c>
      <c r="N123" s="6" t="s">
        <v>361</v>
      </c>
      <c r="O123" s="6" t="str">
        <f>IFERROR(__xludf.DUMMYFUNCTION("GOOGLETRANSLATE(N123, ""de"", ""id"")"),"@yoyo_sukaryatmo takasi😂")</f>
        <v>@yoyo_sukaryatmo takasi😂</v>
      </c>
    </row>
    <row r="124">
      <c r="A124" s="1" t="s">
        <v>17</v>
      </c>
      <c r="B124" s="1" t="s">
        <v>305</v>
      </c>
      <c r="C124" s="1" t="s">
        <v>362</v>
      </c>
      <c r="D124" s="4" t="s">
        <v>307</v>
      </c>
      <c r="E124" s="1" t="s">
        <v>363</v>
      </c>
      <c r="F124" s="6" t="str">
        <f>IFERROR(__xludf.DUMMYFUNCTION("IFERROR(ARRAYFORMULA(REGEXREPLACE(E124, ""("" &amp; TEXTJOIN(""|"", TRUE, FILTER(Q124:Q139, E:E&lt;&gt;"""")) &amp; "")"", 
                     INDEX(R124:R139, MATCH(REGEXEXTRACT(E124:E965, ""("" &amp; TEXTJOIN(""|"", TRUE, FILTER(Q124:Q139, Q124:Q139&lt;&gt;"""")) &amp; "")""), Q"&amp;"124:Q139, 0)))), E124)"),"POLDA SULTENG SEMAKIN BERANI🔥🔥🔥")</f>
        <v>POLDA SULTENG SEMAKIN BERANI🔥🔥🔥</v>
      </c>
      <c r="G124" s="6" t="str">
        <f>IFERROR(__xludf.DUMMYFUNCTION("GOOGLETRANSLATE(F124, ""id"", ""de"")
"),"SULTENG POLDA WIRD mutiger🔥🔥🔥")</f>
        <v>SULTENG POLDA WIRD mutiger🔥🔥🔥</v>
      </c>
      <c r="H124" s="6" t="str">
        <f>IFERROR(__xludf.DUMMYFUNCTION("GOOGLETRANSLATE(G124, ""de"", ""id"")"),"SULTENG POLDA JADI LEBIH BERANI🔥🔥🔥")</f>
        <v>SULTENG POLDA JADI LEBIH BERANI🔥🔥🔥</v>
      </c>
      <c r="I124" s="6" t="str">
        <f>IFERROR(__xludf.DUMMYFUNCTION("GOOGLETRANSLATE(G124, ""de"", ""en"")"),"SULTENG POLDA BECOMES braver🔥🔥🔥")</f>
        <v>SULTENG POLDA BECOMES braver🔥🔥🔥</v>
      </c>
      <c r="J124" s="6" t="str">
        <f>IFERROR(__xludf.DUMMYFUNCTION("GOOGLETRANSLATE(I124, ""en"", ""id"")"),"SULTENG POLDA JADI LEBIH BERANI🔥🔥🔥")</f>
        <v>SULTENG POLDA JADI LEBIH BERANI🔥🔥🔥</v>
      </c>
      <c r="K124" s="6" t="str">
        <f>IFERROR(__xludf.DUMMYFUNCTION("GOOGLETRANSLATE(F124, ""id"", ""en"")"),"SULTENG POLDA IS GETTING BOLDER🔥🔥🔥")</f>
        <v>SULTENG POLDA IS GETTING BOLDER🔥🔥🔥</v>
      </c>
      <c r="L124" s="6" t="s">
        <v>364</v>
      </c>
      <c r="M124" s="6" t="str">
        <f>IFERROR(__xludf.DUMMYFUNCTION("GOOGLETRANSLATE(L124, ""en"", ""de"")"),"SULTENG POLDA WIRD mutiger🔥🔥🔥")</f>
        <v>SULTENG POLDA WIRD mutiger🔥🔥🔥</v>
      </c>
      <c r="N124" s="6" t="s">
        <v>365</v>
      </c>
      <c r="O124" s="6" t="str">
        <f>IFERROR(__xludf.DUMMYFUNCTION("GOOGLETRANSLATE(N124, ""de"", ""id"")"),"SULTENG POLDA JADI LEBIH BERANI🔥🔥🔥")</f>
        <v>SULTENG POLDA JADI LEBIH BERANI🔥🔥🔥</v>
      </c>
    </row>
    <row r="125">
      <c r="A125" s="1" t="s">
        <v>17</v>
      </c>
      <c r="B125" s="1" t="s">
        <v>305</v>
      </c>
      <c r="C125" s="1" t="s">
        <v>366</v>
      </c>
      <c r="D125" s="4" t="s">
        <v>307</v>
      </c>
      <c r="E125" s="1" t="s">
        <v>367</v>
      </c>
      <c r="F125" s="6" t="str">
        <f>IFERROR(__xludf.DUMMYFUNCTION("IFERROR(ARRAYFORMULA(REGEXREPLACE(E125, ""("" &amp; TEXTJOIN(""|"", TRUE, FILTER(Q125:Q140, E:E&lt;&gt;"""")) &amp; "")"", 
                     INDEX(R125:R140, MATCH(REGEXEXTRACT(E125:E965, ""("" &amp; TEXTJOIN(""|"", TRUE, FILTER(Q125:Q140, Q125:Q140&lt;&gt;"""")) &amp; "")""), Q"&amp;"125:Q140, 0)))), E125)"),"@andreasrevanth saya dukung dengan keberaniannya👏👏👏👏")</f>
        <v>@andreasrevanth saya dukung dengan keberaniannya👏👏👏👏</v>
      </c>
      <c r="G125" s="6" t="str">
        <f>IFERROR(__xludf.DUMMYFUNCTION("GOOGLETRANSLATE(F125, ""id"", ""de"")
"),"@andreasrevanth Ich unterstütze seinen Mut👏👏👏👏")</f>
        <v>@andreasrevanth Ich unterstütze seinen Mut👏👏👏👏</v>
      </c>
      <c r="H125" s="6" t="str">
        <f>IFERROR(__xludf.DUMMYFUNCTION("GOOGLETRANSLATE(G125, ""de"", ""id"")"),"@andreasrevanth saya mendukung keberaniannya👏👏👏👏")</f>
        <v>@andreasrevanth saya mendukung keberaniannya👏👏👏👏</v>
      </c>
      <c r="I125" s="6" t="str">
        <f>IFERROR(__xludf.DUMMYFUNCTION("GOOGLETRANSLATE(G125, ""de"", ""en"")"),"@andreasrevanth I support his courage👏👏👏👏")</f>
        <v>@andreasrevanth I support his courage👏👏👏👏</v>
      </c>
      <c r="J125" s="6" t="str">
        <f>IFERROR(__xludf.DUMMYFUNCTION("GOOGLETRANSLATE(I125, ""en"", ""id"")"),"@andreasrevanth saya mendukung keberaniannya👏👏👏👏")</f>
        <v>@andreasrevanth saya mendukung keberaniannya👏👏👏👏</v>
      </c>
      <c r="K125" s="6" t="str">
        <f>IFERROR(__xludf.DUMMYFUNCTION("GOOGLETRANSLATE(F125, ""id"", ""en"")"),"@andreasrevanth I support his courage👏👏👏👏")</f>
        <v>@andreasrevanth I support his courage👏👏👏👏</v>
      </c>
      <c r="L125" s="6" t="s">
        <v>368</v>
      </c>
      <c r="M125" s="6" t="str">
        <f>IFERROR(__xludf.DUMMYFUNCTION("GOOGLETRANSLATE(L125, ""en"", ""de"")"),"@andreasrevanth Ich unterstütze seinen Mut👏👏👏👏")</f>
        <v>@andreasrevanth Ich unterstütze seinen Mut👏👏👏👏</v>
      </c>
      <c r="N125" s="6" t="s">
        <v>369</v>
      </c>
      <c r="O125" s="6" t="str">
        <f>IFERROR(__xludf.DUMMYFUNCTION("GOOGLETRANSLATE(N125, ""de"", ""id"")"),"@andreasrevanth saya mendukung keberaniannya👏👏👏👏")</f>
        <v>@andreasrevanth saya mendukung keberaniannya👏👏👏👏</v>
      </c>
    </row>
    <row r="126">
      <c r="A126" s="1" t="s">
        <v>17</v>
      </c>
      <c r="B126" s="1" t="s">
        <v>305</v>
      </c>
      <c r="C126" s="1" t="s">
        <v>370</v>
      </c>
      <c r="D126" s="4" t="s">
        <v>307</v>
      </c>
      <c r="E126" s="1" t="s">
        <v>371</v>
      </c>
      <c r="F126" s="6" t="str">
        <f>IFERROR(__xludf.DUMMYFUNCTION("IFERROR(ARRAYFORMULA(REGEXREPLACE(E126, ""("" &amp; TEXTJOIN(""|"", TRUE, FILTER(Q126:Q141, E:E&lt;&gt;"""")) &amp; "")"", 
                     INDEX(R126:R141, MATCH(REGEXEXTRACT(E126:E965, ""("" &amp; TEXTJOIN(""|"", TRUE, FILTER(Q126:Q141, Q126:Q141&lt;&gt;"""")) &amp; "")""), Q"&amp;"126:Q141, 0)))), E126)"),"Bersih² alhamdulillah... Punya teman² yg aktif di kepolisian mereka orang baik dan sholeh. Semoga mereka jadi teladan di masyarakat.")</f>
        <v>Bersih² alhamdulillah... Punya teman² yg aktif di kepolisian mereka orang baik dan sholeh. Semoga mereka jadi teladan di masyarakat.</v>
      </c>
      <c r="G126" s="6" t="str">
        <f>IFERROR(__xludf.DUMMYFUNCTION("GOOGLETRANSLATE(F126, ""id"", ""de"")
"),"Sauber, Gott sei Dank... Ich habe Freunde, die bei der Polizei aktiv sind, es sind gute und fromme Menschen. Hoffentlich werden sie zu Vorbildern in der Gesellschaft.")</f>
        <v>Sauber, Gott sei Dank... Ich habe Freunde, die bei der Polizei aktiv sind, es sind gute und fromme Menschen. Hoffentlich werden sie zu Vorbildern in der Gesellschaft.</v>
      </c>
      <c r="H126" s="6" t="str">
        <f>IFERROR(__xludf.DUMMYFUNCTION("GOOGLETRANSLATE(G126, ""de"", ""id"")"),"Bersih alhamdulillah... Saya mempunyai teman-teman yang aktif di kepolisian, mereka adalah orang-orang yang baik dan alim. Mudah-mudahan mereka menjadi teladan di masyarakat.")</f>
        <v>Bersih alhamdulillah... Saya mempunyai teman-teman yang aktif di kepolisian, mereka adalah orang-orang yang baik dan alim. Mudah-mudahan mereka menjadi teladan di masyarakat.</v>
      </c>
      <c r="I126" s="6" t="str">
        <f>IFERROR(__xludf.DUMMYFUNCTION("GOOGLETRANSLATE(G126, ""de"", ""en"")"),"Clean, thank God... I have friends who are active in the police, they are good and pious people. Hopefully they will become role models in society.")</f>
        <v>Clean, thank God... I have friends who are active in the police, they are good and pious people. Hopefully they will become role models in society.</v>
      </c>
      <c r="J126" s="6" t="str">
        <f>IFERROR(__xludf.DUMMYFUNCTION("GOOGLETRANSLATE(I126, ""en"", ""id"")"),"Bersih alhamdulillah... Saya mempunyai teman-teman yang aktif di kepolisian, mereka adalah orang-orang yang baik dan alim. Mudah-mudahan mereka menjadi teladan di masyarakat.")</f>
        <v>Bersih alhamdulillah... Saya mempunyai teman-teman yang aktif di kepolisian, mereka adalah orang-orang yang baik dan alim. Mudah-mudahan mereka menjadi teladan di masyarakat.</v>
      </c>
      <c r="K126" s="6" t="str">
        <f>IFERROR(__xludf.DUMMYFUNCTION("GOOGLETRANSLATE(F126, ""id"", ""en"")"),"Clean, thank God... I have friends who are active in the police, they are good and pious people. Hopefully they will become role models in society.")</f>
        <v>Clean, thank God... I have friends who are active in the police, they are good and pious people. Hopefully they will become role models in society.</v>
      </c>
      <c r="L126" s="6" t="s">
        <v>372</v>
      </c>
      <c r="M126" s="6" t="str">
        <f>IFERROR(__xludf.DUMMYFUNCTION("GOOGLETRANSLATE(L126, ""en"", ""de"")"),"Sauber, Gott sei Dank... Ich habe Freunde, die bei der Polizei aktiv sind, es sind gute und fromme Menschen. Hoffentlich werden sie zu Vorbildern in der Gesellschaft.")</f>
        <v>Sauber, Gott sei Dank... Ich habe Freunde, die bei der Polizei aktiv sind, es sind gute und fromme Menschen. Hoffentlich werden sie zu Vorbildern in der Gesellschaft.</v>
      </c>
      <c r="N126" s="6" t="s">
        <v>373</v>
      </c>
      <c r="O126" s="6" t="str">
        <f>IFERROR(__xludf.DUMMYFUNCTION("GOOGLETRANSLATE(N126, ""de"", ""id"")"),"Bersih alhamdulillah... Saya mempunyai teman-teman yang aktif di kepolisian, mereka adalah orang-orang yang baik dan alim. Mudah-mudahan mereka menjadi teladan di masyarakat.")</f>
        <v>Bersih alhamdulillah... Saya mempunyai teman-teman yang aktif di kepolisian, mereka adalah orang-orang yang baik dan alim. Mudah-mudahan mereka menjadi teladan di masyarakat.</v>
      </c>
    </row>
    <row r="127">
      <c r="A127" s="1" t="s">
        <v>17</v>
      </c>
      <c r="B127" s="1" t="s">
        <v>305</v>
      </c>
      <c r="C127" s="1" t="s">
        <v>374</v>
      </c>
      <c r="D127" s="4" t="s">
        <v>307</v>
      </c>
      <c r="E127" s="1" t="s">
        <v>375</v>
      </c>
      <c r="F127" s="6" t="str">
        <f>IFERROR(__xludf.DUMMYFUNCTION("IFERROR(ARRAYFORMULA(REGEXREPLACE(E127, ""("" &amp; TEXTJOIN(""|"", TRUE, FILTER(Q127:Q142, E:E&lt;&gt;"""")) &amp; "")"", 
                     INDEX(R127:R142, MATCH(REGEXEXTRACT(E127:E965, ""("" &amp; TEXTJOIN(""|"", TRUE, FILTER(Q127:Q142, Q127:Q142&lt;&gt;"""")) &amp; "")""), Q"&amp;"127:Q142, 0)))), E127)"),"Nda usa dipecat.. Pindh tugas sj dipapua ksh baku hantam sm KKB😂😂")</f>
        <v>Nda usa dipecat.. Pindh tugas sj dipapua ksh baku hantam sm KKB😂😂</v>
      </c>
      <c r="G127" s="6" t="str">
        <f>IFERROR(__xludf.DUMMYFUNCTION("GOOGLETRANSLATE(F127, ""id"", ""de"")
"),"Es besteht kein Grund, gefeuert zu werden. Ich bin gerade zur Arbeit nach Papua gezogen, bin aber in einen Faustkampf mit KKB geraten😂😂")</f>
        <v>Es besteht kein Grund, gefeuert zu werden. Ich bin gerade zur Arbeit nach Papua gezogen, bin aber in einen Faustkampf mit KKB geraten😂😂</v>
      </c>
      <c r="H127" s="6" t="str">
        <f>IFERROR(__xludf.DUMMYFUNCTION("GOOGLETRANSLATE(G127, ""de"", ""id"")"),"Tidak ada alasan untuk dipecat. Saya baru pindah ke Papua untuk bekerja tapi adu jotos dengan KKB😂😂")</f>
        <v>Tidak ada alasan untuk dipecat. Saya baru pindah ke Papua untuk bekerja tapi adu jotos dengan KKB😂😂</v>
      </c>
      <c r="I127" s="6" t="str">
        <f>IFERROR(__xludf.DUMMYFUNCTION("GOOGLETRANSLATE(G127, ""de"", ""en"")"),"There is no reason to be fired. I just moved to Papua for work but got into a fist fight with KKB😂😂")</f>
        <v>There is no reason to be fired. I just moved to Papua for work but got into a fist fight with KKB😂😂</v>
      </c>
      <c r="J127" s="6" t="str">
        <f>IFERROR(__xludf.DUMMYFUNCTION("GOOGLETRANSLATE(I127, ""en"", ""id"")"),"Tidak ada alasan untuk dipecat. Saya baru pindah ke Papua untuk bekerja tapi adu jotos dengan KKB😂😂")</f>
        <v>Tidak ada alasan untuk dipecat. Saya baru pindah ke Papua untuk bekerja tapi adu jotos dengan KKB😂😂</v>
      </c>
      <c r="K127" s="6" t="str">
        <f>IFERROR(__xludf.DUMMYFUNCTION("GOOGLETRANSLATE(F127, ""id"", ""en"")"),"No need to be fired.. Just moved to work in Papua but got into a fist fight with KKB😂😂")</f>
        <v>No need to be fired.. Just moved to work in Papua but got into a fist fight with KKB😂😂</v>
      </c>
      <c r="L127" s="6" t="s">
        <v>376</v>
      </c>
      <c r="M127" s="6" t="str">
        <f>IFERROR(__xludf.DUMMYFUNCTION("GOOGLETRANSLATE(L127, ""en"", ""de"")"),"Es besteht kein Grund, gefeuert zu werden. Ich bin gerade zur Arbeit nach Papua gezogen, bin aber in einen Faustkampf mit KKB geraten😂😂")</f>
        <v>Es besteht kein Grund, gefeuert zu werden. Ich bin gerade zur Arbeit nach Papua gezogen, bin aber in einen Faustkampf mit KKB geraten😂😂</v>
      </c>
      <c r="N127" s="6" t="s">
        <v>377</v>
      </c>
      <c r="O127" s="6" t="str">
        <f>IFERROR(__xludf.DUMMYFUNCTION("GOOGLETRANSLATE(N127, ""de"", ""id"")"),"Tidak ada alasan untuk dipecat. Saya baru pindah ke Papua untuk bekerja tapi adu jotos dengan KKB😂😂")</f>
        <v>Tidak ada alasan untuk dipecat. Saya baru pindah ke Papua untuk bekerja tapi adu jotos dengan KKB😂😂</v>
      </c>
    </row>
    <row r="128">
      <c r="A128" s="1" t="s">
        <v>17</v>
      </c>
      <c r="B128" s="1" t="s">
        <v>305</v>
      </c>
      <c r="C128" s="1" t="s">
        <v>378</v>
      </c>
      <c r="D128" s="4" t="s">
        <v>307</v>
      </c>
      <c r="E128" s="1" t="s">
        <v>296</v>
      </c>
      <c r="F128" s="6" t="str">
        <f>IFERROR(__xludf.DUMMYFUNCTION("IFERROR(ARRAYFORMULA(REGEXREPLACE(E128, ""("" &amp; TEXTJOIN(""|"", TRUE, FILTER(Q128:Q143, E:E&lt;&gt;"""")) &amp; "")"", 
                     INDEX(R128:R143, MATCH(REGEXEXTRACT(E128:E965, ""("" &amp; TEXTJOIN(""|"", TRUE, FILTER(Q128:Q143, Q128:Q143&lt;&gt;"""")) &amp; "")""), Q"&amp;"128:Q143, 0)))), E128)"),"🙌")</f>
        <v>🙌</v>
      </c>
      <c r="G128" s="6" t="str">
        <f>IFERROR(__xludf.DUMMYFUNCTION("GOOGLETRANSLATE(F128, ""id"", ""de"")
"),"🙌")</f>
        <v>🙌</v>
      </c>
      <c r="H128" s="6" t="str">
        <f>IFERROR(__xludf.DUMMYFUNCTION("GOOGLETRANSLATE(G128, ""de"", ""id"")"),"🙌")</f>
        <v>🙌</v>
      </c>
      <c r="I128" s="6" t="str">
        <f>IFERROR(__xludf.DUMMYFUNCTION("GOOGLETRANSLATE(G128, ""de"", ""en"")"),"🙌")</f>
        <v>🙌</v>
      </c>
      <c r="J128" s="6" t="str">
        <f>IFERROR(__xludf.DUMMYFUNCTION("GOOGLETRANSLATE(I128, ""en"", ""id"")"),"🙌")</f>
        <v>🙌</v>
      </c>
      <c r="K128" s="6" t="str">
        <f>IFERROR(__xludf.DUMMYFUNCTION("GOOGLETRANSLATE(F128, ""id"", ""en"")"),"🙌")</f>
        <v>🙌</v>
      </c>
      <c r="L128" s="6" t="s">
        <v>296</v>
      </c>
      <c r="M128" s="6" t="str">
        <f>IFERROR(__xludf.DUMMYFUNCTION("GOOGLETRANSLATE(L128, ""en"", ""de"")"),"🙌")</f>
        <v>🙌</v>
      </c>
      <c r="N128" s="6" t="s">
        <v>296</v>
      </c>
      <c r="O128" s="6" t="str">
        <f>IFERROR(__xludf.DUMMYFUNCTION("GOOGLETRANSLATE(N128, ""de"", ""id"")"),"🙌")</f>
        <v>🙌</v>
      </c>
    </row>
    <row r="129">
      <c r="A129" s="1" t="s">
        <v>17</v>
      </c>
      <c r="B129" s="1" t="s">
        <v>305</v>
      </c>
      <c r="C129" s="1" t="s">
        <v>379</v>
      </c>
      <c r="D129" s="4" t="s">
        <v>307</v>
      </c>
      <c r="E129" s="1" t="s">
        <v>380</v>
      </c>
      <c r="F129" s="6" t="str">
        <f>IFERROR(__xludf.DUMMYFUNCTION("IFERROR(ARRAYFORMULA(REGEXREPLACE(E129, ""("" &amp; TEXTJOIN(""|"", TRUE, FILTER(Q129:Q144, E:E&lt;&gt;"""")) &amp; "")"", 
                     INDEX(R129:R144, MATCH(REGEXEXTRACT(E129:E965, ""("" &amp; TEXTJOIN(""|"", TRUE, FILTER(Q129:Q144, Q129:Q144&lt;&gt;"""")) &amp; "")""), Q"&amp;"129:Q144, 0)))), E129)"),"Pelanggaran yg pertama disebutkan, jd alasan kenapa narkoba di sulteng masih ada dmanamana 😂")</f>
        <v>Pelanggaran yg pertama disebutkan, jd alasan kenapa narkoba di sulteng masih ada dmanamana 😂</v>
      </c>
      <c r="G129" s="6" t="str">
        <f>IFERROR(__xludf.DUMMYFUNCTION("GOOGLETRANSLATE(F129, ""id"", ""de"")
"),"Der erstgenannte Verstoß ist der Grund dafür, dass es in Zentral-Sulawesi immer noch überall Drogen gibt 😂")</f>
        <v>Der erstgenannte Verstoß ist der Grund dafür, dass es in Zentral-Sulawesi immer noch überall Drogen gibt 😂</v>
      </c>
      <c r="H129" s="6" t="str">
        <f>IFERROR(__xludf.DUMMYFUNCTION("GOOGLETRANSLATE(G129, ""de"", ""id"")"),"Pelanggaran yang pertama menjadi alasan mengapa narkoba masih ada dimana-mana di Sulteng 😂")</f>
        <v>Pelanggaran yang pertama menjadi alasan mengapa narkoba masih ada dimana-mana di Sulteng 😂</v>
      </c>
      <c r="I129" s="6" t="str">
        <f>IFERROR(__xludf.DUMMYFUNCTION("GOOGLETRANSLATE(G129, ""de"", ""en"")"),"The first violation is the reason why drugs are still everywhere in Central Sulawesi 😂")</f>
        <v>The first violation is the reason why drugs are still everywhere in Central Sulawesi 😂</v>
      </c>
      <c r="J129" s="6" t="str">
        <f>IFERROR(__xludf.DUMMYFUNCTION("GOOGLETRANSLATE(I129, ""en"", ""id"")"),"Pelanggaran yang pertama menjadi alasan mengapa narkoba masih ada dimana-mana di Sulteng 😂")</f>
        <v>Pelanggaran yang pertama menjadi alasan mengapa narkoba masih ada dimana-mana di Sulteng 😂</v>
      </c>
      <c r="K129" s="6" t="str">
        <f>IFERROR(__xludf.DUMMYFUNCTION("GOOGLETRANSLATE(F129, ""id"", ""en"")"),"The first violation mentioned is the reason why drugs in Central Sulawesi are still everywhere 😂")</f>
        <v>The first violation mentioned is the reason why drugs in Central Sulawesi are still everywhere 😂</v>
      </c>
      <c r="L129" s="6" t="s">
        <v>381</v>
      </c>
      <c r="M129" s="6" t="str">
        <f>IFERROR(__xludf.DUMMYFUNCTION("GOOGLETRANSLATE(L129, ""en"", ""de"")"),"Der erstgenannte Verstoß ist der Grund dafür, dass es in Zentral-Sulawesi immer noch überall Drogen gibt 😂")</f>
        <v>Der erstgenannte Verstoß ist der Grund dafür, dass es in Zentral-Sulawesi immer noch überall Drogen gibt 😂</v>
      </c>
      <c r="N129" s="6" t="s">
        <v>382</v>
      </c>
      <c r="O129" s="6" t="str">
        <f>IFERROR(__xludf.DUMMYFUNCTION("GOOGLETRANSLATE(N129, ""de"", ""id"")"),"Pelanggaran yang pertama menjadi alasan mengapa narkoba masih ada dimana-mana di Sulteng 😂")</f>
        <v>Pelanggaran yang pertama menjadi alasan mengapa narkoba masih ada dimana-mana di Sulteng 😂</v>
      </c>
    </row>
    <row r="130">
      <c r="A130" s="1" t="s">
        <v>17</v>
      </c>
      <c r="B130" s="1" t="s">
        <v>305</v>
      </c>
      <c r="C130" s="1" t="s">
        <v>383</v>
      </c>
      <c r="D130" s="4" t="s">
        <v>307</v>
      </c>
      <c r="E130" s="1" t="s">
        <v>384</v>
      </c>
      <c r="F130" s="6" t="str">
        <f>IFERROR(__xludf.DUMMYFUNCTION("IFERROR(ARRAYFORMULA(REGEXREPLACE(E130, ""("" &amp; TEXTJOIN(""|"", TRUE, FILTER(Q130:Q145, E:E&lt;&gt;"""")) &amp; "")"", 
                     INDEX(R130:R145, MATCH(REGEXEXTRACT(E130:E965, ""("" &amp; TEXTJOIN(""|"", TRUE, FILTER(Q130:Q145, Q130:Q145&lt;&gt;"""")) &amp; "")""), Q"&amp;"130:Q145, 0)))), E130)"),"oknum halo dek")</f>
        <v>oknum halo dek</v>
      </c>
      <c r="G130" s="6" t="str">
        <f>IFERROR(__xludf.DUMMYFUNCTION("GOOGLETRANSLATE(F130, ""id"", ""de"")
"),"Person, hallo Sir")</f>
        <v>Person, hallo Sir</v>
      </c>
      <c r="H130" s="6" t="str">
        <f>IFERROR(__xludf.DUMMYFUNCTION("GOOGLETRANSLATE(G130, ""de"", ""id"")"),"Orang, halo Pak")</f>
        <v>Orang, halo Pak</v>
      </c>
      <c r="I130" s="6" t="str">
        <f>IFERROR(__xludf.DUMMYFUNCTION("GOOGLETRANSLATE(G130, ""de"", ""en"")"),"Person, hello sir")</f>
        <v>Person, hello sir</v>
      </c>
      <c r="J130" s="6" t="str">
        <f>IFERROR(__xludf.DUMMYFUNCTION("GOOGLETRANSLATE(I130, ""en"", ""id"")"),"Orang, halo Pak")</f>
        <v>Orang, halo Pak</v>
      </c>
      <c r="K130" s="6" t="str">
        <f>IFERROR(__xludf.DUMMYFUNCTION("GOOGLETRANSLATE(F130, ""id"", ""en"")"),"person, hello sir")</f>
        <v>person, hello sir</v>
      </c>
      <c r="L130" s="6" t="s">
        <v>385</v>
      </c>
      <c r="M130" s="6" t="str">
        <f>IFERROR(__xludf.DUMMYFUNCTION("GOOGLETRANSLATE(L130, ""en"", ""de"")"),"Person, hallo Sir")</f>
        <v>Person, hallo Sir</v>
      </c>
      <c r="N130" s="6" t="s">
        <v>386</v>
      </c>
      <c r="O130" s="6" t="str">
        <f>IFERROR(__xludf.DUMMYFUNCTION("GOOGLETRANSLATE(N130, ""de"", ""id"")"),"Orang, halo Pak")</f>
        <v>Orang, halo Pak</v>
      </c>
    </row>
    <row r="131">
      <c r="A131" s="1" t="s">
        <v>17</v>
      </c>
      <c r="B131" s="1" t="s">
        <v>305</v>
      </c>
      <c r="C131" s="1" t="s">
        <v>387</v>
      </c>
      <c r="D131" s="4" t="s">
        <v>307</v>
      </c>
      <c r="E131" s="1" t="s">
        <v>388</v>
      </c>
      <c r="F131" s="6" t="str">
        <f>IFERROR(__xludf.DUMMYFUNCTION("IFERROR(ARRAYFORMULA(REGEXREPLACE(E131, ""("" &amp; TEXTJOIN(""|"", TRUE, FILTER(Q131:Q146, E:E&lt;&gt;"""")) &amp; "")"", 
                     INDEX(R131:R146, MATCH(REGEXEXTRACT(E131:E965, ""("" &amp; TEXTJOIN(""|"", TRUE, FILTER(Q131:Q146, Q131:Q146&lt;&gt;"""")) &amp; "")""), Q"&amp;"131:Q146, 0)))), E131)"),"@crn.morinnnn betul")</f>
        <v>@crn.morinnnn betul</v>
      </c>
      <c r="G131" s="6" t="str">
        <f>IFERROR(__xludf.DUMMYFUNCTION("GOOGLETRANSLATE(F131, ""id"", ""de"")
"),"@crn.morinnnn das stimmt")</f>
        <v>@crn.morinnnn das stimmt</v>
      </c>
      <c r="H131" s="6" t="str">
        <f>IFERROR(__xludf.DUMMYFUNCTION("GOOGLETRANSLATE(G131, ""de"", ""id"")"),"@crn.morinnnn itu benar")</f>
        <v>@crn.morinnnn itu benar</v>
      </c>
      <c r="I131" s="6" t="str">
        <f>IFERROR(__xludf.DUMMYFUNCTION("GOOGLETRANSLATE(G131, ""de"", ""en"")"),"@crn.morinnnn that's true")</f>
        <v>@crn.morinnnn that's true</v>
      </c>
      <c r="J131" s="6" t="str">
        <f>IFERROR(__xludf.DUMMYFUNCTION("GOOGLETRANSLATE(I131, ""en"", ""id"")"),"@crn.morinnnn itu benar")</f>
        <v>@crn.morinnnn itu benar</v>
      </c>
      <c r="K131" s="6" t="str">
        <f>IFERROR(__xludf.DUMMYFUNCTION("GOOGLETRANSLATE(F131, ""id"", ""en"")"),"@crn.morinnnn that's right")</f>
        <v>@crn.morinnnn that's right</v>
      </c>
      <c r="L131" s="6" t="s">
        <v>389</v>
      </c>
      <c r="M131" s="6" t="str">
        <f>IFERROR(__xludf.DUMMYFUNCTION("GOOGLETRANSLATE(L131, ""en"", ""de"")"),"@crn.morinnnn das stimmt")</f>
        <v>@crn.morinnnn das stimmt</v>
      </c>
      <c r="N131" s="6" t="s">
        <v>390</v>
      </c>
      <c r="O131" s="6" t="str">
        <f>IFERROR(__xludf.DUMMYFUNCTION("GOOGLETRANSLATE(N131, ""de"", ""id"")"),"@crn.morinnnn itu benar")</f>
        <v>@crn.morinnnn itu benar</v>
      </c>
    </row>
    <row r="132">
      <c r="A132" s="1" t="s">
        <v>17</v>
      </c>
      <c r="B132" s="1" t="s">
        <v>305</v>
      </c>
      <c r="C132" s="1" t="s">
        <v>391</v>
      </c>
      <c r="D132" s="4" t="s">
        <v>307</v>
      </c>
      <c r="E132" s="1" t="s">
        <v>392</v>
      </c>
      <c r="F132" s="6" t="str">
        <f>IFERROR(__xludf.DUMMYFUNCTION("IFERROR(ARRAYFORMULA(REGEXREPLACE(E132, ""("" &amp; TEXTJOIN(""|"", TRUE, FILTER(Q132:Q147, E:E&lt;&gt;"""")) &amp; "")"", 
                     INDEX(R132:R147, MATCH(REGEXEXTRACT(E132:E965, ""("" &amp; TEXTJOIN(""|"", TRUE, FILTER(Q132:Q147, Q132:Q147&lt;&gt;"""")) &amp; "")""), Q"&amp;"132:Q147, 0)))), E132)"),"Taja komdan😂")</f>
        <v>Taja komdan😂</v>
      </c>
      <c r="G132" s="6" t="str">
        <f>IFERROR(__xludf.DUMMYFUNCTION("GOOGLETRANSLATE(F132, ""id"", ""de"")
"),"Taja-Kommandant😂")</f>
        <v>Taja-Kommandant😂</v>
      </c>
      <c r="H132" s="6" t="str">
        <f>IFERROR(__xludf.DUMMYFUNCTION("GOOGLETRANSLATE(G132, ""de"", ""id"")"),"Komandan Taj😂")</f>
        <v>Komandan Taj😂</v>
      </c>
      <c r="I132" s="6" t="str">
        <f>IFERROR(__xludf.DUMMYFUNCTION("GOOGLETRANSLATE(G132, ""de"", ""en"")"),"Taja Commander😂")</f>
        <v>Taja Commander😂</v>
      </c>
      <c r="J132" s="6" t="str">
        <f>IFERROR(__xludf.DUMMYFUNCTION("GOOGLETRANSLATE(I132, ""en"", ""id"")"),"Komandan Taj😂")</f>
        <v>Komandan Taj😂</v>
      </c>
      <c r="K132" s="6" t="str">
        <f>IFERROR(__xludf.DUMMYFUNCTION("GOOGLETRANSLATE(F132, ""id"", ""en"")"),"Taja commander😂")</f>
        <v>Taja commander😂</v>
      </c>
      <c r="L132" s="6" t="s">
        <v>393</v>
      </c>
      <c r="M132" s="6" t="str">
        <f>IFERROR(__xludf.DUMMYFUNCTION("GOOGLETRANSLATE(L132, ""en"", ""de"")"),"Taja-Kommandant😂")</f>
        <v>Taja-Kommandant😂</v>
      </c>
      <c r="N132" s="6" t="s">
        <v>394</v>
      </c>
      <c r="O132" s="6" t="str">
        <f>IFERROR(__xludf.DUMMYFUNCTION("GOOGLETRANSLATE(N132, ""de"", ""id"")"),"Komandan Taj😂")</f>
        <v>Komandan Taj😂</v>
      </c>
    </row>
    <row r="133">
      <c r="A133" s="1" t="s">
        <v>17</v>
      </c>
      <c r="B133" s="1" t="s">
        <v>305</v>
      </c>
      <c r="C133" s="1" t="s">
        <v>395</v>
      </c>
      <c r="D133" s="4" t="s">
        <v>307</v>
      </c>
      <c r="E133" s="1" t="s">
        <v>396</v>
      </c>
      <c r="F133" s="6" t="str">
        <f>IFERROR(__xludf.DUMMYFUNCTION("IFERROR(ARRAYFORMULA(REGEXREPLACE(E133, ""("" &amp; TEXTJOIN(""|"", TRUE, FILTER(Q133:Q148, E:E&lt;&gt;"""")) &amp; "")"", 
                     INDEX(R133:R148, MATCH(REGEXEXTRACT(E133:E965, ""("" &amp; TEXTJOIN(""|"", TRUE, FILTER(Q133:Q148, Q133:Q148&lt;&gt;"""")) &amp; "")""), Q"&amp;"133:Q148, 0)))), E133)"),"@_muttaqim_ 😂")</f>
        <v>@_muttaqim_ 😂</v>
      </c>
      <c r="G133" s="6" t="str">
        <f>IFERROR(__xludf.DUMMYFUNCTION("GOOGLETRANSLATE(F133, ""id"", ""de"")
"),"@_muttaqim_ 😂")</f>
        <v>@_muttaqim_ 😂</v>
      </c>
      <c r="H133" s="6" t="str">
        <f>IFERROR(__xludf.DUMMYFUNCTION("GOOGLETRANSLATE(G133, ""de"", ""id"")"),"@_muttaqim_ 😂")</f>
        <v>@_muttaqim_ 😂</v>
      </c>
      <c r="I133" s="6" t="str">
        <f>IFERROR(__xludf.DUMMYFUNCTION("GOOGLETRANSLATE(G133, ""de"", ""en"")"),"@_muttaqim_ 😂")</f>
        <v>@_muttaqim_ 😂</v>
      </c>
      <c r="J133" s="6" t="str">
        <f>IFERROR(__xludf.DUMMYFUNCTION("GOOGLETRANSLATE(I133, ""en"", ""id"")"),"@_muttaqim_ 😂")</f>
        <v>@_muttaqim_ 😂</v>
      </c>
      <c r="K133" s="6" t="str">
        <f>IFERROR(__xludf.DUMMYFUNCTION("GOOGLETRANSLATE(F133, ""id"", ""en"")"),"@_muttaqim_ 😂")</f>
        <v>@_muttaqim_ 😂</v>
      </c>
      <c r="L133" s="6" t="s">
        <v>396</v>
      </c>
      <c r="M133" s="6" t="str">
        <f>IFERROR(__xludf.DUMMYFUNCTION("GOOGLETRANSLATE(L133, ""en"", ""de"")"),"@_muttaqim_ 😂")</f>
        <v>@_muttaqim_ 😂</v>
      </c>
      <c r="N133" s="6" t="s">
        <v>396</v>
      </c>
      <c r="O133" s="6" t="str">
        <f>IFERROR(__xludf.DUMMYFUNCTION("GOOGLETRANSLATE(N133, ""de"", ""id"")"),"@_muttaqim_ 😂")</f>
        <v>@_muttaqim_ 😂</v>
      </c>
    </row>
    <row r="134">
      <c r="A134" s="1" t="s">
        <v>17</v>
      </c>
      <c r="B134" s="1" t="s">
        <v>305</v>
      </c>
      <c r="C134" s="1" t="s">
        <v>397</v>
      </c>
      <c r="D134" s="4" t="s">
        <v>307</v>
      </c>
      <c r="E134" s="1" t="s">
        <v>398</v>
      </c>
      <c r="F134" s="6" t="str">
        <f>IFERROR(__xludf.DUMMYFUNCTION("IFERROR(ARRAYFORMULA(REGEXREPLACE(E134, ""("" &amp; TEXTJOIN(""|"", TRUE, FILTER(Q134:Q149, E:E&lt;&gt;"""")) &amp; "")"", 
                     INDEX(R134:R149, MATCH(REGEXEXTRACT(E134:E965, ""("" &amp; TEXTJOIN(""|"", TRUE, FILTER(Q134:Q149, Q134:Q149&lt;&gt;"""")) &amp; "")""), Q"&amp;"134:Q149, 0)))), E134)"),"@sultanalbaa betul2 setuju")</f>
        <v>@sultanalbaa betul2 setuju</v>
      </c>
      <c r="G134" s="6" t="str">
        <f>IFERROR(__xludf.DUMMYFUNCTION("GOOGLETRANSLATE(F134, ""id"", ""de"")
"),"@sultanalbaa stimmt voll und ganz zu")</f>
        <v>@sultanalbaa stimmt voll und ganz zu</v>
      </c>
      <c r="H134" s="6" t="str">
        <f>IFERROR(__xludf.DUMMYFUNCTION("GOOGLETRANSLATE(G134, ""de"", ""id"")"),"@sultanalbaa sepenuhnya setuju")</f>
        <v>@sultanalbaa sepenuhnya setuju</v>
      </c>
      <c r="I134" s="6" t="str">
        <f>IFERROR(__xludf.DUMMYFUNCTION("GOOGLETRANSLATE(G134, ""de"", ""en"")"),"@sultanalbaa completely agrees")</f>
        <v>@sultanalbaa completely agrees</v>
      </c>
      <c r="J134" s="6" t="str">
        <f>IFERROR(__xludf.DUMMYFUNCTION("GOOGLETRANSLATE(I134, ""en"", ""id"")"),"@sultanalbaa sepenuhnya setuju")</f>
        <v>@sultanalbaa sepenuhnya setuju</v>
      </c>
      <c r="K134" s="6" t="str">
        <f>IFERROR(__xludf.DUMMYFUNCTION("GOOGLETRANSLATE(F134, ""id"", ""en"")"),"@sultanalbaa totally agrees")</f>
        <v>@sultanalbaa totally agrees</v>
      </c>
      <c r="L134" s="6" t="s">
        <v>399</v>
      </c>
      <c r="M134" s="6" t="str">
        <f>IFERROR(__xludf.DUMMYFUNCTION("GOOGLETRANSLATE(L134, ""en"", ""de"")"),"@sultanalbaa stimmt voll und ganz zu")</f>
        <v>@sultanalbaa stimmt voll und ganz zu</v>
      </c>
      <c r="N134" s="6" t="s">
        <v>400</v>
      </c>
      <c r="O134" s="6" t="str">
        <f>IFERROR(__xludf.DUMMYFUNCTION("GOOGLETRANSLATE(N134, ""de"", ""id"")"),"@sultanalbaa sepenuhnya setuju")</f>
        <v>@sultanalbaa sepenuhnya setuju</v>
      </c>
    </row>
    <row r="135">
      <c r="A135" s="1" t="s">
        <v>17</v>
      </c>
      <c r="B135" s="1" t="s">
        <v>305</v>
      </c>
      <c r="C135" s="1" t="s">
        <v>401</v>
      </c>
      <c r="D135" s="4" t="s">
        <v>307</v>
      </c>
      <c r="E135" s="1" t="s">
        <v>402</v>
      </c>
      <c r="F135" s="6" t="str">
        <f>IFERROR(__xludf.DUMMYFUNCTION("IFERROR(ARRAYFORMULA(REGEXREPLACE(E135, ""("" &amp; TEXTJOIN(""|"", TRUE, FILTER(Q135:Q150, E:E&lt;&gt;"""")) &amp; "")"", 
                     INDEX(R135:R150, MATCH(REGEXEXTRACT(E135:E965, ""("" &amp; TEXTJOIN(""|"", TRUE, FILTER(Q135:Q150, Q135:Q150&lt;&gt;"""")) &amp; "")""), Q"&amp;"135:Q150, 0)))), E135)"),"😮")</f>
        <v>😮</v>
      </c>
      <c r="G135" s="6" t="str">
        <f>IFERROR(__xludf.DUMMYFUNCTION("GOOGLETRANSLATE(F135, ""id"", ""de"")
"),"😮")</f>
        <v>😮</v>
      </c>
      <c r="H135" s="6" t="str">
        <f>IFERROR(__xludf.DUMMYFUNCTION("GOOGLETRANSLATE(G135, ""de"", ""id"")"),"😮")</f>
        <v>😮</v>
      </c>
      <c r="I135" s="6" t="str">
        <f>IFERROR(__xludf.DUMMYFUNCTION("GOOGLETRANSLATE(G135, ""de"", ""en"")"),"😮")</f>
        <v>😮</v>
      </c>
      <c r="J135" s="6" t="str">
        <f>IFERROR(__xludf.DUMMYFUNCTION("GOOGLETRANSLATE(I135, ""en"", ""id"")"),"😮")</f>
        <v>😮</v>
      </c>
      <c r="K135" s="6" t="str">
        <f>IFERROR(__xludf.DUMMYFUNCTION("GOOGLETRANSLATE(F135, ""id"", ""en"")"),"😮")</f>
        <v>😮</v>
      </c>
      <c r="L135" s="6" t="s">
        <v>402</v>
      </c>
      <c r="M135" s="6" t="str">
        <f>IFERROR(__xludf.DUMMYFUNCTION("GOOGLETRANSLATE(L135, ""en"", ""de"")"),"😮")</f>
        <v>😮</v>
      </c>
      <c r="N135" s="6" t="s">
        <v>402</v>
      </c>
      <c r="O135" s="6" t="str">
        <f>IFERROR(__xludf.DUMMYFUNCTION("GOOGLETRANSLATE(N135, ""de"", ""id"")"),"😮")</f>
        <v>😮</v>
      </c>
    </row>
    <row r="136">
      <c r="A136" s="1" t="s">
        <v>17</v>
      </c>
      <c r="B136" s="1" t="s">
        <v>305</v>
      </c>
      <c r="C136" s="1" t="s">
        <v>403</v>
      </c>
      <c r="D136" s="4" t="s">
        <v>307</v>
      </c>
      <c r="E136" s="1" t="s">
        <v>404</v>
      </c>
      <c r="F136" s="6" t="str">
        <f>IFERROR(__xludf.DUMMYFUNCTION("IFERROR(ARRAYFORMULA(REGEXREPLACE(E136, ""("" &amp; TEXTJOIN(""|"", TRUE, FILTER(Q136:Q151, E:E&lt;&gt;"""")) &amp; "")"", 
                     INDEX(R136:R151, MATCH(REGEXEXTRACT(E136:E965, ""("" &amp; TEXTJOIN(""|"", TRUE, FILTER(Q136:Q151, Q136:Q151&lt;&gt;"""")) &amp; "")""), Q"&amp;"136:Q151, 0)))), E136)"),"Baguslah semoga ke depannya Polri semakin baik.. semoga berlaku juga ASN apalagi ASN P3K yg malas..salut deh ada list nama ya ?")</f>
        <v>Baguslah semoga ke depannya Polri semakin baik.. semoga berlaku juga ASN apalagi ASN P3K yg malas..salut deh ada list nama ya ?</v>
      </c>
      <c r="G136" s="6" t="str">
        <f>IFERROR(__xludf.DUMMYFUNCTION("GOOGLETRANSLATE(F136, ""id"", ""de"")
"),"Das ist gut, hoffentlich wird die Nationalpolizei in Zukunft besser sein ... hoffentlich gilt das auch für ASN, insbesondere für die faulen P3K-ASN ... Ich bin froh, dass es eine Namensliste gibt, oder?")</f>
        <v>Das ist gut, hoffentlich wird die Nationalpolizei in Zukunft besser sein ... hoffentlich gilt das auch für ASN, insbesondere für die faulen P3K-ASN ... Ich bin froh, dass es eine Namensliste gibt, oder?</v>
      </c>
      <c r="H136" s="6" t="str">
        <f>IFERROR(__xludf.DUMMYFUNCTION("GOOGLETRANSLATE(G136, ""de"", ""id"")"),"Baguslah, semoga kedepannya Polri lebih baik lagi.. semoga begitu juga dengan ASN, apalagi ASN P3K yang pemalas.. Senang ada daftar namanya ya?")</f>
        <v>Baguslah, semoga kedepannya Polri lebih baik lagi.. semoga begitu juga dengan ASN, apalagi ASN P3K yang pemalas.. Senang ada daftar namanya ya?</v>
      </c>
      <c r="I136" s="6" t="str">
        <f>IFERROR(__xludf.DUMMYFUNCTION("GOOGLETRANSLATE(G136, ""de"", ""en"")"),"That's good, hopefully the National Police will be better in the future... hopefully the same goes for ASN, especially the lazy P3K ASN... I'm glad there's a list of names, right?")</f>
        <v>That's good, hopefully the National Police will be better in the future... hopefully the same goes for ASN, especially the lazy P3K ASN... I'm glad there's a list of names, right?</v>
      </c>
      <c r="J136" s="6" t="str">
        <f>IFERROR(__xludf.DUMMYFUNCTION("GOOGLETRANSLATE(I136, ""en"", ""id"")"),"Baguslah, semoga kedepannya Polri lebih baik lagi.. semoga begitu juga dengan ASN, apalagi ASN P3K yang pemalas.. Senang ada daftar namanya ya?")</f>
        <v>Baguslah, semoga kedepannya Polri lebih baik lagi.. semoga begitu juga dengan ASN, apalagi ASN P3K yang pemalas.. Senang ada daftar namanya ya?</v>
      </c>
      <c r="K136" s="6" t="str">
        <f>IFERROR(__xludf.DUMMYFUNCTION("GOOGLETRANSLATE(F136, ""id"", ""en"")"),"That's good, hopefully in the future the National Police will be better... hopefully that will also apply to ASN, especially lazy P3K ASN... I'm glad there's a list of names, right?")</f>
        <v>That's good, hopefully in the future the National Police will be better... hopefully that will also apply to ASN, especially lazy P3K ASN... I'm glad there's a list of names, right?</v>
      </c>
      <c r="L136" s="6" t="s">
        <v>405</v>
      </c>
      <c r="M136" s="6" t="str">
        <f>IFERROR(__xludf.DUMMYFUNCTION("GOOGLETRANSLATE(L136, ""en"", ""de"")"),"Das ist gut, hoffentlich wird die Nationalpolizei in Zukunft besser sein ... hoffentlich gilt das auch für ASN, insbesondere für die faulen P3K-ASN ... Ich bin froh, dass es eine Namensliste gibt, oder?")</f>
        <v>Das ist gut, hoffentlich wird die Nationalpolizei in Zukunft besser sein ... hoffentlich gilt das auch für ASN, insbesondere für die faulen P3K-ASN ... Ich bin froh, dass es eine Namensliste gibt, oder?</v>
      </c>
      <c r="N136" s="6" t="s">
        <v>406</v>
      </c>
      <c r="O136" s="6" t="str">
        <f>IFERROR(__xludf.DUMMYFUNCTION("GOOGLETRANSLATE(N136, ""de"", ""id"")"),"Baguslah, semoga kedepannya Polri lebih baik lagi.. semoga begitu juga dengan ASN, apalagi ASN P3K yang pemalas.. Senang ada daftar namanya ya?")</f>
        <v>Baguslah, semoga kedepannya Polri lebih baik lagi.. semoga begitu juga dengan ASN, apalagi ASN P3K yang pemalas.. Senang ada daftar namanya ya?</v>
      </c>
    </row>
    <row r="137">
      <c r="A137" s="1" t="s">
        <v>17</v>
      </c>
      <c r="B137" s="1" t="s">
        <v>305</v>
      </c>
      <c r="C137" s="1" t="s">
        <v>407</v>
      </c>
      <c r="D137" s="4" t="s">
        <v>307</v>
      </c>
      <c r="E137" s="1" t="s">
        <v>408</v>
      </c>
      <c r="F137" s="6" t="str">
        <f>IFERROR(__xludf.DUMMYFUNCTION("IFERROR(ARRAYFORMULA(REGEXREPLACE(E137, ""("" &amp; TEXTJOIN(""|"", TRUE, FILTER(Q137:Q152, E:E&lt;&gt;"""")) &amp; "")"", 
                     INDEX(R137:R152, MATCH(REGEXEXTRACT(E137:E965, ""("" &amp; TEXTJOIN(""|"", TRUE, FILTER(Q137:Q152, Q137:Q152&lt;&gt;"""")) &amp; "")""), Q"&amp;"137:Q152, 0)))), E137)"),"Alhamdulillah,sy sebagai aktivis mahasiswa dari bangkep ucapkan banyak terimah kasih")</f>
        <v>Alhamdulillah,sy sebagai aktivis mahasiswa dari bangkep ucapkan banyak terimah kasih</v>
      </c>
      <c r="G137" s="6" t="str">
        <f>IFERROR(__xludf.DUMMYFUNCTION("GOOGLETRANSLATE(F137, ""id"", ""de"")
"),"Alhamdulillah, als studentischer Aktivist aus Bangkep, vielen Dank")</f>
        <v>Alhamdulillah, als studentischer Aktivist aus Bangkep, vielen Dank</v>
      </c>
      <c r="H137" s="6" t="str">
        <f>IFERROR(__xludf.DUMMYFUNCTION("GOOGLETRANSLATE(G137, ""de"", ""id"")"),"Alhamdulillah sebagai aktivis mahasiswa asal Bangkep terima kasih banyak")</f>
        <v>Alhamdulillah sebagai aktivis mahasiswa asal Bangkep terima kasih banyak</v>
      </c>
      <c r="I137" s="6" t="str">
        <f>IFERROR(__xludf.DUMMYFUNCTION("GOOGLETRANSLATE(G137, ""de"", ""en"")"),"Alhamdulillah, as a student activist from Bangkep, thank you very much")</f>
        <v>Alhamdulillah, as a student activist from Bangkep, thank you very much</v>
      </c>
      <c r="J137" s="6" t="str">
        <f>IFERROR(__xludf.DUMMYFUNCTION("GOOGLETRANSLATE(I137, ""en"", ""id"")"),"Alhamdulillah sebagai aktivis mahasiswa asal Bangkep terima kasih banyak")</f>
        <v>Alhamdulillah sebagai aktivis mahasiswa asal Bangkep terima kasih banyak</v>
      </c>
      <c r="K137" s="6" t="str">
        <f>IFERROR(__xludf.DUMMYFUNCTION("GOOGLETRANSLATE(F137, ""id"", ""en"")"),"Alhamdulillah, as a student activist from Bangkep, thank you very much")</f>
        <v>Alhamdulillah, as a student activist from Bangkep, thank you very much</v>
      </c>
      <c r="L137" s="6" t="s">
        <v>409</v>
      </c>
      <c r="M137" s="6" t="str">
        <f>IFERROR(__xludf.DUMMYFUNCTION("GOOGLETRANSLATE(L137, ""en"", ""de"")"),"Alhamdulillah, als studentischer Aktivist aus Bangkep möchte ich mich ganz herzlich bei Ihnen bedanken")</f>
        <v>Alhamdulillah, als studentischer Aktivist aus Bangkep möchte ich mich ganz herzlich bei Ihnen bedanken</v>
      </c>
      <c r="N137" s="6" t="s">
        <v>410</v>
      </c>
      <c r="O137" s="6" t="str">
        <f>IFERROR(__xludf.DUMMYFUNCTION("GOOGLETRANSLATE(N137, ""de"", ""id"")"),"Alhamdulillah saya sebagai aktivis mahasiswa asal Bangkep mengucapkan banyak terima kasih")</f>
        <v>Alhamdulillah saya sebagai aktivis mahasiswa asal Bangkep mengucapkan banyak terima kasih</v>
      </c>
    </row>
    <row r="138" ht="17.25" customHeight="1">
      <c r="A138" s="1" t="s">
        <v>17</v>
      </c>
      <c r="B138" s="1" t="s">
        <v>305</v>
      </c>
      <c r="C138" s="1" t="s">
        <v>411</v>
      </c>
      <c r="D138" s="4" t="s">
        <v>307</v>
      </c>
      <c r="E138" s="1" t="s">
        <v>412</v>
      </c>
      <c r="F138" s="6" t="str">
        <f>IFERROR(__xludf.DUMMYFUNCTION("IFERROR(ARRAYFORMULA(REGEXREPLACE(E138, ""("" &amp; TEXTJOIN(""|"", TRUE, FILTER(Q138:Q153, E:E&lt;&gt;"""")) &amp; "")"", 
                     INDEX(R138:R153, MATCH(REGEXEXTRACT(E138:E965, ""("" &amp; TEXTJOIN(""|"", TRUE, FILTER(Q138:Q153, Q138:Q153&lt;&gt;"""")) &amp; "")""), Q"&amp;"138:Q153, 0)))), E138)"),"Salah satu yang di pecat 👉 @zaliakbrr")</f>
        <v>Salah satu yang di pecat 👉 @zaliakbrr</v>
      </c>
      <c r="G138" s="6" t="str">
        <f>IFERROR(__xludf.DUMMYFUNCTION("GOOGLETRANSLATE(F138, ""id"", ""de"")
"),"Einer von denen, die gefeuert wurden 👉 @zaliakbrr")</f>
        <v>Einer von denen, die gefeuert wurden 👉 @zaliakbrr</v>
      </c>
      <c r="H138" s="6" t="str">
        <f>IFERROR(__xludf.DUMMYFUNCTION("GOOGLETRANSLATE(G138, ""de"", ""id"")"),"Salah satu yang dipecat 👉 @zaliakbrr")</f>
        <v>Salah satu yang dipecat 👉 @zaliakbrr</v>
      </c>
      <c r="I138" s="6" t="str">
        <f>IFERROR(__xludf.DUMMYFUNCTION("GOOGLETRANSLATE(G138, ""de"", ""en"")"),"One of the ones who got fired 👉 @zaliakbrr")</f>
        <v>One of the ones who got fired 👉 @zaliakbrr</v>
      </c>
      <c r="J138" s="6" t="str">
        <f>IFERROR(__xludf.DUMMYFUNCTION("GOOGLETRANSLATE(I138, ""en"", ""id"")"),"Salah satu yang dipecat 👉 @zaliakbrr")</f>
        <v>Salah satu yang dipecat 👉 @zaliakbrr</v>
      </c>
      <c r="K138" s="6" t="str">
        <f>IFERROR(__xludf.DUMMYFUNCTION("GOOGLETRANSLATE(F138, ""id"", ""en"")"),"One of those who was fired 👉 @zaliakbrr")</f>
        <v>One of those who was fired 👉 @zaliakbrr</v>
      </c>
      <c r="L138" s="6" t="s">
        <v>413</v>
      </c>
      <c r="M138" s="6" t="str">
        <f>IFERROR(__xludf.DUMMYFUNCTION("GOOGLETRANSLATE(L138, ""en"", ""de"")"),"Einer von denen, die gefeuert wurden 👉 @zaliakbrr")</f>
        <v>Einer von denen, die gefeuert wurden 👉 @zaliakbrr</v>
      </c>
      <c r="N138" s="6" t="s">
        <v>414</v>
      </c>
      <c r="O138" s="6" t="str">
        <f>IFERROR(__xludf.DUMMYFUNCTION("GOOGLETRANSLATE(N138, ""de"", ""id"")"),"Salah satu yang dipecat 👉 @zaliakbrr")</f>
        <v>Salah satu yang dipecat 👉 @zaliakbrr</v>
      </c>
    </row>
    <row r="139" ht="17.25" customHeight="1">
      <c r="A139" s="1" t="s">
        <v>17</v>
      </c>
      <c r="B139" s="1" t="s">
        <v>305</v>
      </c>
      <c r="C139" s="1" t="s">
        <v>415</v>
      </c>
      <c r="D139" s="4" t="s">
        <v>307</v>
      </c>
      <c r="E139" s="1" t="s">
        <v>416</v>
      </c>
      <c r="F139" s="6" t="str">
        <f>IFERROR(__xludf.DUMMYFUNCTION("IFERROR(ARRAYFORMULA(REGEXREPLACE(E139, ""("" &amp; TEXTJOIN(""|"", TRUE, FILTER(Q139:Q154, E:E&lt;&gt;"""")) &amp; "")"", 
                     INDEX(R139:R154, MATCH(REGEXEXTRACT(E139:E965, ""("" &amp; TEXTJOIN(""|"", TRUE, FILTER(Q139:Q154, Q139:Q154&lt;&gt;"""")) &amp; "")""), Q"&amp;"139:Q154, 0)))), E139)"),"ehhhh cumaaa tdk hormat d pecat, kasih sanksi saja huu")</f>
        <v>ehhhh cumaaa tdk hormat d pecat, kasih sanksi saja huu</v>
      </c>
      <c r="G139" s="6" t="str">
        <f>IFERROR(__xludf.DUMMYFUNCTION("GOOGLETRANSLATE(F139, ""id"", ""de"")
"),"ehhhh, es ist einfach respektlos, ihn zu feuern, gib ihm einfach Sanktionen, huu")</f>
        <v>ehhhh, es ist einfach respektlos, ihn zu feuern, gib ihm einfach Sanktionen, huu</v>
      </c>
      <c r="H139" s="6" t="str">
        <f>IFERROR(__xludf.DUMMYFUNCTION("GOOGLETRANSLATE(G139, ""de"", ""id"")"),"ehhhh, tidak sopan saja memecatnya, beri sanksi saja huu")</f>
        <v>ehhhh, tidak sopan saja memecatnya, beri sanksi saja huu</v>
      </c>
      <c r="I139" s="6" t="str">
        <f>IFERROR(__xludf.DUMMYFUNCTION("GOOGLETRANSLATE(G139, ""de"", ""en"")"),"ehhhh, it's just disrespectful to fire him, just give him sanctions, huu")</f>
        <v>ehhhh, it's just disrespectful to fire him, just give him sanctions, huu</v>
      </c>
      <c r="J139" s="6" t="str">
        <f>IFERROR(__xludf.DUMMYFUNCTION("GOOGLETRANSLATE(I139, ""en"", ""id"")"),"ehhhh, tidak sopan saja memecatnya, beri sanksi saja huu")</f>
        <v>ehhhh, tidak sopan saja memecatnya, beri sanksi saja huu</v>
      </c>
      <c r="K139" s="6" t="str">
        <f>IFERROR(__xludf.DUMMYFUNCTION("GOOGLETRANSLATE(F139, ""id"", ""en"")"),"ehhhh it's just disrespectful to fire him, just give him sanctions huu")</f>
        <v>ehhhh it's just disrespectful to fire him, just give him sanctions huu</v>
      </c>
      <c r="L139" s="6" t="s">
        <v>417</v>
      </c>
      <c r="M139" s="6" t="str">
        <f>IFERROR(__xludf.DUMMYFUNCTION("GOOGLETRANSLATE(L139, ""en"", ""de"")"),"ehhhh, es ist einfach respektlos, ihn zu feuern, gib ihm einfach Sanktionen, huu")</f>
        <v>ehhhh, es ist einfach respektlos, ihn zu feuern, gib ihm einfach Sanktionen, huu</v>
      </c>
      <c r="N139" s="6" t="s">
        <v>418</v>
      </c>
      <c r="O139" s="6" t="str">
        <f>IFERROR(__xludf.DUMMYFUNCTION("GOOGLETRANSLATE(N139, ""de"", ""id"")"),"ehhhh, tidak sopan saja memecatnya, beri sanksi saja huu")</f>
        <v>ehhhh, tidak sopan saja memecatnya, beri sanksi saja huu</v>
      </c>
    </row>
    <row r="140">
      <c r="A140" s="1" t="s">
        <v>17</v>
      </c>
      <c r="B140" s="1" t="s">
        <v>305</v>
      </c>
      <c r="C140" s="1" t="s">
        <v>419</v>
      </c>
      <c r="D140" s="4" t="s">
        <v>307</v>
      </c>
      <c r="E140" s="1" t="s">
        <v>420</v>
      </c>
      <c r="F140" s="6" t="str">
        <f>IFERROR(__xludf.DUMMYFUNCTION("IFERROR(ARRAYFORMULA(REGEXREPLACE(E140, ""("" &amp; TEXTJOIN(""|"", TRUE, FILTER(Q140:Q155, E:E&lt;&gt;"""")) &amp; "")"", 
                     INDEX(R140:R155, MATCH(REGEXEXTRACT(E140:E965, ""("" &amp; TEXTJOIN(""|"", TRUE, FILTER(Q140:Q155, Q140:Q155&lt;&gt;"""")) &amp; "")""), Q"&amp;"140:Q155, 0)))), E140)"),"Menurut sy pribadi ini sdh bener. Biar tdk ada lagi yg namanya aturan d buat untuk di langgar. Ada yg blng kasihan sdh banyak uang keluar. Hmm seharusnya dari awal sdh berpikir panjang dampaknya nnti seperti apa. Kerugian yg mereka tanggung adalah hasil d"&amp;"ari perbuatan mereka sendiri. Salut untuk Polda Sulteng. Semoga dengan begini Sulteng bisa bersih dari Narkobaaa, Punglii dan lainnya 🙏😍")</f>
        <v>Menurut sy pribadi ini sdh bener. Biar tdk ada lagi yg namanya aturan d buat untuk di langgar. Ada yg blng kasihan sdh banyak uang keluar. Hmm seharusnya dari awal sdh berpikir panjang dampaknya nnti seperti apa. Kerugian yg mereka tanggung adalah hasil dari perbuatan mereka sendiri. Salut untuk Polda Sulteng. Semoga dengan begini Sulteng bisa bersih dari Narkobaaa, Punglii dan lainnya 🙏😍</v>
      </c>
      <c r="G140" s="6" t="str">
        <f>IFERROR(__xludf.DUMMYFUNCTION("GOOGLETRANSLATE(F140, ""id"", ""de"")
"),"Persönlich denke ich, dass das wahr ist. Damit es keine Regeln mehr gibt, die dazu da sind, gebrochen zu werden. Es gibt diejenigen, denen es nicht leid tut, viel Geld ausgegeben zu haben. Hmm, Sie hätten lange und gründlich darüber nachdenken sollen, wie"&amp;" die Auswirkungen sein würden. Die Verluste, die sie erleiden, sind das Ergebnis ihres eigenen Handelns. Gruß an die Regionalpolizei von Zentral-Sulawesi. Hoffentlich kann Zentral-Sulawesi auf diese Weise frei von Drogen, Erpressung und anderem sein 🙏😍")</f>
        <v>Persönlich denke ich, dass das wahr ist. Damit es keine Regeln mehr gibt, die dazu da sind, gebrochen zu werden. Es gibt diejenigen, denen es nicht leid tut, viel Geld ausgegeben zu haben. Hmm, Sie hätten lange und gründlich darüber nachdenken sollen, wie die Auswirkungen sein würden. Die Verluste, die sie erleiden, sind das Ergebnis ihres eigenen Handelns. Gruß an die Regionalpolizei von Zentral-Sulawesi. Hoffentlich kann Zentral-Sulawesi auf diese Weise frei von Drogen, Erpressung und anderem sein 🙏😍</v>
      </c>
      <c r="H140" s="6" t="str">
        <f>IFERROR(__xludf.DUMMYFUNCTION("GOOGLETRANSLATE(G140, ""de"", ""id"")"),"Secara pribadi, menurut saya itu benar. Sehingga tidak ada lagi aturan yang memang ada maksudnya untuk dilanggar. Ada orang yang tidak menyesal menghabiskan banyak uang. Hmm, seharusnya Anda sudah berpikir panjang dan matang seperti apa dampaknya. Kerugia"&amp;"n yang mereka derita adalah akibat perbuatan mereka sendiri. Salam Polda Sulawesi Tengah. Semoga dengan cara ini Sulteng bisa terbebas dari Narkoba, Pungli dan lainnya 🙏😍")</f>
        <v>Secara pribadi, menurut saya itu benar. Sehingga tidak ada lagi aturan yang memang ada maksudnya untuk dilanggar. Ada orang yang tidak menyesal menghabiskan banyak uang. Hmm, seharusnya Anda sudah berpikir panjang dan matang seperti apa dampaknya. Kerugian yang mereka derita adalah akibat perbuatan mereka sendiri. Salam Polda Sulawesi Tengah. Semoga dengan cara ini Sulteng bisa terbebas dari Narkoba, Pungli dan lainnya 🙏😍</v>
      </c>
      <c r="I140" s="6" t="str">
        <f>IFERROR(__xludf.DUMMYFUNCTION("GOOGLETRANSLATE(G140, ""de"", ""en"")"),"Personally, I think that's true. So that there are no more rules that are meant to be broken. There are those who are not sorry for spending a lot of money. Hmm, you should have thought long and hard about what the impact would be. The losses they suffer "&amp;"are the result of their own actions. Greetings to the Central Sulawesi Regional Police. Hopefully, in this way, Central Sulawesi can be free from drugs, extortion and others 🙏😍")</f>
        <v>Personally, I think that's true. So that there are no more rules that are meant to be broken. There are those who are not sorry for spending a lot of money. Hmm, you should have thought long and hard about what the impact would be. The losses they suffer are the result of their own actions. Greetings to the Central Sulawesi Regional Police. Hopefully, in this way, Central Sulawesi can be free from drugs, extortion and others 🙏😍</v>
      </c>
      <c r="J140" s="6" t="str">
        <f>IFERROR(__xludf.DUMMYFUNCTION("GOOGLETRANSLATE(I140, ""en"", ""id"")"),"Secara pribadi, menurut saya itu benar. Sehingga tidak ada lagi aturan yang memang ada maksudnya untuk dilanggar. Ada orang yang tidak menyesal menghabiskan banyak uang. Hmm, seharusnya Anda sudah berpikir panjang dan matang seperti apa dampaknya. Kerugia"&amp;"n yang mereka derita adalah akibat perbuatan mereka sendiri. Salam Polda Sulawesi Tengah. Semoga dengan cara ini Sulteng bisa terbebas dari Narkoba, Pungli dan lainnya 🙏😍")</f>
        <v>Secara pribadi, menurut saya itu benar. Sehingga tidak ada lagi aturan yang memang ada maksudnya untuk dilanggar. Ada orang yang tidak menyesal menghabiskan banyak uang. Hmm, seharusnya Anda sudah berpikir panjang dan matang seperti apa dampaknya. Kerugian yang mereka derita adalah akibat perbuatan mereka sendiri. Salam Polda Sulawesi Tengah. Semoga dengan cara ini Sulteng bisa terbebas dari Narkoba, Pungli dan lainnya 🙏😍</v>
      </c>
      <c r="K140" s="6" t="str">
        <f>IFERROR(__xludf.DUMMYFUNCTION("GOOGLETRANSLATE(F140, ""id"", ""en"")"),"Personally, I think this is true. So that there are no more rules made to be broken. There are those who don't feel sorry for having a lot of money out. Hmm, you should have thought long and hard about what the impact would be like. The losses they bear a"&amp;"re the result of their own actions. Salute to the Central Sulawesi Regional Police. Hopefully this way Central Sulawesi can be free from narcotics, extortion and others 🙏😍")</f>
        <v>Personally, I think this is true. So that there are no more rules made to be broken. There are those who don't feel sorry for having a lot of money out. Hmm, you should have thought long and hard about what the impact would be like. The losses they bear are the result of their own actions. Salute to the Central Sulawesi Regional Police. Hopefully this way Central Sulawesi can be free from narcotics, extortion and others 🙏😍</v>
      </c>
      <c r="L140" s="6" t="s">
        <v>421</v>
      </c>
      <c r="M140" s="6" t="str">
        <f>IFERROR(__xludf.DUMMYFUNCTION("GOOGLETRANSLATE(L140, ""en"", ""de"")"),"Persönlich denke ich, dass das wahr ist. Damit es keine Regeln mehr gibt, die dazu da sind, gebrochen zu werden. Es gibt diejenigen, denen es nicht leid tut, viel Geld ausgegeben zu haben. Hmm, Sie hätten lange und gründlich darüber nachdenken sollen, wie"&amp;" die Auswirkungen sein würden. Die Verluste, die sie erleiden, sind das Ergebnis ihres eigenen Handelns. Gruß an die Regionalpolizei von Zentral-Sulawesi. Hoffentlich kann Zentral-Sulawesi auf diese Weise frei von Drogen, Erpressung und anderem sein 🙏😍")</f>
        <v>Persönlich denke ich, dass das wahr ist. Damit es keine Regeln mehr gibt, die dazu da sind, gebrochen zu werden. Es gibt diejenigen, denen es nicht leid tut, viel Geld ausgegeben zu haben. Hmm, Sie hätten lange und gründlich darüber nachdenken sollen, wie die Auswirkungen sein würden. Die Verluste, die sie erleiden, sind das Ergebnis ihres eigenen Handelns. Gruß an die Regionalpolizei von Zentral-Sulawesi. Hoffentlich kann Zentral-Sulawesi auf diese Weise frei von Drogen, Erpressung und anderem sein 🙏😍</v>
      </c>
      <c r="N140" s="6" t="s">
        <v>422</v>
      </c>
      <c r="O140" s="6" t="str">
        <f>IFERROR(__xludf.DUMMYFUNCTION("GOOGLETRANSLATE(N140, ""de"", ""id"")"),"Secara pribadi, menurut saya itu benar. Sehingga tidak ada lagi aturan yang memang ada maksudnya untuk dilanggar. Ada orang yang tidak menyesal menghabiskan banyak uang. Hmm, seharusnya Anda sudah berpikir panjang dan matang seperti apa dampaknya. Kerugia"&amp;"n yang mereka derita adalah akibat perbuatan mereka sendiri. Salam Polda Sulawesi Tengah. Semoga dengan cara ini Sulteng bisa terbebas dari Narkoba, Pungli dan lainnya 🙏😍")</f>
        <v>Secara pribadi, menurut saya itu benar. Sehingga tidak ada lagi aturan yang memang ada maksudnya untuk dilanggar. Ada orang yang tidak menyesal menghabiskan banyak uang. Hmm, seharusnya Anda sudah berpikir panjang dan matang seperti apa dampaknya. Kerugian yang mereka derita adalah akibat perbuatan mereka sendiri. Salam Polda Sulawesi Tengah. Semoga dengan cara ini Sulteng bisa terbebas dari Narkoba, Pungli dan lainnya 🙏😍</v>
      </c>
    </row>
    <row r="141">
      <c r="A141" s="1" t="s">
        <v>17</v>
      </c>
      <c r="B141" s="1" t="s">
        <v>305</v>
      </c>
      <c r="C141" s="1" t="s">
        <v>423</v>
      </c>
      <c r="D141" s="4" t="s">
        <v>307</v>
      </c>
      <c r="E141" s="1" t="s">
        <v>424</v>
      </c>
      <c r="F141" s="6" t="str">
        <f>IFERROR(__xludf.DUMMYFUNCTION("IFERROR(ARRAYFORMULA(REGEXREPLACE(E141, ""("" &amp; TEXTJOIN(""|"", TRUE, FILTER(Q141:Q156, E:E&lt;&gt;"""")) &amp; "")"", 
                     INDEX(R141:R156, MATCH(REGEXEXTRACT(E141:E965, ""("" &amp; TEXTJOIN(""|"", TRUE, FILTER(Q141:Q156, Q141:Q156&lt;&gt;"""")) &amp; "")""), Q"&amp;"141:Q156, 0)))), E141)"),"Waktunya berantas korupsi dan narkoba🔥🔥🔥")</f>
        <v>Waktunya berantas korupsi dan narkoba🔥🔥🔥</v>
      </c>
      <c r="G141" s="6" t="str">
        <f>IFERROR(__xludf.DUMMYFUNCTION("GOOGLETRANSLATE(F141, ""id"", ""de"")
"),"Es ist Zeit, Korruption und Drogen auszurotten🔥🔥🔥")</f>
        <v>Es ist Zeit, Korruption und Drogen auszurotten🔥🔥🔥</v>
      </c>
      <c r="H141" s="6" t="str">
        <f>IFERROR(__xludf.DUMMYFUNCTION("GOOGLETRANSLATE(G141, ""de"", ""id"")"),"Saatnya memberantas korupsi dan narkoba🔥🔥🔥")</f>
        <v>Saatnya memberantas korupsi dan narkoba🔥🔥🔥</v>
      </c>
      <c r="I141" s="6" t="str">
        <f>IFERROR(__xludf.DUMMYFUNCTION("GOOGLETRANSLATE(G141, ""de"", ""en"")"),"It's time to eradicate corruption and drugs🔥🔥🔥")</f>
        <v>It's time to eradicate corruption and drugs🔥🔥🔥</v>
      </c>
      <c r="J141" s="6" t="str">
        <f>IFERROR(__xludf.DUMMYFUNCTION("GOOGLETRANSLATE(I141, ""en"", ""id"")"),"Saatnya memberantas korupsi dan narkoba🔥🔥🔥")</f>
        <v>Saatnya memberantas korupsi dan narkoba🔥🔥🔥</v>
      </c>
      <c r="K141" s="6" t="str">
        <f>IFERROR(__xludf.DUMMYFUNCTION("GOOGLETRANSLATE(F141, ""id"", ""en"")"),"It's time to eradicate corruption and drugs🔥🔥🔥")</f>
        <v>It's time to eradicate corruption and drugs🔥🔥🔥</v>
      </c>
      <c r="L141" s="6" t="s">
        <v>425</v>
      </c>
      <c r="M141" s="6" t="str">
        <f>IFERROR(__xludf.DUMMYFUNCTION("GOOGLETRANSLATE(L141, ""en"", ""de"")"),"Es ist Zeit, Korruption und Drogen auszurotten🔥🔥🔥")</f>
        <v>Es ist Zeit, Korruption und Drogen auszurotten🔥🔥🔥</v>
      </c>
      <c r="N141" s="6" t="s">
        <v>426</v>
      </c>
      <c r="O141" s="6" t="str">
        <f>IFERROR(__xludf.DUMMYFUNCTION("GOOGLETRANSLATE(N141, ""de"", ""id"")"),"Saatnya memberantas korupsi dan narkoba🔥🔥🔥")</f>
        <v>Saatnya memberantas korupsi dan narkoba🔥🔥🔥</v>
      </c>
    </row>
    <row r="142">
      <c r="A142" s="1" t="s">
        <v>17</v>
      </c>
      <c r="B142" s="1" t="s">
        <v>305</v>
      </c>
      <c r="C142" s="1" t="s">
        <v>427</v>
      </c>
      <c r="D142" s="4" t="s">
        <v>307</v>
      </c>
      <c r="E142" s="1" t="s">
        <v>428</v>
      </c>
      <c r="F142" s="6" t="str">
        <f>IFERROR(__xludf.DUMMYFUNCTION("IFERROR(ARRAYFORMULA(REGEXREPLACE(E142, ""("" &amp; TEXTJOIN(""|"", TRUE, FILTER(Q142:Q157, E:E&lt;&gt;"""")) &amp; "")"", 
                     INDEX(R142:R157, MATCH(REGEXEXTRACT(E142:E965, ""("" &amp; TEXTJOIN(""|"", TRUE, FILTER(Q142:Q157, Q142:Q157&lt;&gt;"""")) &amp; "")""), Q"&amp;"142:Q157, 0)))), E142)"),"32 baru yg terungkap")</f>
        <v>32 baru yg terungkap</v>
      </c>
      <c r="G142" s="6" t="str">
        <f>IFERROR(__xludf.DUMMYFUNCTION("GOOGLETRANSLATE(F142, ""id"", ""de"")
"),"32 neue enthüllt")</f>
        <v>32 neue enthüllt</v>
      </c>
      <c r="H142" s="6" t="str">
        <f>IFERROR(__xludf.DUMMYFUNCTION("GOOGLETRANSLATE(G142, ""de"", ""id"")"),"32 yang baru terungkap")</f>
        <v>32 yang baru terungkap</v>
      </c>
      <c r="I142" s="6" t="str">
        <f>IFERROR(__xludf.DUMMYFUNCTION("GOOGLETRANSLATE(G142, ""de"", ""en"")"),"32 new ones revealed")</f>
        <v>32 new ones revealed</v>
      </c>
      <c r="J142" s="6" t="str">
        <f>IFERROR(__xludf.DUMMYFUNCTION("GOOGLETRANSLATE(I142, ""en"", ""id"")"),"32 yang baru terungkap")</f>
        <v>32 yang baru terungkap</v>
      </c>
      <c r="K142" s="6" t="str">
        <f>IFERROR(__xludf.DUMMYFUNCTION("GOOGLETRANSLATE(F142, ""id"", ""en"")"),"32 new ones revealed")</f>
        <v>32 new ones revealed</v>
      </c>
      <c r="L142" s="6" t="s">
        <v>429</v>
      </c>
      <c r="M142" s="6" t="str">
        <f>IFERROR(__xludf.DUMMYFUNCTION("GOOGLETRANSLATE(L142, ""en"", ""de"")"),"32 neue enthüllt")</f>
        <v>32 neue enthüllt</v>
      </c>
      <c r="N142" s="6" t="s">
        <v>430</v>
      </c>
      <c r="O142" s="6" t="str">
        <f>IFERROR(__xludf.DUMMYFUNCTION("GOOGLETRANSLATE(N142, ""de"", ""id"")"),"32 yang baru terungkap")</f>
        <v>32 yang baru terungkap</v>
      </c>
    </row>
    <row r="143">
      <c r="A143" s="1" t="s">
        <v>17</v>
      </c>
      <c r="B143" s="1" t="s">
        <v>305</v>
      </c>
      <c r="C143" s="1" t="s">
        <v>431</v>
      </c>
      <c r="D143" s="4" t="s">
        <v>307</v>
      </c>
      <c r="E143" s="1" t="s">
        <v>432</v>
      </c>
      <c r="F143" s="6" t="str">
        <f>IFERROR(__xludf.DUMMYFUNCTION("IFERROR(ARRAYFORMULA(REGEXREPLACE(E143, ""("" &amp; TEXTJOIN(""|"", TRUE, FILTER(Q143:Q158, E:E&lt;&gt;"""")) &amp; "")"", 
                     INDEX(R143:R158, MATCH(REGEXEXTRACT(E143:E965, ""("" &amp; TEXTJOIN(""|"", TRUE, FILTER(Q143:Q158, Q143:Q158&lt;&gt;"""")) &amp; "")""), Q"&amp;"143:Q158, 0)))), E143)"),"@ikhhwanng menyala abangkuhh 🔥🔥")</f>
        <v>@ikhhwanng menyala abangkuhh 🔥🔥</v>
      </c>
      <c r="G143" s="6" t="str">
        <f>IFERROR(__xludf.DUMMYFUNCTION("GOOGLETRANSLATE(F143, ""id"", ""de"")
"),"@ikhhwang hat mich zum Leuchten gebracht, Bruder 🔥🔥")</f>
        <v>@ikhhwang hat mich zum Leuchten gebracht, Bruder 🔥🔥</v>
      </c>
      <c r="H143" s="6" t="str">
        <f>IFERROR(__xludf.DUMMYFUNCTION("GOOGLETRANSLATE(G143, ""de"", ""id"")"),"@ikhhwang membuatku semangat kawan 🔥🔥")</f>
        <v>@ikhhwang membuatku semangat kawan 🔥🔥</v>
      </c>
      <c r="I143" s="6" t="str">
        <f>IFERROR(__xludf.DUMMYFUNCTION("GOOGLETRANSLATE(G143, ""de"", ""en"")"),"@ikhhwang lit me up bro 🔥🔥")</f>
        <v>@ikhhwang lit me up bro 🔥🔥</v>
      </c>
      <c r="J143" s="6" t="str">
        <f>IFERROR(__xludf.DUMMYFUNCTION("GOOGLETRANSLATE(I143, ""en"", ""id"")"),"@ikhhwang membuatku semangat kawan 🔥🔥")</f>
        <v>@ikhhwang membuatku semangat kawan 🔥🔥</v>
      </c>
      <c r="K143" s="6" t="str">
        <f>IFERROR(__xludf.DUMMYFUNCTION("GOOGLETRANSLATE(F143, ""id"", ""en"")"),"@ikhhwanng lit up bro 🔥🔥")</f>
        <v>@ikhhwanng lit up bro 🔥🔥</v>
      </c>
      <c r="L143" s="6" t="s">
        <v>433</v>
      </c>
      <c r="M143" s="6" t="str">
        <f>IFERROR(__xludf.DUMMYFUNCTION("GOOGLETRANSLATE(L143, ""en"", ""de"")"),"@ikhhwang hat mich zum Leuchten gebracht, Bruder 🔥🔥")</f>
        <v>@ikhhwang hat mich zum Leuchten gebracht, Bruder 🔥🔥</v>
      </c>
      <c r="N143" s="6" t="s">
        <v>434</v>
      </c>
      <c r="O143" s="6" t="str">
        <f>IFERROR(__xludf.DUMMYFUNCTION("GOOGLETRANSLATE(N143, ""de"", ""id"")"),"@ikhhwang membuatku semangat kawan 🔥🔥")</f>
        <v>@ikhhwang membuatku semangat kawan 🔥🔥</v>
      </c>
    </row>
    <row r="144">
      <c r="A144" s="1" t="s">
        <v>17</v>
      </c>
      <c r="B144" s="1" t="s">
        <v>305</v>
      </c>
      <c r="C144" s="1" t="s">
        <v>435</v>
      </c>
      <c r="D144" s="4" t="s">
        <v>307</v>
      </c>
      <c r="E144" s="1" t="s">
        <v>436</v>
      </c>
      <c r="F144" s="6" t="str">
        <f>IFERROR(__xludf.DUMMYFUNCTION("IFERROR(ARRAYFORMULA(REGEXREPLACE(E144, ""("" &amp; TEXTJOIN(""|"", TRUE, FILTER(Q144:Q159, E:E&lt;&gt;"""")) &amp; "")"", 
                     INDEX(R144:R159, MATCH(REGEXEXTRACT(E144:E965, ""("" &amp; TEXTJOIN(""|"", TRUE, FILTER(Q144:Q159, Q144:Q159&lt;&gt;"""")) &amp; "")""), Q"&amp;"144:Q159, 0)))), E144)"),"Ada yg bilang kasihan ada yg bilang baguslah .. . sejujurnya pasti pimpinan berat.. tapi semua itu karena aturan yg sama sama sudah diketahui sehingga pimpinan harus katakan yg benar")</f>
        <v>Ada yg bilang kasihan ada yg bilang baguslah .. . sejujurnya pasti pimpinan berat.. tapi semua itu karena aturan yg sama sama sudah diketahui sehingga pimpinan harus katakan yg benar</v>
      </c>
      <c r="G144" s="6" t="str">
        <f>IFERROR(__xludf.DUMMYFUNCTION("GOOGLETRANSLATE(F144, ""id"", ""de"")
"),"Manche sagen, es ist schade, andere sagen, es ist gut... Um ehrlich zu sein, muss die Führung hart sein... aber das alles liegt daran, dass die gleichen Regeln bereits bekannt sind, also muss die Führung das Richtige sagen")</f>
        <v>Manche sagen, es ist schade, andere sagen, es ist gut... Um ehrlich zu sein, muss die Führung hart sein... aber das alles liegt daran, dass die gleichen Regeln bereits bekannt sind, also muss die Führung das Richtige sagen</v>
      </c>
      <c r="H144" s="6" t="str">
        <f>IFERROR(__xludf.DUMMYFUNCTION("GOOGLETRANSLATE(G144, ""de"", ""id"")"),"Ada yang bilang sayang, ada pula yang bilang bagus... Jujur saja pimpinannya harus tegas... tapi ini semua karena aturan yang sama sudah diketahui, jadi pimpinan harus mengatakan yang benar.")</f>
        <v>Ada yang bilang sayang, ada pula yang bilang bagus... Jujur saja pimpinannya harus tegas... tapi ini semua karena aturan yang sama sudah diketahui, jadi pimpinan harus mengatakan yang benar.</v>
      </c>
      <c r="I144" s="6" t="str">
        <f>IFERROR(__xludf.DUMMYFUNCTION("GOOGLETRANSLATE(G144, ""de"", ""en"")"),"Some say it's a pity, others say it's good... To be honest, the leadership must be tough... but this is all because the same rules are already known, so the leadership must say the right thing")</f>
        <v>Some say it's a pity, others say it's good... To be honest, the leadership must be tough... but this is all because the same rules are already known, so the leadership must say the right thing</v>
      </c>
      <c r="J144" s="6" t="str">
        <f>IFERROR(__xludf.DUMMYFUNCTION("GOOGLETRANSLATE(I144, ""en"", ""id"")"),"Ada yang bilang sayang, ada pula yang bilang bagus... Jujur saja pimpinannya harus tegas... tapi ini semua karena aturan yang sama sudah diketahui, jadi pimpinan harus mengatakan yang benar.")</f>
        <v>Ada yang bilang sayang, ada pula yang bilang bagus... Jujur saja pimpinannya harus tegas... tapi ini semua karena aturan yang sama sudah diketahui, jadi pimpinan harus mengatakan yang benar.</v>
      </c>
      <c r="K144" s="6" t="str">
        <f>IFERROR(__xludf.DUMMYFUNCTION("GOOGLETRANSLATE(F144, ""id"", ""en"")"),"Some say it's a pity, some say it's good... To be honest, the leadership must be tough... but all of that is because the same rules are already known, so the leadership must say the right thing")</f>
        <v>Some say it's a pity, some say it's good... To be honest, the leadership must be tough... but all of that is because the same rules are already known, so the leadership must say the right thing</v>
      </c>
      <c r="L144" s="6" t="s">
        <v>437</v>
      </c>
      <c r="M144" s="6" t="str">
        <f>IFERROR(__xludf.DUMMYFUNCTION("GOOGLETRANSLATE(L144, ""en"", ""de"")"),"Manche sagen, es ist schade, andere sagen, es ist gut... Um ehrlich zu sein, muss die Führung hart sein... aber das alles liegt daran, dass die gleichen Regeln bereits bekannt sind, also muss die Führung das Richtige sagen")</f>
        <v>Manche sagen, es ist schade, andere sagen, es ist gut... Um ehrlich zu sein, muss die Führung hart sein... aber das alles liegt daran, dass die gleichen Regeln bereits bekannt sind, also muss die Führung das Richtige sagen</v>
      </c>
      <c r="N144" s="6" t="s">
        <v>438</v>
      </c>
      <c r="O144" s="6" t="str">
        <f>IFERROR(__xludf.DUMMYFUNCTION("GOOGLETRANSLATE(N144, ""de"", ""id"")"),"Ada yang bilang sayang, ada pula yang bilang bagus... Jujur saja pimpinannya harus tegas... tapi ini semua karena aturan yang sama sudah diketahui, jadi pimpinan harus mengatakan yang benar.")</f>
        <v>Ada yang bilang sayang, ada pula yang bilang bagus... Jujur saja pimpinannya harus tegas... tapi ini semua karena aturan yang sama sudah diketahui, jadi pimpinan harus mengatakan yang benar.</v>
      </c>
    </row>
    <row r="145">
      <c r="A145" s="1" t="s">
        <v>17</v>
      </c>
      <c r="B145" s="1" t="s">
        <v>305</v>
      </c>
      <c r="C145" s="1" t="s">
        <v>439</v>
      </c>
      <c r="D145" s="4" t="s">
        <v>307</v>
      </c>
      <c r="E145" s="1" t="s">
        <v>440</v>
      </c>
      <c r="F145" s="6" t="str">
        <f>IFERROR(__xludf.DUMMYFUNCTION("IFERROR(ARRAYFORMULA(REGEXREPLACE(E145, ""("" &amp; TEXTJOIN(""|"", TRUE, FILTER(Q145:Q160, E:E&lt;&gt;"""")) &amp; "")"", 
                     INDEX(R145:R160, MATCH(REGEXEXTRACT(E145:E965, ""("" &amp; TEXTJOIN(""|"", TRUE, FILTER(Q145:Q160, Q145:Q160&lt;&gt;"""")) &amp; "")""), Q"&amp;"145:Q160, 0)))), E145)"),"Salah fokus dgn pelanggaran yg disebutkan pertama")</f>
        <v>Salah fokus dgn pelanggaran yg disebutkan pertama</v>
      </c>
      <c r="G145" s="6" t="str">
        <f>IFERROR(__xludf.DUMMYFUNCTION("GOOGLETRANSLATE(F145, ""id"", ""de"")
"),"Falscher Fokus auf den ersten genannten Verstoß")</f>
        <v>Falscher Fokus auf den ersten genannten Verstoß</v>
      </c>
      <c r="H145" s="6" t="str">
        <f>IFERROR(__xludf.DUMMYFUNCTION("GOOGLETRANSLATE(G145, ""de"", ""id"")"),"Fokus yang salah pada pelanggaran yang disebutkan pertama")</f>
        <v>Fokus yang salah pada pelanggaran yang disebutkan pertama</v>
      </c>
      <c r="I145" s="6" t="str">
        <f>IFERROR(__xludf.DUMMYFUNCTION("GOOGLETRANSLATE(G145, ""de"", ""en"")"),"Wrong focus on the first mentioned violation")</f>
        <v>Wrong focus on the first mentioned violation</v>
      </c>
      <c r="J145" s="6" t="str">
        <f>IFERROR(__xludf.DUMMYFUNCTION("GOOGLETRANSLATE(I145, ""en"", ""id"")"),"Fokus yang salah pada pelanggaran yang disebutkan pertama")</f>
        <v>Fokus yang salah pada pelanggaran yang disebutkan pertama</v>
      </c>
      <c r="K145" s="6" t="str">
        <f>IFERROR(__xludf.DUMMYFUNCTION("GOOGLETRANSLATE(F145, ""id"", ""en"")"),"Wrong focus on the first violation mentioned")</f>
        <v>Wrong focus on the first violation mentioned</v>
      </c>
      <c r="L145" s="6" t="s">
        <v>441</v>
      </c>
      <c r="M145" s="6" t="str">
        <f>IFERROR(__xludf.DUMMYFUNCTION("GOOGLETRANSLATE(L145, ""en"", ""de"")"),"Falscher Fokus auf den ersten genannten Verstoß")</f>
        <v>Falscher Fokus auf den ersten genannten Verstoß</v>
      </c>
      <c r="N145" s="6" t="s">
        <v>442</v>
      </c>
      <c r="O145" s="6" t="str">
        <f>IFERROR(__xludf.DUMMYFUNCTION("GOOGLETRANSLATE(N145, ""de"", ""id"")"),"Fokus yang salah pada pelanggaran yang disebutkan pertama")</f>
        <v>Fokus yang salah pada pelanggaran yang disebutkan pertama</v>
      </c>
    </row>
    <row r="146">
      <c r="A146" s="1" t="s">
        <v>17</v>
      </c>
      <c r="B146" s="1" t="s">
        <v>305</v>
      </c>
      <c r="C146" s="1" t="s">
        <v>443</v>
      </c>
      <c r="D146" s="4" t="s">
        <v>307</v>
      </c>
      <c r="E146" s="1" t="s">
        <v>444</v>
      </c>
      <c r="F146" s="6" t="str">
        <f>IFERROR(__xludf.DUMMYFUNCTION("IFERROR(ARRAYFORMULA(REGEXREPLACE(E146, ""("" &amp; TEXTJOIN(""|"", TRUE, FILTER(Q146:Q161, E:E&lt;&gt;"""")) &amp; "")"", 
                     INDEX(R146:R161, MATCH(REGEXEXTRACT(E146:E965, ""("" &amp; TEXTJOIN(""|"", TRUE, FILTER(Q146:Q161, Q146:Q161&lt;&gt;"""")) &amp; "")""), Q"&amp;"146:Q161, 0)))), E146)"),"Klo so berungkali berulah yah wajar, tapi klo baru 1-2x mungkin msih bisa dibicarakan .")</f>
        <v>Klo so berungkali berulah yah wajar, tapi klo baru 1-2x mungkin msih bisa dibicarakan .</v>
      </c>
      <c r="G146" s="6" t="str">
        <f>IFERROR(__xludf.DUMMYFUNCTION("GOOGLETRANSLATE(F146, ""id"", ""de"")
"),"Wenn Sie wiederholt handeln, ist das normal, aber wenn es nur ein- oder zweimal passiert ist, können Sie vielleicht trotzdem darüber reden.")</f>
        <v>Wenn Sie wiederholt handeln, ist das normal, aber wenn es nur ein- oder zweimal passiert ist, können Sie vielleicht trotzdem darüber reden.</v>
      </c>
      <c r="H146" s="6" t="str">
        <f>IFERROR(__xludf.DUMMYFUNCTION("GOOGLETRANSLATE(G146, ""de"", ""id"")"),"Jika Anda bertingkah berulang kali, itu wajar, namun jika hanya terjadi satu atau dua kali, Anda mungkin masih bisa membicarakannya.")</f>
        <v>Jika Anda bertingkah berulang kali, itu wajar, namun jika hanya terjadi satu atau dua kali, Anda mungkin masih bisa membicarakannya.</v>
      </c>
      <c r="I146" s="6" t="str">
        <f>IFERROR(__xludf.DUMMYFUNCTION("GOOGLETRANSLATE(G146, ""de"", ""en"")"),"If you act out repeatedly, that's normal, but if it only happened once or twice, you might still be able to talk about it.")</f>
        <v>If you act out repeatedly, that's normal, but if it only happened once or twice, you might still be able to talk about it.</v>
      </c>
      <c r="J146" s="6" t="str">
        <f>IFERROR(__xludf.DUMMYFUNCTION("GOOGLETRANSLATE(I146, ""en"", ""id"")"),"Jika Anda bertingkah berulang kali, itu wajar, namun jika hanya terjadi satu atau dua kali, Anda mungkin masih bisa membicarakannya.")</f>
        <v>Jika Anda bertingkah berulang kali, itu wajar, namun jika hanya terjadi satu atau dua kali, Anda mungkin masih bisa membicarakannya.</v>
      </c>
      <c r="K146" s="6" t="str">
        <f>IFERROR(__xludf.DUMMYFUNCTION("GOOGLETRANSLATE(F146, ""id"", ""en"")"),"If you act repeatedly, that's normal, but if it's only happened once or twice, maybe you can still talk about it.")</f>
        <v>If you act repeatedly, that's normal, but if it's only happened once or twice, maybe you can still talk about it.</v>
      </c>
      <c r="L146" s="6" t="s">
        <v>445</v>
      </c>
      <c r="M146" s="6" t="str">
        <f>IFERROR(__xludf.DUMMYFUNCTION("GOOGLETRANSLATE(L146, ""en"", ""de"")"),"Wenn Sie wiederholt handeln, ist das normal, aber wenn es nur ein- oder zweimal passiert ist, können Sie vielleicht trotzdem darüber reden.")</f>
        <v>Wenn Sie wiederholt handeln, ist das normal, aber wenn es nur ein- oder zweimal passiert ist, können Sie vielleicht trotzdem darüber reden.</v>
      </c>
      <c r="N146" s="6" t="s">
        <v>446</v>
      </c>
      <c r="O146" s="6" t="str">
        <f>IFERROR(__xludf.DUMMYFUNCTION("GOOGLETRANSLATE(N146, ""de"", ""id"")"),"Jika Anda bertingkah berulang kali, itu wajar, namun jika hanya terjadi satu atau dua kali, Anda mungkin masih bisa membicarakannya.")</f>
        <v>Jika Anda bertingkah berulang kali, itu wajar, namun jika hanya terjadi satu atau dua kali, Anda mungkin masih bisa membicarakannya.</v>
      </c>
    </row>
    <row r="147">
      <c r="A147" s="1" t="s">
        <v>17</v>
      </c>
      <c r="B147" s="1" t="s">
        <v>305</v>
      </c>
      <c r="C147" s="1" t="s">
        <v>447</v>
      </c>
      <c r="D147" s="4" t="s">
        <v>307</v>
      </c>
      <c r="E147" s="1" t="s">
        <v>448</v>
      </c>
      <c r="F147" s="6" t="str">
        <f>IFERROR(__xludf.DUMMYFUNCTION("IFERROR(ARRAYFORMULA(REGEXREPLACE(E147, ""("" &amp; TEXTJOIN(""|"", TRUE, FILTER(Q147:Q162, E:E&lt;&gt;"""")) &amp; "")"", 
                     INDEX(R147:R162, MATCH(REGEXEXTRACT(E147:E965, ""("" &amp; TEXTJOIN(""|"", TRUE, FILTER(Q147:Q162, Q147:Q162&lt;&gt;"""")) &amp; "")""), Q"&amp;"147:Q162, 0)))), E147)"),"Melanggar kode etik polri aja bisa di PTDH, apalagi kode etik MK 😂😂😂😂 wkwkwkw")</f>
        <v>Melanggar kode etik polri aja bisa di PTDH, apalagi kode etik MK 😂😂😂😂 wkwkwkw</v>
      </c>
      <c r="G147" s="6" t="str">
        <f>IFERROR(__xludf.DUMMYFUNCTION("GOOGLETRANSLATE(F147, ""id"", ""de"")
"),"Selbst wenn Sie gegen den Ethikkodex der Nationalpolizei verstoßen, können Sie sich an die PTDH wenden, geschweige denn gegen den Ethikkodex des Verfassungsgerichts 😂😂😂😂 hahaha")</f>
        <v>Selbst wenn Sie gegen den Ethikkodex der Nationalpolizei verstoßen, können Sie sich an die PTDH wenden, geschweige denn gegen den Ethikkodex des Verfassungsgerichts 😂😂😂😂 hahaha</v>
      </c>
      <c r="H147" s="6" t="str">
        <f>IFERROR(__xludf.DUMMYFUNCTION("GOOGLETRANSLATE(G147, ""de"", ""id"")"),"Kalaupun melanggar Kode Etik Polri, bisa ke PTDH, apalagi Kode Etik Mahkamah Konstitusi 😂😂😂😂 hahaha")</f>
        <v>Kalaupun melanggar Kode Etik Polri, bisa ke PTDH, apalagi Kode Etik Mahkamah Konstitusi 😂😂😂😂 hahaha</v>
      </c>
      <c r="I147" s="6" t="str">
        <f>IFERROR(__xludf.DUMMYFUNCTION("GOOGLETRANSLATE(G147, ""de"", ""en"")"),"Even if you violate the National Police Code of Ethics, you can turn to the PTDH, let alone the Constitutional Court Code of Ethics 😂😂😂😂 hahaha")</f>
        <v>Even if you violate the National Police Code of Ethics, you can turn to the PTDH, let alone the Constitutional Court Code of Ethics 😂😂😂😂 hahaha</v>
      </c>
      <c r="J147" s="6" t="str">
        <f>IFERROR(__xludf.DUMMYFUNCTION("GOOGLETRANSLATE(I147, ""en"", ""id"")"),"Kalaupun melanggar Kode Etik Polri, bisa ke PTDH, apalagi Kode Etik Mahkamah Konstitusi 😂😂😂😂 hahaha")</f>
        <v>Kalaupun melanggar Kode Etik Polri, bisa ke PTDH, apalagi Kode Etik Mahkamah Konstitusi 😂😂😂😂 hahaha</v>
      </c>
      <c r="K147" s="6" t="str">
        <f>IFERROR(__xludf.DUMMYFUNCTION("GOOGLETRANSLATE(F147, ""id"", ""en"")"),"Even if you violate the National Police's code of ethics, you can go to PTDH, let alone the Constitutional Court's code of ethics 😂😂😂😂 hahaha")</f>
        <v>Even if you violate the National Police's code of ethics, you can go to PTDH, let alone the Constitutional Court's code of ethics 😂😂😂😂 hahaha</v>
      </c>
      <c r="L147" s="6" t="s">
        <v>449</v>
      </c>
      <c r="M147" s="6" t="str">
        <f>IFERROR(__xludf.DUMMYFUNCTION("GOOGLETRANSLATE(L147, ""en"", ""de"")"),"Selbst wenn Sie gegen den Ethikkodex der Nationalpolizei verstoßen, können Sie sich an die PTDH wenden, geschweige denn gegen den Ethikkodex des Verfassungsgerichts 😂😂😂😂 hahaha")</f>
        <v>Selbst wenn Sie gegen den Ethikkodex der Nationalpolizei verstoßen, können Sie sich an die PTDH wenden, geschweige denn gegen den Ethikkodex des Verfassungsgerichts 😂😂😂😂 hahaha</v>
      </c>
      <c r="N147" s="6" t="s">
        <v>450</v>
      </c>
      <c r="O147" s="6" t="str">
        <f>IFERROR(__xludf.DUMMYFUNCTION("GOOGLETRANSLATE(N147, ""de"", ""id"")"),"Kalaupun melanggar Kode Etik Polri, bisa ke PTDH, apalagi Kode Etik Mahkamah Konstitusi 😂😂😂😂 hahaha")</f>
        <v>Kalaupun melanggar Kode Etik Polri, bisa ke PTDH, apalagi Kode Etik Mahkamah Konstitusi 😂😂😂😂 hahaha</v>
      </c>
    </row>
    <row r="148">
      <c r="A148" s="1" t="s">
        <v>17</v>
      </c>
      <c r="B148" s="1" t="s">
        <v>305</v>
      </c>
      <c r="C148" s="1" t="s">
        <v>451</v>
      </c>
      <c r="D148" s="4" t="s">
        <v>307</v>
      </c>
      <c r="E148" s="1" t="s">
        <v>452</v>
      </c>
      <c r="F148" s="6" t="str">
        <f>IFERROR(__xludf.DUMMYFUNCTION("IFERROR(ARRAYFORMULA(REGEXREPLACE(E148, ""("" &amp; TEXTJOIN(""|"", TRUE, FILTER(Q148:Q163, E:E&lt;&gt;"""")) &amp; "")"", 
                     INDEX(R148:R163, MATCH(REGEXEXTRACT(E148:E965, ""("" &amp; TEXTJOIN(""|"", TRUE, FILTER(Q148:Q163, Q148:Q163&lt;&gt;"""")) &amp; "")""), Q"&amp;"148:Q163, 0)))), E148)"),"Yg sdah smpai 2x melakukan pelanggaran yg pertama masih aman2 aja tuh🤧")</f>
        <v>Yg sdah smpai 2x melakukan pelanggaran yg pertama masih aman2 aja tuh🤧</v>
      </c>
      <c r="G148" s="6" t="str">
        <f>IFERROR(__xludf.DUMMYFUNCTION("GOOGLETRANSLATE(F148, ""id"", ""de"")
"),"Wer die erste Straftat bereits zweimal begangen hat, ist weiterhin in Sicherheit")</f>
        <v>Wer die erste Straftat bereits zweimal begangen hat, ist weiterhin in Sicherheit</v>
      </c>
      <c r="H148" s="6" t="str">
        <f>IFERROR(__xludf.DUMMYFUNCTION("GOOGLETRANSLATE(G148, ""de"", ""id"")"),"Siapapun yang sudah melakukan pelanggaran pertama dua kali masih aman")</f>
        <v>Siapapun yang sudah melakukan pelanggaran pertama dua kali masih aman</v>
      </c>
      <c r="I148" s="6" t="str">
        <f>IFERROR(__xludf.DUMMYFUNCTION("GOOGLETRANSLATE(G148, ""de"", ""en"")"),"Anyone who has already committed the first offense twice is still safe")</f>
        <v>Anyone who has already committed the first offense twice is still safe</v>
      </c>
      <c r="J148" s="6" t="str">
        <f>IFERROR(__xludf.DUMMYFUNCTION("GOOGLETRANSLATE(I148, ""en"", ""id"")"),"Siapapun yang sudah melakukan pelanggaran pertama dua kali masih aman")</f>
        <v>Siapapun yang sudah melakukan pelanggaran pertama dua kali masih aman</v>
      </c>
      <c r="K148" s="6" t="str">
        <f>IFERROR(__xludf.DUMMYFUNCTION("GOOGLETRANSLATE(F148, ""id"", ""en"")"),"Those who have already committed the first offense twice are still safe")</f>
        <v>Those who have already committed the first offense twice are still safe</v>
      </c>
      <c r="L148" s="6" t="s">
        <v>453</v>
      </c>
      <c r="M148" s="6" t="str">
        <f>IFERROR(__xludf.DUMMYFUNCTION("GOOGLETRANSLATE(L148, ""en"", ""de"")"),"Wer die erste Straftat bereits zweimal begangen hat, ist weiterhin in Sicherheit")</f>
        <v>Wer die erste Straftat bereits zweimal begangen hat, ist weiterhin in Sicherheit</v>
      </c>
      <c r="N148" s="6" t="s">
        <v>454</v>
      </c>
      <c r="O148" s="6" t="str">
        <f>IFERROR(__xludf.DUMMYFUNCTION("GOOGLETRANSLATE(N148, ""de"", ""id"")"),"Siapapun yang sudah melakukan pelanggaran pertama dua kali masih aman")</f>
        <v>Siapapun yang sudah melakukan pelanggaran pertama dua kali masih aman</v>
      </c>
    </row>
    <row r="149">
      <c r="A149" s="1" t="s">
        <v>17</v>
      </c>
      <c r="B149" s="1" t="s">
        <v>305</v>
      </c>
      <c r="C149" s="1" t="s">
        <v>455</v>
      </c>
      <c r="D149" s="4" t="s">
        <v>307</v>
      </c>
      <c r="E149" s="1" t="s">
        <v>456</v>
      </c>
      <c r="F149" s="6" t="str">
        <f>IFERROR(__xludf.DUMMYFUNCTION("IFERROR(ARRAYFORMULA(REGEXREPLACE(E149, ""("" &amp; TEXTJOIN(""|"", TRUE, FILTER(Q149:Q164, E:E&lt;&gt;"""")) &amp; "")"", 
                     INDEX(R149:R164, MATCH(REGEXEXTRACT(E149:E965, ""("" &amp; TEXTJOIN(""|"", TRUE, FILTER(Q149:Q164, Q149:Q164&lt;&gt;"""")) &amp; "")""), Q"&amp;"149:Q164, 0)))), E149)"),"Bersihkan pak👏")</f>
        <v>Bersihkan pak👏</v>
      </c>
      <c r="G149" s="6" t="str">
        <f>IFERROR(__xludf.DUMMYFUNCTION("GOOGLETRANSLATE(F149, ""id"", ""de"")
"),"Reinigen Sie es, Sir👏")</f>
        <v>Reinigen Sie es, Sir👏</v>
      </c>
      <c r="H149" s="6" t="str">
        <f>IFERROR(__xludf.DUMMYFUNCTION("GOOGLETRANSLATE(G149, ""de"", ""id"")"),"Bersihkan pak👏")</f>
        <v>Bersihkan pak👏</v>
      </c>
      <c r="I149" s="6" t="str">
        <f>IFERROR(__xludf.DUMMYFUNCTION("GOOGLETRANSLATE(G149, ""de"", ""en"")"),"Clean it sir👏")</f>
        <v>Clean it sir👏</v>
      </c>
      <c r="J149" s="6" t="str">
        <f>IFERROR(__xludf.DUMMYFUNCTION("GOOGLETRANSLATE(I149, ""en"", ""id"")"),"Bersihkan pak👏")</f>
        <v>Bersihkan pak👏</v>
      </c>
      <c r="K149" s="6" t="str">
        <f>IFERROR(__xludf.DUMMYFUNCTION("GOOGLETRANSLATE(F149, ""id"", ""en"")"),"Clean it sir👏")</f>
        <v>Clean it sir👏</v>
      </c>
      <c r="L149" s="6" t="s">
        <v>457</v>
      </c>
      <c r="M149" s="6" t="str">
        <f>IFERROR(__xludf.DUMMYFUNCTION("GOOGLETRANSLATE(L149, ""en"", ""de"")"),"Reinigen Sie es, Sir👏")</f>
        <v>Reinigen Sie es, Sir👏</v>
      </c>
      <c r="N149" s="6" t="s">
        <v>458</v>
      </c>
      <c r="O149" s="6" t="str">
        <f>IFERROR(__xludf.DUMMYFUNCTION("GOOGLETRANSLATE(N149, ""de"", ""id"")"),"Bersihkan pak👏")</f>
        <v>Bersihkan pak👏</v>
      </c>
    </row>
    <row r="150">
      <c r="A150" s="1" t="s">
        <v>17</v>
      </c>
      <c r="B150" s="1" t="s">
        <v>305</v>
      </c>
      <c r="C150" s="1" t="s">
        <v>459</v>
      </c>
      <c r="D150" s="4" t="s">
        <v>307</v>
      </c>
      <c r="E150" s="1" t="s">
        <v>460</v>
      </c>
      <c r="F150" s="6" t="str">
        <f>IFERROR(__xludf.DUMMYFUNCTION("IFERROR(ARRAYFORMULA(REGEXREPLACE(E150, ""("" &amp; TEXTJOIN(""|"", TRUE, FILTER(Q150:Q165, E:E&lt;&gt;"""")) &amp; "")"", 
                     INDEX(R150:R165, MATCH(REGEXEXTRACT(E150:E965, ""("" &amp; TEXTJOIN(""|"", TRUE, FILTER(Q150:Q165, Q150:Q165&lt;&gt;"""")) &amp; "")""), Q"&amp;"150:Q165, 0)))), E150)"),"Kenapa bisa d pecat 😢???")</f>
        <v>Kenapa bisa d pecat 😢???</v>
      </c>
      <c r="G150" s="6" t="str">
        <f>IFERROR(__xludf.DUMMYFUNCTION("GOOGLETRANSLATE(F150, ""id"", ""de"")
"),"Warum wurdest du gefeuert 😢???")</f>
        <v>Warum wurdest du gefeuert 😢???</v>
      </c>
      <c r="H150" s="6" t="str">
        <f>IFERROR(__xludf.DUMMYFUNCTION("GOOGLETRANSLATE(G150, ""de"", ""id"")"),"Kenapa kamu dipecat 😢???")</f>
        <v>Kenapa kamu dipecat 😢???</v>
      </c>
      <c r="I150" s="6" t="str">
        <f>IFERROR(__xludf.DUMMYFUNCTION("GOOGLETRANSLATE(G150, ""de"", ""en"")"),"Why were you fired 😢???")</f>
        <v>Why were you fired 😢???</v>
      </c>
      <c r="J150" s="6" t="str">
        <f>IFERROR(__xludf.DUMMYFUNCTION("GOOGLETRANSLATE(I150, ""en"", ""id"")"),"Kenapa kamu dipecat 😢???")</f>
        <v>Kenapa kamu dipecat 😢???</v>
      </c>
      <c r="K150" s="6" t="str">
        <f>IFERROR(__xludf.DUMMYFUNCTION("GOOGLETRANSLATE(F150, ""id"", ""en"")"),"Why did you get fired 😢???")</f>
        <v>Why did you get fired 😢???</v>
      </c>
      <c r="L150" s="6" t="s">
        <v>461</v>
      </c>
      <c r="M150" s="6" t="str">
        <f>IFERROR(__xludf.DUMMYFUNCTION("GOOGLETRANSLATE(L150, ""en"", ""de"")"),"Warum wurdest du gefeuert 😢???")</f>
        <v>Warum wurdest du gefeuert 😢???</v>
      </c>
      <c r="N150" s="6" t="s">
        <v>462</v>
      </c>
      <c r="O150" s="6" t="str">
        <f>IFERROR(__xludf.DUMMYFUNCTION("GOOGLETRANSLATE(N150, ""de"", ""id"")"),"Kenapa kamu dipecat 😢???")</f>
        <v>Kenapa kamu dipecat 😢???</v>
      </c>
    </row>
    <row r="151">
      <c r="A151" s="1" t="s">
        <v>17</v>
      </c>
      <c r="B151" s="1" t="s">
        <v>305</v>
      </c>
      <c r="C151" s="1" t="s">
        <v>463</v>
      </c>
      <c r="D151" s="4" t="s">
        <v>307</v>
      </c>
      <c r="E151" s="1" t="s">
        <v>464</v>
      </c>
      <c r="F151" s="6" t="str">
        <f>IFERROR(__xludf.DUMMYFUNCTION("IFERROR(ARRAYFORMULA(REGEXREPLACE(E151, ""("" &amp; TEXTJOIN(""|"", TRUE, FILTER(Q151:Q166, E:E&lt;&gt;"""")) &amp; "")"", 
                     INDEX(R151:R166, MATCH(REGEXEXTRACT(E151:E965, ""("" &amp; TEXTJOIN(""|"", TRUE, FILTER(Q151:Q166, Q151:Q166&lt;&gt;"""")) &amp; "")""), Q"&amp;"151:Q166, 0)))), E151)"),"Bersihkan oknum polisi yang jadi Bandar S4bu-S4bu, masih banyak.")</f>
        <v>Bersihkan oknum polisi yang jadi Bandar S4bu-S4bu, masih banyak.</v>
      </c>
      <c r="G151" s="6" t="str">
        <f>IFERROR(__xludf.DUMMYFUNCTION("GOOGLETRANSLATE(F151, ""id"", ""de"")
"),"Aufräumen Polizisten, die S4bu-S4bu-Händler sind, gibt es immer noch viele.")</f>
        <v>Aufräumen Polizisten, die S4bu-S4bu-Händler sind, gibt es immer noch viele.</v>
      </c>
      <c r="H151" s="6" t="str">
        <f>IFERROR(__xludf.DUMMYFUNCTION("GOOGLETRANSLATE(G151, ""de"", ""id"")"),"Membersihkan petugas polisi yang merupakan pengedar S4bu S4bu masih banyak.")</f>
        <v>Membersihkan petugas polisi yang merupakan pengedar S4bu S4bu masih banyak.</v>
      </c>
      <c r="I151" s="6" t="str">
        <f>IFERROR(__xludf.DUMMYFUNCTION("GOOGLETRANSLATE(G151, ""de"", ""en"")"),"Cleaning up police officers who are S4bu S4bu dealers, there are still many.")</f>
        <v>Cleaning up police officers who are S4bu S4bu dealers, there are still many.</v>
      </c>
      <c r="J151" s="6" t="str">
        <f>IFERROR(__xludf.DUMMYFUNCTION("GOOGLETRANSLATE(I151, ""en"", ""id"")"),"Membersihkan petugas polisi yang merupakan pengedar S4bu S4bu masih banyak.")</f>
        <v>Membersihkan petugas polisi yang merupakan pengedar S4bu S4bu masih banyak.</v>
      </c>
      <c r="K151" s="6" t="str">
        <f>IFERROR(__xludf.DUMMYFUNCTION("GOOGLETRANSLATE(F151, ""id"", ""en"")"),"Clean up police officers who are S4bu-S4bu dealers, there are still many.")</f>
        <v>Clean up police officers who are S4bu-S4bu dealers, there are still many.</v>
      </c>
      <c r="L151" s="6" t="s">
        <v>465</v>
      </c>
      <c r="M151" s="6" t="str">
        <f>IFERROR(__xludf.DUMMYFUNCTION("GOOGLETRANSLATE(L151, ""en"", ""de"")"),"Aufräumen Polizisten, die S4bu-S4bu-Händler sind, gibt es immer noch viele.")</f>
        <v>Aufräumen Polizisten, die S4bu-S4bu-Händler sind, gibt es immer noch viele.</v>
      </c>
      <c r="N151" s="6" t="s">
        <v>466</v>
      </c>
      <c r="O151" s="6" t="str">
        <f>IFERROR(__xludf.DUMMYFUNCTION("GOOGLETRANSLATE(N151, ""de"", ""id"")"),"Membersihkan petugas polisi yang merupakan pengedar S4bu S4bu masih banyak.")</f>
        <v>Membersihkan petugas polisi yang merupakan pengedar S4bu S4bu masih banyak.</v>
      </c>
    </row>
    <row r="152">
      <c r="A152" s="1" t="s">
        <v>17</v>
      </c>
      <c r="B152" s="1" t="s">
        <v>305</v>
      </c>
      <c r="C152" s="1" t="s">
        <v>467</v>
      </c>
      <c r="D152" s="4" t="s">
        <v>307</v>
      </c>
      <c r="E152" s="1" t="s">
        <v>468</v>
      </c>
      <c r="F152" s="6" t="str">
        <f>IFERROR(__xludf.DUMMYFUNCTION("IFERROR(ARRAYFORMULA(REGEXREPLACE(E152, ""("" &amp; TEXTJOIN(""|"", TRUE, FILTER(Q152:Q167, E:E&lt;&gt;"""")) &amp; "")"", 
                     INDEX(R152:R167, MATCH(REGEXEXTRACT(E152:E965, ""("" &amp; TEXTJOIN(""|"", TRUE, FILTER(Q152:Q167, Q152:Q167&lt;&gt;"""")) &amp; "")""), Q"&amp;"152:Q167, 0)))), E152)"),"👏keren")</f>
        <v>👏keren</v>
      </c>
      <c r="G152" s="6" t="str">
        <f>IFERROR(__xludf.DUMMYFUNCTION("GOOGLETRANSLATE(F152, ""id"", ""de"")
"),"👏cool")</f>
        <v>👏cool</v>
      </c>
      <c r="H152" s="6" t="str">
        <f>IFERROR(__xludf.DUMMYFUNCTION("GOOGLETRANSLATE(G152, ""de"", ""id"")"),"👏keren")</f>
        <v>👏keren</v>
      </c>
      <c r="I152" s="6" t="str">
        <f>IFERROR(__xludf.DUMMYFUNCTION("GOOGLETRANSLATE(G152, ""de"", ""en"")"),"👏cool")</f>
        <v>👏cool</v>
      </c>
      <c r="J152" s="6" t="str">
        <f>IFERROR(__xludf.DUMMYFUNCTION("GOOGLETRANSLATE(I152, ""en"", ""id"")"),"👏keren")</f>
        <v>👏keren</v>
      </c>
      <c r="K152" s="6" t="str">
        <f>IFERROR(__xludf.DUMMYFUNCTION("GOOGLETRANSLATE(F152, ""id"", ""en"")"),"👏cool")</f>
        <v>👏cool</v>
      </c>
      <c r="L152" s="6" t="s">
        <v>469</v>
      </c>
      <c r="M152" s="6" t="str">
        <f>IFERROR(__xludf.DUMMYFUNCTION("GOOGLETRANSLATE(L152, ""en"", ""de"")"),"👏cool")</f>
        <v>👏cool</v>
      </c>
      <c r="N152" s="6" t="s">
        <v>469</v>
      </c>
      <c r="O152" s="6" t="str">
        <f>IFERROR(__xludf.DUMMYFUNCTION("GOOGLETRANSLATE(N152, ""de"", ""id"")"),"👏keren")</f>
        <v>👏keren</v>
      </c>
    </row>
    <row r="153">
      <c r="A153" s="1" t="s">
        <v>17</v>
      </c>
      <c r="B153" s="1" t="s">
        <v>305</v>
      </c>
      <c r="C153" s="1" t="s">
        <v>470</v>
      </c>
      <c r="D153" s="4" t="s">
        <v>307</v>
      </c>
      <c r="E153" s="1" t="s">
        <v>471</v>
      </c>
      <c r="F153" s="6" t="str">
        <f>IFERROR(__xludf.DUMMYFUNCTION("IFERROR(ARRAYFORMULA(REGEXREPLACE(E153, ""("" &amp; TEXTJOIN(""|"", TRUE, FILTER(Q153:Q168, E:E&lt;&gt;"""")) &amp; "")"", 
                     INDEX(R153:R168, MATCH(REGEXEXTRACT(E153:E965, ""("" &amp; TEXTJOIN(""|"", TRUE, FILTER(Q153:Q168, Q153:Q168&lt;&gt;"""")) &amp; "")""), Q"&amp;"153:Q168, 0)))), E153)"),"astaghfirullahaladzim 😢")</f>
        <v>astaghfirullahaladzim 😢</v>
      </c>
      <c r="G153" s="6" t="str">
        <f>IFERROR(__xludf.DUMMYFUNCTION("GOOGLETRANSLATE(F153, ""id"", ""de"")
"),"astaghfirullahaladzim 😢")</f>
        <v>astaghfirullahaladzim 😢</v>
      </c>
      <c r="H153" s="6" t="str">
        <f>IFERROR(__xludf.DUMMYFUNCTION("GOOGLETRANSLATE(G153, ""de"", ""id"")"),"astaghfirullahaladzim 😢")</f>
        <v>astaghfirullahaladzim 😢</v>
      </c>
      <c r="I153" s="6" t="str">
        <f>IFERROR(__xludf.DUMMYFUNCTION("GOOGLETRANSLATE(G153, ""de"", ""en"")"),"astaghfirullahaladzim 😢")</f>
        <v>astaghfirullahaladzim 😢</v>
      </c>
      <c r="J153" s="6" t="str">
        <f>IFERROR(__xludf.DUMMYFUNCTION("GOOGLETRANSLATE(I153, ""en"", ""id"")"),"astaghfirullahaladzim 😢")</f>
        <v>astaghfirullahaladzim 😢</v>
      </c>
      <c r="K153" s="6" t="str">
        <f>IFERROR(__xludf.DUMMYFUNCTION("GOOGLETRANSLATE(F153, ""id"", ""en"")"),"astaghfirullahaladzim 😢")</f>
        <v>astaghfirullahaladzim 😢</v>
      </c>
      <c r="L153" s="6" t="s">
        <v>471</v>
      </c>
      <c r="M153" s="6" t="str">
        <f>IFERROR(__xludf.DUMMYFUNCTION("GOOGLETRANSLATE(L153, ""en"", ""de"")"),"astaghfirullahaladzim 😢")</f>
        <v>astaghfirullahaladzim 😢</v>
      </c>
      <c r="N153" s="6" t="s">
        <v>471</v>
      </c>
      <c r="O153" s="6" t="str">
        <f>IFERROR(__xludf.DUMMYFUNCTION("GOOGLETRANSLATE(N153, ""de"", ""id"")"),"astaghfirullahaladzim 😢")</f>
        <v>astaghfirullahaladzim 😢</v>
      </c>
    </row>
    <row r="154">
      <c r="A154" s="1" t="s">
        <v>17</v>
      </c>
      <c r="B154" s="1" t="s">
        <v>305</v>
      </c>
      <c r="C154" s="1" t="s">
        <v>472</v>
      </c>
      <c r="D154" s="4" t="s">
        <v>307</v>
      </c>
      <c r="E154" s="1" t="s">
        <v>473</v>
      </c>
      <c r="F154" s="6" t="str">
        <f>IFERROR(__xludf.DUMMYFUNCTION("IFERROR(ARRAYFORMULA(REGEXREPLACE(E154, ""("" &amp; TEXTJOIN(""|"", TRUE, FILTER(Q154:Q169, E:E&lt;&gt;"""")) &amp; "")"", 
                     INDEX(R154:R169, MATCH(REGEXEXTRACT(E154:E965, ""("" &amp; TEXTJOIN(""|"", TRUE, FILTER(Q154:Q169, Q154:Q169&lt;&gt;"""")) &amp; "")""), Q"&amp;"154:Q169, 0)))), E154)"),"Kasian karena sudah jual apa-apa biar bisa masuk, tapi ini bagus pembersihan oknum")</f>
        <v>Kasian karena sudah jual apa-apa biar bisa masuk, tapi ini bagus pembersihan oknum</v>
      </c>
      <c r="G154" s="6" t="str">
        <f>IFERROR(__xludf.DUMMYFUNCTION("GOOGLETRANSLATE(F154, ""id"", ""de"")
"),"Es ist eine Schande, weil man alles verkaufen muss, um reinzukommen, aber das ist eine gute Sanierung für die Leute")</f>
        <v>Es ist eine Schande, weil man alles verkaufen muss, um reinzukommen, aber das ist eine gute Sanierung für die Leute</v>
      </c>
      <c r="H154" s="6" t="str">
        <f>IFERROR(__xludf.DUMMYFUNCTION("GOOGLETRANSLATE(G154, ""de"", ""id"")"),"Ini memalukan karena Anda harus menjual segalanya untuk bisa masuk, tapi ini adalah pembangunan kembali yang baik untuk masyarakat")</f>
        <v>Ini memalukan karena Anda harus menjual segalanya untuk bisa masuk, tapi ini adalah pembangunan kembali yang baik untuk masyarakat</v>
      </c>
      <c r="I154" s="6" t="str">
        <f>IFERROR(__xludf.DUMMYFUNCTION("GOOGLETRANSLATE(G154, ""de"", ""en"")"),"It's a shame because you have to sell everything to get in, but this is a good redevelopment for people")</f>
        <v>It's a shame because you have to sell everything to get in, but this is a good redevelopment for people</v>
      </c>
      <c r="J154" s="6" t="str">
        <f>IFERROR(__xludf.DUMMYFUNCTION("GOOGLETRANSLATE(I154, ""en"", ""id"")"),"Ini memalukan karena Anda harus menjual segalanya untuk bisa masuk, tapi ini adalah pembangunan kembali yang baik untuk masyarakat")</f>
        <v>Ini memalukan karena Anda harus menjual segalanya untuk bisa masuk, tapi ini adalah pembangunan kembali yang baik untuk masyarakat</v>
      </c>
      <c r="K154" s="6" t="str">
        <f>IFERROR(__xludf.DUMMYFUNCTION("GOOGLETRANSLATE(F154, ""id"", ""en"")"),"It's a shame because you have to sell everything to get in, but this is a good cleanup for the people")</f>
        <v>It's a shame because you have to sell everything to get in, but this is a good cleanup for the people</v>
      </c>
      <c r="L154" s="6" t="s">
        <v>474</v>
      </c>
      <c r="M154" s="6" t="str">
        <f>IFERROR(__xludf.DUMMYFUNCTION("GOOGLETRANSLATE(L154, ""en"", ""de"")"),"Es ist eine Schande, weil man alles verkaufen muss, um reinzukommen, aber das ist eine gute Sanierung für die Leute")</f>
        <v>Es ist eine Schande, weil man alles verkaufen muss, um reinzukommen, aber das ist eine gute Sanierung für die Leute</v>
      </c>
      <c r="N154" s="6" t="s">
        <v>475</v>
      </c>
      <c r="O154" s="6" t="str">
        <f>IFERROR(__xludf.DUMMYFUNCTION("GOOGLETRANSLATE(N154, ""de"", ""id"")"),"Ini memalukan karena Anda harus menjual segalanya untuk bisa masuk, tapi ini adalah pembangunan kembali yang baik untuk masyarakat")</f>
        <v>Ini memalukan karena Anda harus menjual segalanya untuk bisa masuk, tapi ini adalah pembangunan kembali yang baik untuk masyarakat</v>
      </c>
    </row>
    <row r="155">
      <c r="A155" s="1" t="s">
        <v>17</v>
      </c>
      <c r="B155" s="1" t="s">
        <v>305</v>
      </c>
      <c r="C155" s="1" t="s">
        <v>476</v>
      </c>
      <c r="D155" s="4" t="s">
        <v>307</v>
      </c>
      <c r="E155" s="1" t="s">
        <v>477</v>
      </c>
      <c r="F155" s="6" t="str">
        <f>IFERROR(__xludf.DUMMYFUNCTION("IFERROR(ARRAYFORMULA(REGEXREPLACE(E155, ""("" &amp; TEXTJOIN(""|"", TRUE, FILTER(Q155:Q170, E:E&lt;&gt;"""")) &amp; "")"", 
                     INDEX(R155:R170, MATCH(REGEXEXTRACT(E155:E965, ""("" &amp; TEXTJOIN(""|"", TRUE, FILTER(Q155:Q170, Q155:Q170&lt;&gt;"""")) &amp; "")""), Q"&amp;"155:Q170, 0)))), E155)"),"Ini mihh sudah lantaran modal seragam ji jadi se enaknya bekeng kelakuan 😢")</f>
        <v>Ini mihh sudah lantaran modal seragam ji jadi se enaknya bekeng kelakuan 😢</v>
      </c>
      <c r="G155" s="6" t="str">
        <f>IFERROR(__xludf.DUMMYFUNCTION("GOOGLETRANSLATE(F155, ""id"", ""de"")
"),"Denn das Kapital einer Uniform macht es so angenehm wie möglich, Ihr Verhalten zu schützen 😢")</f>
        <v>Denn das Kapital einer Uniform macht es so angenehm wie möglich, Ihr Verhalten zu schützen 😢</v>
      </c>
      <c r="H155" s="6" t="str">
        <f>IFERROR(__xludf.DUMMYFUNCTION("GOOGLETRANSLATE(G155, ""de"", ""id"")"),"Karena modal seragam membuatnya senyaman mungkin untuk melindungi perilakumu 😢")</f>
        <v>Karena modal seragam membuatnya senyaman mungkin untuk melindungi perilakumu 😢</v>
      </c>
      <c r="I155" s="6" t="str">
        <f>IFERROR(__xludf.DUMMYFUNCTION("GOOGLETRANSLATE(G155, ""de"", ""en"")"),"Because the capital of a uniform makes it as comfortable as possible to protect your behavior 😢")</f>
        <v>Because the capital of a uniform makes it as comfortable as possible to protect your behavior 😢</v>
      </c>
      <c r="J155" s="6" t="str">
        <f>IFERROR(__xludf.DUMMYFUNCTION("GOOGLETRANSLATE(I155, ""en"", ""id"")"),"Karena modal seragam membuatnya senyaman mungkin untuk melindungi perilakumu 😢")</f>
        <v>Karena modal seragam membuatnya senyaman mungkin untuk melindungi perilakumu 😢</v>
      </c>
      <c r="K155" s="6" t="str">
        <f>IFERROR(__xludf.DUMMYFUNCTION("GOOGLETRANSLATE(F155, ""id"", ""en"")"),"This is because the capital of a uniform makes it as comfortable as possible to protect your behavior 😢")</f>
        <v>This is because the capital of a uniform makes it as comfortable as possible to protect your behavior 😢</v>
      </c>
      <c r="L155" s="6" t="s">
        <v>478</v>
      </c>
      <c r="M155" s="6" t="str">
        <f>IFERROR(__xludf.DUMMYFUNCTION("GOOGLETRANSLATE(L155, ""en"", ""de"")"),"Denn das Kapital einer Uniform macht es so angenehm wie möglich, Ihr Verhalten zu schützen 😢")</f>
        <v>Denn das Kapital einer Uniform macht es so angenehm wie möglich, Ihr Verhalten zu schützen 😢</v>
      </c>
      <c r="N155" s="6" t="s">
        <v>479</v>
      </c>
      <c r="O155" s="6" t="str">
        <f>IFERROR(__xludf.DUMMYFUNCTION("GOOGLETRANSLATE(N155, ""de"", ""id"")"),"Karena modal seragam membuatnya senyaman mungkin untuk melindungi perilakumu 😢")</f>
        <v>Karena modal seragam membuatnya senyaman mungkin untuk melindungi perilakumu 😢</v>
      </c>
    </row>
    <row r="156">
      <c r="A156" s="1" t="s">
        <v>17</v>
      </c>
      <c r="B156" s="1" t="s">
        <v>305</v>
      </c>
      <c r="C156" s="1" t="s">
        <v>480</v>
      </c>
      <c r="D156" s="4" t="s">
        <v>307</v>
      </c>
      <c r="E156" s="1" t="s">
        <v>481</v>
      </c>
      <c r="F156" s="6" t="str">
        <f>IFERROR(__xludf.DUMMYFUNCTION("IFERROR(ARRAYFORMULA(REGEXREPLACE(E156, ""("" &amp; TEXTJOIN(""|"", TRUE, FILTER(Q156:Q171, E:E&lt;&gt;"""")) &amp; "")"", 
                     INDEX(R156:R171, MATCH(REGEXEXTRACT(E156:E965, ""("" &amp; TEXTJOIN(""|"", TRUE, FILTER(Q156:Q171, Q156:Q171&lt;&gt;"""")) &amp; "")""), Q"&amp;"156:Q171, 0)))), E156)"),"Kalimantan apa kabar🔥")</f>
        <v>Kalimantan apa kabar🔥</v>
      </c>
      <c r="G156" s="6" t="str">
        <f>IFERROR(__xludf.DUMMYFUNCTION("GOOGLETRANSLATE(F156, ""id"", ""de"")
"),"Kalimantan, wie geht es dir?")</f>
        <v>Kalimantan, wie geht es dir?</v>
      </c>
      <c r="H156" s="6" t="str">
        <f>IFERROR(__xludf.DUMMYFUNCTION("GOOGLETRANSLATE(G156, ""de"", ""id"")"),"Kalimantan, apa kabarmu?")</f>
        <v>Kalimantan, apa kabarmu?</v>
      </c>
      <c r="I156" s="6" t="str">
        <f>IFERROR(__xludf.DUMMYFUNCTION("GOOGLETRANSLATE(G156, ""de"", ""en"")"),"Kalimantan, how are you?")</f>
        <v>Kalimantan, how are you?</v>
      </c>
      <c r="J156" s="6" t="str">
        <f>IFERROR(__xludf.DUMMYFUNCTION("GOOGLETRANSLATE(I156, ""en"", ""id"")"),"Kalimantan, apa kabarmu?")</f>
        <v>Kalimantan, apa kabarmu?</v>
      </c>
      <c r="K156" s="6" t="str">
        <f>IFERROR(__xludf.DUMMYFUNCTION("GOOGLETRANSLATE(F156, ""id"", ""en"")"),"Kalimantan how are you🔥")</f>
        <v>Kalimantan how are you🔥</v>
      </c>
      <c r="L156" s="6" t="s">
        <v>482</v>
      </c>
      <c r="M156" s="6" t="str">
        <f>IFERROR(__xludf.DUMMYFUNCTION("GOOGLETRANSLATE(L156, ""en"", ""de"")"),"Kalimantan, wie geht es dir?")</f>
        <v>Kalimantan, wie geht es dir?</v>
      </c>
      <c r="N156" s="6" t="s">
        <v>483</v>
      </c>
      <c r="O156" s="6" t="str">
        <f>IFERROR(__xludf.DUMMYFUNCTION("GOOGLETRANSLATE(N156, ""de"", ""id"")"),"Kalimantan, apa kabarmu?")</f>
        <v>Kalimantan, apa kabarmu?</v>
      </c>
    </row>
    <row r="157">
      <c r="A157" s="1" t="s">
        <v>17</v>
      </c>
      <c r="B157" s="1" t="s">
        <v>305</v>
      </c>
      <c r="C157" s="1" t="s">
        <v>484</v>
      </c>
      <c r="D157" s="4" t="s">
        <v>307</v>
      </c>
      <c r="E157" s="1" t="s">
        <v>485</v>
      </c>
      <c r="F157" s="6" t="str">
        <f>IFERROR(__xludf.DUMMYFUNCTION("IFERROR(ARRAYFORMULA(REGEXREPLACE(E157, ""("" &amp; TEXTJOIN(""|"", TRUE, FILTER(Q157:Q172, E:E&lt;&gt;"""")) &amp; "")"", 
                     INDEX(R157:R172, MATCH(REGEXEXTRACT(E157:E965, ""("" &amp; TEXTJOIN(""|"", TRUE, FILTER(Q157:Q172, Q157:Q172&lt;&gt;"""")) &amp; "")""), Q"&amp;"157:Q172, 0)))), E157)"),"Mantap. Pertahankan, dibina, di apresiasi, Polisi² yg baik. Bersih² terhadap Polisi Jahat, yg mempermalukan institusi.")</f>
        <v>Mantap. Pertahankan, dibina, di apresiasi, Polisi² yg baik. Bersih² terhadap Polisi Jahat, yg mempermalukan institusi.</v>
      </c>
      <c r="G157" s="6" t="str">
        <f>IFERROR(__xludf.DUMMYFUNCTION("GOOGLETRANSLATE(F157, ""id"", ""de"")
"),"Exzellent. Eine gute Polizei pflegen, weiterentwickeln, wertschätzen. Machen Sie Schluss mit der schlechten Polizei, die die Institution in Schande bringt.")</f>
        <v>Exzellent. Eine gute Polizei pflegen, weiterentwickeln, wertschätzen. Machen Sie Schluss mit der schlechten Polizei, die die Institution in Schande bringt.</v>
      </c>
      <c r="H157" s="6" t="str">
        <f>IFERROR(__xludf.DUMMYFUNCTION("GOOGLETRANSLATE(G157, ""de"", ""id"")"),"Bagus sekali. Memelihara, mengembangkan dan menghargai angkatan kepolisian yang baik. Akhiri tindakan polisi buruk yang mempermalukan institusi.")</f>
        <v>Bagus sekali. Memelihara, mengembangkan dan menghargai angkatan kepolisian yang baik. Akhiri tindakan polisi buruk yang mempermalukan institusi.</v>
      </c>
      <c r="I157" s="6" t="str">
        <f>IFERROR(__xludf.DUMMYFUNCTION("GOOGLETRANSLATE(G157, ""de"", ""en"")"),"Excellent. Maintain, develop and value a good police force. Put an end to the bad police that bring shame to the institution.")</f>
        <v>Excellent. Maintain, develop and value a good police force. Put an end to the bad police that bring shame to the institution.</v>
      </c>
      <c r="J157" s="6" t="str">
        <f>IFERROR(__xludf.DUMMYFUNCTION("GOOGLETRANSLATE(I157, ""en"", ""id"")"),"Bagus sekali. Memelihara, mengembangkan dan menghargai angkatan kepolisian yang baik. Akhiri tindakan polisi buruk yang mempermalukan institusi.")</f>
        <v>Bagus sekali. Memelihara, mengembangkan dan menghargai angkatan kepolisian yang baik. Akhiri tindakan polisi buruk yang mempermalukan institusi.</v>
      </c>
      <c r="K157" s="6" t="str">
        <f>IFERROR(__xludf.DUMMYFUNCTION("GOOGLETRANSLATE(F157, ""id"", ""en"")"),"Excellent. Maintain, develop, appreciate, good police. Clean up against bad police, who disgrace the institution.")</f>
        <v>Excellent. Maintain, develop, appreciate, good police. Clean up against bad police, who disgrace the institution.</v>
      </c>
      <c r="L157" s="6" t="s">
        <v>486</v>
      </c>
      <c r="M157" s="6" t="str">
        <f>IFERROR(__xludf.DUMMYFUNCTION("GOOGLETRANSLATE(L157, ""en"", ""de"")"),"Exzellent. Eine gute Polizei pflegen, weiterentwickeln, wertschätzen. Machen Sie Schluss mit der schlechten Polizei, die die Institution in Schande bringt.")</f>
        <v>Exzellent. Eine gute Polizei pflegen, weiterentwickeln, wertschätzen. Machen Sie Schluss mit der schlechten Polizei, die die Institution in Schande bringt.</v>
      </c>
      <c r="N157" s="6" t="s">
        <v>487</v>
      </c>
      <c r="O157" s="6" t="str">
        <f>IFERROR(__xludf.DUMMYFUNCTION("GOOGLETRANSLATE(N157, ""de"", ""id"")"),"Bagus sekali. Memelihara, mengembangkan dan menghargai angkatan kepolisian yang baik. Akhiri tindakan polisi buruk yang mempermalukan institusi.")</f>
        <v>Bagus sekali. Memelihara, mengembangkan dan menghargai angkatan kepolisian yang baik. Akhiri tindakan polisi buruk yang mempermalukan institusi.</v>
      </c>
    </row>
    <row r="158">
      <c r="A158" s="1" t="s">
        <v>17</v>
      </c>
      <c r="B158" s="1" t="s">
        <v>305</v>
      </c>
      <c r="C158" s="1" t="s">
        <v>488</v>
      </c>
      <c r="D158" s="4" t="s">
        <v>307</v>
      </c>
      <c r="E158" s="1" t="s">
        <v>489</v>
      </c>
      <c r="F158" s="6" t="str">
        <f>IFERROR(__xludf.DUMMYFUNCTION("IFERROR(ARRAYFORMULA(REGEXREPLACE(E158, ""("" &amp; TEXTJOIN(""|"", TRUE, FILTER(Q158:Q173, E:E&lt;&gt;"""")) &amp; "")"", 
                     INDEX(R158:R173, MATCH(REGEXEXTRACT(E158:E965, ""("" &amp; TEXTJOIN(""|"", TRUE, FILTER(Q158:Q173, Q158:Q173&lt;&gt;"""")) &amp; "")""), Q"&amp;"158:Q173, 0)))), E158)"),"Boleh sebut nama n kota nya")</f>
        <v>Boleh sebut nama n kota nya</v>
      </c>
      <c r="G158" s="6" t="str">
        <f>IFERROR(__xludf.DUMMYFUNCTION("GOOGLETRANSLATE(F158, ""id"", ""de"")
"),"Können Sie die Stadt nennen?")</f>
        <v>Können Sie die Stadt nennen?</v>
      </c>
      <c r="H158" s="6" t="str">
        <f>IFERROR(__xludf.DUMMYFUNCTION("GOOGLETRANSLATE(G158, ""de"", ""id"")"),"Bisakah Anda menyebutkan kotanya?")</f>
        <v>Bisakah Anda menyebutkan kotanya?</v>
      </c>
      <c r="I158" s="6" t="str">
        <f>IFERROR(__xludf.DUMMYFUNCTION("GOOGLETRANSLATE(G158, ""de"", ""en"")"),"Can you name the city?")</f>
        <v>Can you name the city?</v>
      </c>
      <c r="J158" s="6" t="str">
        <f>IFERROR(__xludf.DUMMYFUNCTION("GOOGLETRANSLATE(I158, ""en"", ""id"")"),"Bisakah Anda menyebutkan kotanya?")</f>
        <v>Bisakah Anda menyebutkan kotanya?</v>
      </c>
      <c r="K158" s="6" t="str">
        <f>IFERROR(__xludf.DUMMYFUNCTION("GOOGLETRANSLATE(F158, ""id"", ""en"")"),"Can you name the city?")</f>
        <v>Can you name the city?</v>
      </c>
      <c r="L158" s="6" t="s">
        <v>490</v>
      </c>
      <c r="M158" s="6" t="str">
        <f>IFERROR(__xludf.DUMMYFUNCTION("GOOGLETRANSLATE(L158, ""en"", ""de"")"),"Können Sie die Stadt nennen?")</f>
        <v>Können Sie die Stadt nennen?</v>
      </c>
      <c r="N158" s="6" t="s">
        <v>491</v>
      </c>
      <c r="O158" s="6" t="str">
        <f>IFERROR(__xludf.DUMMYFUNCTION("GOOGLETRANSLATE(N158, ""de"", ""id"")"),"Bisakah Anda menyebutkan kotanya?")</f>
        <v>Bisakah Anda menyebutkan kotanya?</v>
      </c>
    </row>
    <row r="159">
      <c r="A159" s="1" t="s">
        <v>17</v>
      </c>
      <c r="B159" s="1" t="s">
        <v>305</v>
      </c>
      <c r="C159" s="1" t="s">
        <v>492</v>
      </c>
      <c r="D159" s="4" t="s">
        <v>307</v>
      </c>
      <c r="E159" s="1" t="s">
        <v>493</v>
      </c>
      <c r="F159" s="6" t="str">
        <f>IFERROR(__xludf.DUMMYFUNCTION("IFERROR(ARRAYFORMULA(REGEXREPLACE(E159, ""("" &amp; TEXTJOIN(""|"", TRUE, FILTER(Q159:Q174, E:E&lt;&gt;"""")) &amp; "")"", 
                     INDEX(R159:R174, MATCH(REGEXEXTRACT(E159:E965, ""("" &amp; TEXTJOIN(""|"", TRUE, FILTER(Q159:Q174, Q159:Q174&lt;&gt;"""")) &amp; "")""), Q"&amp;"159:Q174, 0)))), E159)"),"Polda Sulteng keren.. bangga punya adik2 polisi 😁👍")</f>
        <v>Polda Sulteng keren.. bangga punya adik2 polisi 😁👍</v>
      </c>
      <c r="G159" s="6" t="str">
        <f>IFERROR(__xludf.DUMMYFUNCTION("GOOGLETRANSLATE(F159, ""id"", ""de"")
"),"Die Regionalpolizei von Zentral-Sulawesi ist cool... stolz, Polizeibrüder zu haben 😁👍")</f>
        <v>Die Regionalpolizei von Zentral-Sulawesi ist cool... stolz, Polizeibrüder zu haben 😁👍</v>
      </c>
      <c r="H159" s="6" t="str">
        <f>IFERROR(__xludf.DUMMYFUNCTION("GOOGLETRANSLATE(G159, ""de"", ""id"")"),"Polda Sulteng keren...bangga punya saudara polisi 😁👍")</f>
        <v>Polda Sulteng keren...bangga punya saudara polisi 😁👍</v>
      </c>
      <c r="I159" s="6" t="str">
        <f>IFERROR(__xludf.DUMMYFUNCTION("GOOGLETRANSLATE(G159, ""de"", ""en"")"),"The Central Sulawesi Regional Police is cool...proud to have police brothers 😁👍")</f>
        <v>The Central Sulawesi Regional Police is cool...proud to have police brothers 😁👍</v>
      </c>
      <c r="J159" s="6" t="str">
        <f>IFERROR(__xludf.DUMMYFUNCTION("GOOGLETRANSLATE(I159, ""en"", ""id"")"),"Polda Sulteng keren...bangga punya saudara polisi 😁👍")</f>
        <v>Polda Sulteng keren...bangga punya saudara polisi 😁👍</v>
      </c>
      <c r="K159" s="6" t="str">
        <f>IFERROR(__xludf.DUMMYFUNCTION("GOOGLETRANSLATE(F159, ""id"", ""en"")"),"The Central Sulawesi Regional Police are cool... proud to have police brothers 😁👍")</f>
        <v>The Central Sulawesi Regional Police are cool... proud to have police brothers 😁👍</v>
      </c>
      <c r="L159" s="6" t="s">
        <v>494</v>
      </c>
      <c r="M159" s="6" t="str">
        <f>IFERROR(__xludf.DUMMYFUNCTION("GOOGLETRANSLATE(L159, ""en"", ""de"")"),"Die Regionalpolizei von Zentral-Sulawesi ist cool... stolz, Polizeibrüder zu haben 😁👍")</f>
        <v>Die Regionalpolizei von Zentral-Sulawesi ist cool... stolz, Polizeibrüder zu haben 😁👍</v>
      </c>
      <c r="N159" s="6" t="s">
        <v>495</v>
      </c>
      <c r="O159" s="6" t="str">
        <f>IFERROR(__xludf.DUMMYFUNCTION("GOOGLETRANSLATE(N159, ""de"", ""id"")"),"Polda Sulteng keren...bangga punya saudara polisi 😁👍")</f>
        <v>Polda Sulteng keren...bangga punya saudara polisi 😁👍</v>
      </c>
    </row>
    <row r="160">
      <c r="A160" s="1" t="s">
        <v>17</v>
      </c>
      <c r="B160" s="1" t="s">
        <v>305</v>
      </c>
      <c r="C160" s="1" t="s">
        <v>496</v>
      </c>
      <c r="D160" s="4" t="s">
        <v>307</v>
      </c>
      <c r="E160" s="1" t="s">
        <v>497</v>
      </c>
      <c r="F160" s="6" t="str">
        <f>IFERROR(__xludf.DUMMYFUNCTION("IFERROR(ARRAYFORMULA(REGEXREPLACE(E160, ""("" &amp; TEXTJOIN(""|"", TRUE, FILTER(Q160:Q175, E:E&lt;&gt;"""")) &amp; "")"", 
                     INDEX(R160:R175, MATCH(REGEXEXTRACT(E160:E965, ""("" &amp; TEXTJOIN(""|"", TRUE, FILTER(Q160:Q175, Q160:Q175&lt;&gt;"""")) &amp; "")""), Q"&amp;"160:Q175, 0)))), E160)"),"good and clear")</f>
        <v>good and clear</v>
      </c>
      <c r="G160" s="6" t="str">
        <f>IFERROR(__xludf.DUMMYFUNCTION("GOOGLETRANSLATE(F160, ""id"", ""de"")
"),"gut und klar")</f>
        <v>gut und klar</v>
      </c>
      <c r="H160" s="6" t="str">
        <f>IFERROR(__xludf.DUMMYFUNCTION("GOOGLETRANSLATE(G160, ""de"", ""id"")"),"baik dan jelas")</f>
        <v>baik dan jelas</v>
      </c>
      <c r="I160" s="6" t="str">
        <f>IFERROR(__xludf.DUMMYFUNCTION("GOOGLETRANSLATE(G160, ""de"", ""en"")"),"good and clear")</f>
        <v>good and clear</v>
      </c>
      <c r="J160" s="6" t="str">
        <f>IFERROR(__xludf.DUMMYFUNCTION("GOOGLETRANSLATE(I160, ""en"", ""id"")"),"baik dan jelas")</f>
        <v>baik dan jelas</v>
      </c>
      <c r="K160" s="6" t="str">
        <f>IFERROR(__xludf.DUMMYFUNCTION("GOOGLETRANSLATE(F160, ""id"", ""en"")"),"good and clear")</f>
        <v>good and clear</v>
      </c>
      <c r="L160" s="6" t="s">
        <v>497</v>
      </c>
      <c r="M160" s="6" t="str">
        <f>IFERROR(__xludf.DUMMYFUNCTION("GOOGLETRANSLATE(L160, ""en"", ""de"")"),"gut und klar")</f>
        <v>gut und klar</v>
      </c>
      <c r="N160" s="6" t="s">
        <v>498</v>
      </c>
      <c r="O160" s="6" t="str">
        <f>IFERROR(__xludf.DUMMYFUNCTION("GOOGLETRANSLATE(N160, ""de"", ""id"")"),"baik dan jelas")</f>
        <v>baik dan jelas</v>
      </c>
    </row>
    <row r="161">
      <c r="A161" s="1" t="s">
        <v>17</v>
      </c>
      <c r="B161" s="1" t="s">
        <v>305</v>
      </c>
      <c r="C161" s="1" t="s">
        <v>499</v>
      </c>
      <c r="D161" s="4" t="s">
        <v>307</v>
      </c>
      <c r="E161" s="1" t="s">
        <v>500</v>
      </c>
      <c r="F161" s="6" t="str">
        <f>IFERROR(__xludf.DUMMYFUNCTION("IFERROR(ARRAYFORMULA(REGEXREPLACE(E161, ""("" &amp; TEXTJOIN(""|"", TRUE, FILTER(Q161:Q176, E:E&lt;&gt;"""")) &amp; "")"", 
                     INDEX(R161:R176, MATCH(REGEXEXTRACT(E161:E965, ""("" &amp; TEXTJOIN(""|"", TRUE, FILTER(Q161:Q176, Q161:Q176&lt;&gt;"""")) &amp; "")""), Q"&amp;"161:Q176, 0)))), E161)"),"knp kh itu")</f>
        <v>knp kh itu</v>
      </c>
      <c r="G161" s="6" t="str">
        <f>IFERROR(__xludf.DUMMYFUNCTION("GOOGLETRANSLATE(F161, ""id"", ""de"")
"),"Warum das?")</f>
        <v>Warum das?</v>
      </c>
      <c r="H161" s="6" t="str">
        <f>IFERROR(__xludf.DUMMYFUNCTION("GOOGLETRANSLATE(G161, ""de"", ""id"")"),"Kenapa ini?")</f>
        <v>Kenapa ini?</v>
      </c>
      <c r="I161" s="6" t="str">
        <f>IFERROR(__xludf.DUMMYFUNCTION("GOOGLETRANSLATE(G161, ""de"", ""en"")"),"Why this?")</f>
        <v>Why this?</v>
      </c>
      <c r="J161" s="6" t="str">
        <f>IFERROR(__xludf.DUMMYFUNCTION("GOOGLETRANSLATE(I161, ""en"", ""id"")"),"Kenapa ini?")</f>
        <v>Kenapa ini?</v>
      </c>
      <c r="K161" s="6" t="str">
        <f>IFERROR(__xludf.DUMMYFUNCTION("GOOGLETRANSLATE(F161, ""id"", ""en"")"),"why is that?")</f>
        <v>why is that?</v>
      </c>
      <c r="L161" s="6" t="s">
        <v>501</v>
      </c>
      <c r="M161" s="6" t="str">
        <f>IFERROR(__xludf.DUMMYFUNCTION("GOOGLETRANSLATE(L161, ""en"", ""de"")"),"Warum das?")</f>
        <v>Warum das?</v>
      </c>
      <c r="N161" s="6" t="s">
        <v>502</v>
      </c>
      <c r="O161" s="6" t="str">
        <f>IFERROR(__xludf.DUMMYFUNCTION("GOOGLETRANSLATE(N161, ""de"", ""id"")"),"Kenapa ini?")</f>
        <v>Kenapa ini?</v>
      </c>
    </row>
    <row r="162">
      <c r="A162" s="1" t="s">
        <v>17</v>
      </c>
      <c r="B162" s="1" t="s">
        <v>305</v>
      </c>
      <c r="C162" s="1" t="s">
        <v>503</v>
      </c>
      <c r="D162" s="4" t="s">
        <v>307</v>
      </c>
      <c r="E162" s="1" t="s">
        <v>504</v>
      </c>
      <c r="F162" s="6" t="str">
        <f>IFERROR(__xludf.DUMMYFUNCTION("IFERROR(ARRAYFORMULA(REGEXREPLACE(E162, ""("" &amp; TEXTJOIN(""|"", TRUE, FILTER(Q162:Q177, E:E&lt;&gt;"""")) &amp; "")"", 
                     INDEX(R162:R177, MATCH(REGEXEXTRACT(E162:E965, ""("" &amp; TEXTJOIN(""|"", TRUE, FILTER(Q162:Q177, Q162:Q177&lt;&gt;"""")) &amp; "")""), Q"&amp;"162:Q177, 0)))), E162)"),"Banyak yg ingin masuk... Tapi tak kesampaian.. Yg lebih berprestasi...")</f>
        <v>Banyak yg ingin masuk... Tapi tak kesampaian.. Yg lebih berprestasi...</v>
      </c>
      <c r="G162" s="6" t="str">
        <f>IFERROR(__xludf.DUMMYFUNCTION("GOOGLETRANSLATE(F162, ""id"", ""de"")
"),"Viele wollen eintreten... Aber es gelingt ihnen nicht. Wer mehr erreicht hat...")</f>
        <v>Viele wollen eintreten... Aber es gelingt ihnen nicht. Wer mehr erreicht hat...</v>
      </c>
      <c r="H162" s="6" t="str">
        <f>IFERROR(__xludf.DUMMYFUNCTION("GOOGLETRANSLATE(G162, ""de"", ""id"")"),"Banyak yang ingin masuk... Tapi tidak berhasil. Siapa yang lebih berprestasi...")</f>
        <v>Banyak yang ingin masuk... Tapi tidak berhasil. Siapa yang lebih berprestasi...</v>
      </c>
      <c r="I162" s="6" t="str">
        <f>IFERROR(__xludf.DUMMYFUNCTION("GOOGLETRANSLATE(G162, ""de"", ""en"")"),"Many want to enter... But they don't succeed. Who has achieved more...")</f>
        <v>Many want to enter... But they don't succeed. Who has achieved more...</v>
      </c>
      <c r="J162" s="6" t="str">
        <f>IFERROR(__xludf.DUMMYFUNCTION("GOOGLETRANSLATE(I162, ""en"", ""id"")"),"Banyak yang ingin masuk... Tapi tidak berhasil. Siapa yang lebih berprestasi...")</f>
        <v>Banyak yang ingin masuk... Tapi tidak berhasil. Siapa yang lebih berprestasi...</v>
      </c>
      <c r="K162" s="6" t="str">
        <f>IFERROR(__xludf.DUMMYFUNCTION("GOOGLETRANSLATE(F162, ""id"", ""en"")"),"Many people want to enter... But they don't succeed.. Those who are more accomplished...")</f>
        <v>Many people want to enter... But they don't succeed.. Those who are more accomplished...</v>
      </c>
      <c r="L162" s="6" t="s">
        <v>505</v>
      </c>
      <c r="M162" s="6" t="str">
        <f>IFERROR(__xludf.DUMMYFUNCTION("GOOGLETRANSLATE(L162, ""en"", ""de"")"),"Viele wollen eintreten... Aber es gelingt ihnen nicht. Wer mehr erreicht hat...")</f>
        <v>Viele wollen eintreten... Aber es gelingt ihnen nicht. Wer mehr erreicht hat...</v>
      </c>
      <c r="N162" s="6" t="s">
        <v>506</v>
      </c>
      <c r="O162" s="6" t="str">
        <f>IFERROR(__xludf.DUMMYFUNCTION("GOOGLETRANSLATE(N162, ""de"", ""id"")"),"Banyak yang ingin masuk... Tapi tidak berhasil. Siapa yang lebih berprestasi...")</f>
        <v>Banyak yang ingin masuk... Tapi tidak berhasil. Siapa yang lebih berprestasi...</v>
      </c>
    </row>
    <row r="163">
      <c r="A163" s="1" t="s">
        <v>17</v>
      </c>
      <c r="B163" s="1" t="s">
        <v>305</v>
      </c>
      <c r="C163" s="1" t="s">
        <v>507</v>
      </c>
      <c r="D163" s="4" t="s">
        <v>307</v>
      </c>
      <c r="E163" s="1" t="s">
        <v>508</v>
      </c>
      <c r="F163" s="6" t="str">
        <f>IFERROR(__xludf.DUMMYFUNCTION("IFERROR(ARRAYFORMULA(REGEXREPLACE(E163, ""("" &amp; TEXTJOIN(""|"", TRUE, FILTER(Q163:Q178, E:E&lt;&gt;"""")) &amp; "")"", 
                     INDEX(R163:R178, MATCH(REGEXEXTRACT(E163:E965, ""("" &amp; TEXTJOIN(""|"", TRUE, FILTER(Q163:Q178, Q163:Q178&lt;&gt;"""")) &amp; "")""), Q"&amp;"163:Q178, 0)))), E163)"),"Bah baru sebagian saja ini.")</f>
        <v>Bah baru sebagian saja ini.</v>
      </c>
      <c r="G163" s="6" t="str">
        <f>IFERROR(__xludf.DUMMYFUNCTION("GOOGLETRANSLATE(F163, ""id"", ""de"")
"),"Nun, das ist nur ein Teil davon.")</f>
        <v>Nun, das ist nur ein Teil davon.</v>
      </c>
      <c r="H163" s="6" t="str">
        <f>IFERROR(__xludf.DUMMYFUNCTION("GOOGLETRANSLATE(G163, ""de"", ""id"")"),"Ya, itu hanya sebagian saja.")</f>
        <v>Ya, itu hanya sebagian saja.</v>
      </c>
      <c r="I163" s="6" t="str">
        <f>IFERROR(__xludf.DUMMYFUNCTION("GOOGLETRANSLATE(G163, ""de"", ""en"")"),"Well, that's just part of it.")</f>
        <v>Well, that's just part of it.</v>
      </c>
      <c r="J163" s="6" t="str">
        <f>IFERROR(__xludf.DUMMYFUNCTION("GOOGLETRANSLATE(I163, ""en"", ""id"")"),"Ya, itu hanya sebagian saja.")</f>
        <v>Ya, itu hanya sebagian saja.</v>
      </c>
      <c r="K163" s="6" t="str">
        <f>IFERROR(__xludf.DUMMYFUNCTION("GOOGLETRANSLATE(F163, ""id"", ""en"")"),"Well, this is just part of it.")</f>
        <v>Well, this is just part of it.</v>
      </c>
      <c r="L163" s="6" t="s">
        <v>509</v>
      </c>
      <c r="M163" s="6" t="str">
        <f>IFERROR(__xludf.DUMMYFUNCTION("GOOGLETRANSLATE(L163, ""en"", ""de"")"),"Nun, das ist nur ein Teil davon.")</f>
        <v>Nun, das ist nur ein Teil davon.</v>
      </c>
      <c r="N163" s="6" t="s">
        <v>510</v>
      </c>
      <c r="O163" s="6" t="str">
        <f>IFERROR(__xludf.DUMMYFUNCTION("GOOGLETRANSLATE(N163, ""de"", ""id"")"),"Ya, itu hanya sebagian saja.")</f>
        <v>Ya, itu hanya sebagian saja.</v>
      </c>
    </row>
    <row r="164">
      <c r="A164" s="1" t="s">
        <v>17</v>
      </c>
      <c r="B164" s="1" t="s">
        <v>305</v>
      </c>
      <c r="C164" s="1" t="s">
        <v>511</v>
      </c>
      <c r="D164" s="4" t="s">
        <v>307</v>
      </c>
      <c r="E164" s="1" t="s">
        <v>512</v>
      </c>
      <c r="F164" s="6" t="str">
        <f>IFERROR(__xludf.DUMMYFUNCTION("IFERROR(ARRAYFORMULA(REGEXREPLACE(E164, ""("" &amp; TEXTJOIN(""|"", TRUE, FILTER(Q164:Q179, E:E&lt;&gt;"""")) &amp; "")"", 
                     INDEX(R164:R179, MATCH(REGEXEXTRACT(E164:E965, ""("" &amp; TEXTJOIN(""|"", TRUE, FILTER(Q164:Q179, Q164:Q179&lt;&gt;"""")) &amp; "")""), Q"&amp;"164:Q179, 0)))), E164)"),"Mantap,, itu oknum oknum yg buat polisi jdi buruk dipecat sja pak 🙏😇😁.")</f>
        <v>Mantap,, itu oknum oknum yg buat polisi jdi buruk dipecat sja pak 🙏😇😁.</v>
      </c>
      <c r="G164" s="6" t="str">
        <f>IFERROR(__xludf.DUMMYFUNCTION("GOOGLETRANSLATE(F164, ""id"", ""de"")
"),"Großartig, das sind die Leute, die die Polizei noch schlimmer gemacht haben. Lassen Sie sich einfach feuern, Sir 🙏😇😁.")</f>
        <v>Großartig, das sind die Leute, die die Polizei noch schlimmer gemacht haben. Lassen Sie sich einfach feuern, Sir 🙏😇😁.</v>
      </c>
      <c r="H164" s="6" t="str">
        <f>IFERROR(__xludf.DUMMYFUNCTION("GOOGLETRANSLATE(G164, ""de"", ""id"")"),"Hebat, inilah orang-orang yang membuat polisi semakin parah. Dipecat saja pak 🙏😇😁.")</f>
        <v>Hebat, inilah orang-orang yang membuat polisi semakin parah. Dipecat saja pak 🙏😇😁.</v>
      </c>
      <c r="I164" s="6" t="str">
        <f>IFERROR(__xludf.DUMMYFUNCTION("GOOGLETRANSLATE(G164, ""de"", ""en"")"),"Great, these are the people who made the police even worse. Just get fired sir 🙏😇😁.")</f>
        <v>Great, these are the people who made the police even worse. Just get fired sir 🙏😇😁.</v>
      </c>
      <c r="J164" s="6" t="str">
        <f>IFERROR(__xludf.DUMMYFUNCTION("GOOGLETRANSLATE(I164, ""en"", ""id"")"),"Hebat, inilah orang-orang yang membuat polisi semakin parah. Dipecat saja pak 🙏😇😁.")</f>
        <v>Hebat, inilah orang-orang yang membuat polisi semakin parah. Dipecat saja pak 🙏😇😁.</v>
      </c>
      <c r="K164" s="6" t="str">
        <f>IFERROR(__xludf.DUMMYFUNCTION("GOOGLETRANSLATE(F164, ""id"", ""en"")"),"Great, those are the people who made the police worse, just get fired, sir 🙏😇😁.")</f>
        <v>Great, those are the people who made the police worse, just get fired, sir 🙏😇😁.</v>
      </c>
      <c r="L164" s="6" t="s">
        <v>513</v>
      </c>
      <c r="M164" s="6" t="str">
        <f>IFERROR(__xludf.DUMMYFUNCTION("GOOGLETRANSLATE(L164, ""en"", ""de"")"),"Großartig, das sind die Leute, die die Polizei noch schlimmer gemacht haben. Lassen Sie sich einfach feuern, Sir 🙏😇😁.")</f>
        <v>Großartig, das sind die Leute, die die Polizei noch schlimmer gemacht haben. Lassen Sie sich einfach feuern, Sir 🙏😇😁.</v>
      </c>
      <c r="N164" s="6" t="s">
        <v>514</v>
      </c>
      <c r="O164" s="6" t="str">
        <f>IFERROR(__xludf.DUMMYFUNCTION("GOOGLETRANSLATE(N164, ""de"", ""id"")"),"Hebat, inilah orang-orang yang membuat polisi semakin parah. Dipecat saja pak 🙏😇😁.")</f>
        <v>Hebat, inilah orang-orang yang membuat polisi semakin parah. Dipecat saja pak 🙏😇😁.</v>
      </c>
    </row>
    <row r="165">
      <c r="A165" s="1" t="s">
        <v>17</v>
      </c>
      <c r="B165" s="1" t="s">
        <v>305</v>
      </c>
      <c r="C165" s="1" t="s">
        <v>515</v>
      </c>
      <c r="D165" s="4" t="s">
        <v>307</v>
      </c>
      <c r="E165" s="1" t="s">
        <v>516</v>
      </c>
      <c r="F165" s="6" t="str">
        <f>IFERROR(__xludf.DUMMYFUNCTION("IFERROR(ARRAYFORMULA(REGEXREPLACE(E165, ""("" &amp; TEXTJOIN(""|"", TRUE, FILTER(Q165:Q180, E:E&lt;&gt;"""")) &amp; "")"", 
                     INDEX(R165:R180, MATCH(REGEXEXTRACT(E165:E965, ""("" &amp; TEXTJOIN(""|"", TRUE, FILTER(Q165:Q180, Q165:Q180&lt;&gt;"""")) &amp; "")""), Q"&amp;"165:Q180, 0)))), E165)"),"👏👏👏👏👏👏")</f>
        <v>👏👏👏👏👏👏</v>
      </c>
      <c r="G165" s="6" t="str">
        <f>IFERROR(__xludf.DUMMYFUNCTION("GOOGLETRANSLATE(F165, ""id"", ""de"")
"),"👏👏👏👏👏👏")</f>
        <v>👏👏👏👏👏👏</v>
      </c>
      <c r="H165" s="6" t="str">
        <f>IFERROR(__xludf.DUMMYFUNCTION("GOOGLETRANSLATE(G165, ""de"", ""id"")"),"👏👏👏👏👏👏")</f>
        <v>👏👏👏👏👏👏</v>
      </c>
      <c r="I165" s="6" t="str">
        <f>IFERROR(__xludf.DUMMYFUNCTION("GOOGLETRANSLATE(G165, ""de"", ""en"")"),"👏👏👏👏👏👏")</f>
        <v>👏👏👏👏👏👏</v>
      </c>
      <c r="J165" s="6" t="str">
        <f>IFERROR(__xludf.DUMMYFUNCTION("GOOGLETRANSLATE(I165, ""en"", ""id"")"),"👏👏👏👏👏👏")</f>
        <v>👏👏👏👏👏👏</v>
      </c>
      <c r="K165" s="6" t="str">
        <f>IFERROR(__xludf.DUMMYFUNCTION("GOOGLETRANSLATE(F165, ""id"", ""en"")"),"👏👏👏👏👏👏")</f>
        <v>👏👏👏👏👏👏</v>
      </c>
      <c r="L165" s="6" t="s">
        <v>516</v>
      </c>
      <c r="M165" s="6" t="str">
        <f>IFERROR(__xludf.DUMMYFUNCTION("GOOGLETRANSLATE(L165, ""en"", ""de"")"),"👏👏👏👏👏👏")</f>
        <v>👏👏👏👏👏👏</v>
      </c>
      <c r="N165" s="6" t="s">
        <v>516</v>
      </c>
      <c r="O165" s="6" t="str">
        <f>IFERROR(__xludf.DUMMYFUNCTION("GOOGLETRANSLATE(N165, ""de"", ""id"")"),"👏👏👏👏👏👏")</f>
        <v>👏👏👏👏👏👏</v>
      </c>
    </row>
    <row r="166">
      <c r="A166" s="1" t="s">
        <v>17</v>
      </c>
      <c r="B166" s="1" t="s">
        <v>305</v>
      </c>
      <c r="C166" s="1" t="s">
        <v>517</v>
      </c>
      <c r="D166" s="4" t="s">
        <v>307</v>
      </c>
      <c r="E166" s="1" t="s">
        <v>518</v>
      </c>
      <c r="F166" s="6" t="str">
        <f>IFERROR(__xludf.DUMMYFUNCTION("IFERROR(ARRAYFORMULA(REGEXREPLACE(E166, ""("" &amp; TEXTJOIN(""|"", TRUE, FILTER(Q166:Q181, E:E&lt;&gt;"""")) &amp; "")"", 
                     INDEX(R166:R181, MATCH(REGEXEXTRACT(E166:E965, ""("" &amp; TEXTJOIN(""|"", TRUE, FILTER(Q166:Q181, Q166:Q181&lt;&gt;"""")) &amp; "")""), Q"&amp;"166:Q181, 0)))), E166)"),"Susah masuk ""mungkin"" sampai lobi sana sini, setelah jadi dan bertugas malah disia2kan, rugi donk😊")</f>
        <v>Susah masuk "mungkin" sampai lobi sana sini, setelah jadi dan bertugas malah disia2kan, rugi donk😊</v>
      </c>
      <c r="G166" s="6" t="str">
        <f>IFERROR(__xludf.DUMMYFUNCTION("GOOGLETRANSLATE(F166, ""id"", ""de"")
"),"Es ist schwer, hier und da „vielleicht“ in die Lobby zu kommen, nachdem es erledigt ist und die Arbeit vergeblich ist, ist es ein Verlust, Bruder😊")</f>
        <v>Es ist schwer, hier und da „vielleicht“ in die Lobby zu kommen, nachdem es erledigt ist und die Arbeit vergeblich ist, ist es ein Verlust, Bruder😊</v>
      </c>
      <c r="H166" s="6" t="str">
        <f>IFERROR(__xludf.DUMMYFUNCTION("GOOGLETRANSLATE(G166, ""de"", ""id"")"),"Susah datang ke lobi kesana kemari “mungkin”, setelah selesai dan kerja sia-sia, rugi abang😊")</f>
        <v>Susah datang ke lobi kesana kemari “mungkin”, setelah selesai dan kerja sia-sia, rugi abang😊</v>
      </c>
      <c r="I166" s="6" t="str">
        <f>IFERROR(__xludf.DUMMYFUNCTION("GOOGLETRANSLATE(G166, ""de"", ""en"")"),"It's hard to come to the lobby here and there ""maybe"", after it's done and the work is in vain, it's a loss brother😊")</f>
        <v>It's hard to come to the lobby here and there "maybe", after it's done and the work is in vain, it's a loss brother😊</v>
      </c>
      <c r="J166" s="6" t="str">
        <f>IFERROR(__xludf.DUMMYFUNCTION("GOOGLETRANSLATE(I166, ""en"", ""id"")"),"Susah datang ke lobi kesana kemari “mungkin”, setelah selesai dan kerja sia-sia, rugi abang😊")</f>
        <v>Susah datang ke lobi kesana kemari “mungkin”, setelah selesai dan kerja sia-sia, rugi abang😊</v>
      </c>
      <c r="K166" s="6" t="str">
        <f>IFERROR(__xludf.DUMMYFUNCTION("GOOGLETRANSLATE(F166, ""id"", ""en"")"),"It's hard to get in ""maybe"" to the lobby here and there, after it's done and working it's wasted, it's a loss, bro😊")</f>
        <v>It's hard to get in "maybe" to the lobby here and there, after it's done and working it's wasted, it's a loss, bro😊</v>
      </c>
      <c r="L166" s="6" t="s">
        <v>519</v>
      </c>
      <c r="M166" s="6" t="str">
        <f>IFERROR(__xludf.DUMMYFUNCTION("GOOGLETRANSLATE(L166, ""en"", ""de"")"),"Es ist schwer, hier und da „vielleicht“ in die Lobby zu kommen, nachdem es erledigt ist und die Arbeit vergeblich ist, ist es ein Verlust, Bruder😊")</f>
        <v>Es ist schwer, hier und da „vielleicht“ in die Lobby zu kommen, nachdem es erledigt ist und die Arbeit vergeblich ist, ist es ein Verlust, Bruder😊</v>
      </c>
      <c r="N166" s="6" t="s">
        <v>520</v>
      </c>
      <c r="O166" s="6" t="str">
        <f>IFERROR(__xludf.DUMMYFUNCTION("GOOGLETRANSLATE(N166, ""de"", ""id"")"),"Susah datang ke lobi kesana kemari “mungkin”, setelah selesai dan kerja sia-sia, rugi abang😊")</f>
        <v>Susah datang ke lobi kesana kemari “mungkin”, setelah selesai dan kerja sia-sia, rugi abang😊</v>
      </c>
    </row>
    <row r="167">
      <c r="A167" s="1" t="s">
        <v>17</v>
      </c>
      <c r="B167" s="1" t="s">
        <v>305</v>
      </c>
      <c r="C167" s="1" t="s">
        <v>521</v>
      </c>
      <c r="D167" s="4" t="s">
        <v>307</v>
      </c>
      <c r="E167" s="1" t="s">
        <v>522</v>
      </c>
      <c r="F167" s="6" t="str">
        <f>IFERROR(__xludf.DUMMYFUNCTION("IFERROR(ARRAYFORMULA(REGEXREPLACE(E167, ""("" &amp; TEXTJOIN(""|"", TRUE, FILTER(Q167:Q182, E:E&lt;&gt;"""")) &amp; "")"", 
                     INDEX(R167:R182, MATCH(REGEXEXTRACT(E167:E965, ""("" &amp; TEXTJOIN(""|"", TRUE, FILTER(Q167:Q182, Q167:Q182&lt;&gt;"""")) &amp; "")""), Q"&amp;"167:Q182, 0)))), E167)"),"Banyaknya pentingnya bersyukur")</f>
        <v>Banyaknya pentingnya bersyukur</v>
      </c>
      <c r="G167" s="6" t="str">
        <f>IFERROR(__xludf.DUMMYFUNCTION("GOOGLETRANSLATE(F167, ""id"", ""de"")
"),"Wie wichtig es ist, dankbar zu sein")</f>
        <v>Wie wichtig es ist, dankbar zu sein</v>
      </c>
      <c r="H167" s="6" t="str">
        <f>IFERROR(__xludf.DUMMYFUNCTION("GOOGLETRANSLATE(G167, ""de"", ""id"")"),"Betapa pentingnya bersyukur")</f>
        <v>Betapa pentingnya bersyukur</v>
      </c>
      <c r="I167" s="6" t="str">
        <f>IFERROR(__xludf.DUMMYFUNCTION("GOOGLETRANSLATE(G167, ""de"", ""en"")"),"How important it is to be grateful")</f>
        <v>How important it is to be grateful</v>
      </c>
      <c r="J167" s="6" t="str">
        <f>IFERROR(__xludf.DUMMYFUNCTION("GOOGLETRANSLATE(I167, ""en"", ""id"")"),"Betapa pentingnya bersyukur")</f>
        <v>Betapa pentingnya bersyukur</v>
      </c>
      <c r="K167" s="6" t="str">
        <f>IFERROR(__xludf.DUMMYFUNCTION("GOOGLETRANSLATE(F167, ""id"", ""en"")"),"The importance of being grateful")</f>
        <v>The importance of being grateful</v>
      </c>
      <c r="L167" s="6" t="s">
        <v>523</v>
      </c>
      <c r="M167" s="6" t="str">
        <f>IFERROR(__xludf.DUMMYFUNCTION("GOOGLETRANSLATE(L167, ""en"", ""de"")"),"Wie wichtig es ist, dankbar zu sein")</f>
        <v>Wie wichtig es ist, dankbar zu sein</v>
      </c>
      <c r="N167" s="6" t="s">
        <v>524</v>
      </c>
      <c r="O167" s="6" t="str">
        <f>IFERROR(__xludf.DUMMYFUNCTION("GOOGLETRANSLATE(N167, ""de"", ""id"")"),"Betapa pentingnya bersyukur")</f>
        <v>Betapa pentingnya bersyukur</v>
      </c>
    </row>
    <row r="168">
      <c r="A168" s="1" t="s">
        <v>17</v>
      </c>
      <c r="B168" s="1" t="s">
        <v>305</v>
      </c>
      <c r="C168" s="1" t="s">
        <v>525</v>
      </c>
      <c r="D168" s="4" t="s">
        <v>307</v>
      </c>
      <c r="E168" s="1" t="s">
        <v>526</v>
      </c>
      <c r="F168" s="6" t="str">
        <f>IFERROR(__xludf.DUMMYFUNCTION("IFERROR(ARRAYFORMULA(REGEXREPLACE(E168, ""("" &amp; TEXTJOIN(""|"", TRUE, FILTER(Q168:Q183, E:E&lt;&gt;"""")) &amp; "")"", 
                     INDEX(R168:R183, MATCH(REGEXEXTRACT(E168:E965, ""("" &amp; TEXTJOIN(""|"", TRUE, FILTER(Q168:Q183, Q168:Q183&lt;&gt;"""")) &amp; "")""), Q"&amp;"168:Q183, 0)))), E168)"),"Gampang masuknya, keluarnya pun gampang,")</f>
        <v>Gampang masuknya, keluarnya pun gampang,</v>
      </c>
      <c r="G168" s="6" t="str">
        <f>IFERROR(__xludf.DUMMYFUNCTION("GOOGLETRANSLATE(F168, ""id"", ""de"")
"),"Leichter Einstieg, leichter Ausstieg,")</f>
        <v>Leichter Einstieg, leichter Ausstieg,</v>
      </c>
      <c r="H168" s="6" t="str">
        <f>IFERROR(__xludf.DUMMYFUNCTION("GOOGLETRANSLATE(G168, ""de"", ""id"")"),"Masuk mudah, keluar mudah,")</f>
        <v>Masuk mudah, keluar mudah,</v>
      </c>
      <c r="I168" s="6" t="str">
        <f>IFERROR(__xludf.DUMMYFUNCTION("GOOGLETRANSLATE(G168, ""de"", ""en"")"),"Easy entry, easy exit,")</f>
        <v>Easy entry, easy exit,</v>
      </c>
      <c r="J168" s="6" t="str">
        <f>IFERROR(__xludf.DUMMYFUNCTION("GOOGLETRANSLATE(I168, ""en"", ""id"")"),"Masuk mudah, keluar mudah,")</f>
        <v>Masuk mudah, keluar mudah,</v>
      </c>
      <c r="K168" s="6" t="str">
        <f>IFERROR(__xludf.DUMMYFUNCTION("GOOGLETRANSLATE(F168, ""id"", ""en"")"),"Easy to get in, easy to get out,")</f>
        <v>Easy to get in, easy to get out,</v>
      </c>
      <c r="L168" s="6" t="s">
        <v>527</v>
      </c>
      <c r="M168" s="6" t="str">
        <f>IFERROR(__xludf.DUMMYFUNCTION("GOOGLETRANSLATE(L168, ""en"", ""de"")"),"Leichter Einstieg, leichter Ausstieg,")</f>
        <v>Leichter Einstieg, leichter Ausstieg,</v>
      </c>
      <c r="N168" s="6" t="s">
        <v>528</v>
      </c>
      <c r="O168" s="6" t="str">
        <f>IFERROR(__xludf.DUMMYFUNCTION("GOOGLETRANSLATE(N168, ""de"", ""id"")"),"Masuk mudah, keluar mudah,")</f>
        <v>Masuk mudah, keluar mudah,</v>
      </c>
    </row>
    <row r="169">
      <c r="A169" s="1" t="s">
        <v>17</v>
      </c>
      <c r="B169" s="1" t="s">
        <v>305</v>
      </c>
      <c r="C169" s="1" t="s">
        <v>529</v>
      </c>
      <c r="D169" s="4" t="s">
        <v>307</v>
      </c>
      <c r="E169" s="1" t="s">
        <v>530</v>
      </c>
      <c r="F169" s="6" t="str">
        <f>IFERROR(__xludf.DUMMYFUNCTION("IFERROR(ARRAYFORMULA(REGEXREPLACE(E169, ""("" &amp; TEXTJOIN(""|"", TRUE, FILTER(Q169:Q184, E:E&lt;&gt;"""")) &amp; "")"", 
                     INDEX(R169:R184, MATCH(REGEXEXTRACT(E169:E965, ""("" &amp; TEXTJOIN(""|"", TRUE, FILTER(Q169:Q184, Q169:Q184&lt;&gt;"""")) &amp; "")""), Q"&amp;"169:Q184, 0)))), E169)"),"The real msuk nya setengah mati.. kluar ny setengah gila 😢")</f>
        <v>The real msuk nya setengah mati.. kluar ny setengah gila 😢</v>
      </c>
      <c r="G169" s="6" t="str">
        <f>IFERROR(__xludf.DUMMYFUNCTION("GOOGLETRANSLATE(F169, ""id"", ""de"")
"),"Die Wahrheit ist: Wenn du reingehst, bist du halb tot... wenn du rauskommst, bist du halb verrückt 😢")</f>
        <v>Die Wahrheit ist: Wenn du reingehst, bist du halb tot... wenn du rauskommst, bist du halb verrückt 😢</v>
      </c>
      <c r="H169" s="6" t="str">
        <f>IFERROR(__xludf.DUMMYFUNCTION("GOOGLETRANSLATE(G169, ""de"", ""id"")"),"Kenyataannya adalah: ketika kamu masuk, kamu setengah mati... ketika kamu keluar, kamu setengah gila 😢")</f>
        <v>Kenyataannya adalah: ketika kamu masuk, kamu setengah mati... ketika kamu keluar, kamu setengah gila 😢</v>
      </c>
      <c r="I169" s="6" t="str">
        <f>IFERROR(__xludf.DUMMYFUNCTION("GOOGLETRANSLATE(G169, ""de"", ""en"")"),"The truth is: when you go in, you're half dead... when you come out, you're half crazy 😢")</f>
        <v>The truth is: when you go in, you're half dead... when you come out, you're half crazy 😢</v>
      </c>
      <c r="J169" s="6" t="str">
        <f>IFERROR(__xludf.DUMMYFUNCTION("GOOGLETRANSLATE(I169, ""en"", ""id"")"),"Kenyataannya adalah: ketika kamu masuk, kamu setengah mati... ketika kamu keluar, kamu setengah gila 😢")</f>
        <v>Kenyataannya adalah: ketika kamu masuk, kamu setengah mati... ketika kamu keluar, kamu setengah gila 😢</v>
      </c>
      <c r="K169" s="6" t="str">
        <f>IFERROR(__xludf.DUMMYFUNCTION("GOOGLETRANSLATE(F169, ""id"", ""en"")"),"The real thing is that when you go in you're half dead... when you come out you're half crazy 😢")</f>
        <v>The real thing is that when you go in you're half dead... when you come out you're half crazy 😢</v>
      </c>
      <c r="L169" s="6" t="s">
        <v>531</v>
      </c>
      <c r="M169" s="6" t="str">
        <f>IFERROR(__xludf.DUMMYFUNCTION("GOOGLETRANSLATE(L169, ""en"", ""de"")"),"Die Wahrheit ist: Wenn du reingehst, bist du halb tot... wenn du rauskommst, bist du halb verrückt 😢")</f>
        <v>Die Wahrheit ist: Wenn du reingehst, bist du halb tot... wenn du rauskommst, bist du halb verrückt 😢</v>
      </c>
      <c r="N169" s="6" t="s">
        <v>532</v>
      </c>
      <c r="O169" s="6" t="str">
        <f>IFERROR(__xludf.DUMMYFUNCTION("GOOGLETRANSLATE(N169, ""de"", ""id"")"),"Kenyataannya adalah: ketika kamu masuk, kamu setengah mati... ketika kamu keluar, kamu setengah gila 😢")</f>
        <v>Kenyataannya adalah: ketika kamu masuk, kamu setengah mati... ketika kamu keluar, kamu setengah gila 😢</v>
      </c>
    </row>
    <row r="170">
      <c r="A170" s="1" t="s">
        <v>17</v>
      </c>
      <c r="B170" s="1" t="s">
        <v>305</v>
      </c>
      <c r="C170" s="1" t="s">
        <v>533</v>
      </c>
      <c r="D170" s="4" t="s">
        <v>307</v>
      </c>
      <c r="E170" s="1" t="s">
        <v>534</v>
      </c>
      <c r="F170" s="6" t="str">
        <f>IFERROR(__xludf.DUMMYFUNCTION("IFERROR(ARRAYFORMULA(REGEXREPLACE(E170, ""("" &amp; TEXTJOIN(""|"", TRUE, FILTER(Q170:Q185, E:E&lt;&gt;"""")) &amp; "")"", 
                     INDEX(R170:R185, MATCH(REGEXEXTRACT(E170:E965, ""("" &amp; TEXTJOIN(""|"", TRUE, FILTER(Q170:Q185, Q170:Q185&lt;&gt;"""")) &amp; "")""), Q"&amp;"170:Q185, 0)))), E170)"),"“berulang” tanda klo itu karakter, yok kembalikan marwahnya!🔥")</f>
        <v>“berulang” tanda klo itu karakter, yok kembalikan marwahnya!🔥</v>
      </c>
      <c r="G170" s="6" t="str">
        <f>IFERROR(__xludf.DUMMYFUNCTION("GOOGLETRANSLATE(F170, ""id"", ""de"")
"),"„wiederholt“ ist ein Zeichen dafür, dass es sich um einen Charakter handelt, lasst uns den Charakter zurückbringen!🔥")</f>
        <v>„wiederholt“ ist ein Zeichen dafür, dass es sich um einen Charakter handelt, lasst uns den Charakter zurückbringen!🔥</v>
      </c>
      <c r="H170" s="6" t="str">
        <f>IFERROR(__xludf.DUMMYFUNCTION("GOOGLETRANSLATE(G170, ""de"", ""id"")"),"“berulang kali” itu tandanya itu karakter, ayo kita kembalikan karakter itu!🔥")</f>
        <v>“berulang kali” itu tandanya itu karakter, ayo kita kembalikan karakter itu!🔥</v>
      </c>
      <c r="I170" s="6" t="str">
        <f>IFERROR(__xludf.DUMMYFUNCTION("GOOGLETRANSLATE(G170, ""de"", ""en"")"),"“repeatedly” is a sign that it’s a character, let’s bring the character back!🔥")</f>
        <v>“repeatedly” is a sign that it’s a character, let’s bring the character back!🔥</v>
      </c>
      <c r="J170" s="6" t="str">
        <f>IFERROR(__xludf.DUMMYFUNCTION("GOOGLETRANSLATE(I170, ""en"", ""id"")"),"“berulang kali” itu tandanya itu karakter, ayo kita kembalikan karakter itu!🔥")</f>
        <v>“berulang kali” itu tandanya itu karakter, ayo kita kembalikan karakter itu!🔥</v>
      </c>
      <c r="K170" s="6" t="str">
        <f>IFERROR(__xludf.DUMMYFUNCTION("GOOGLETRANSLATE(F170, ""id"", ""en"")"),"""repeated"" is a sign that it's a character, let's bring back the character!🔥")</f>
        <v>"repeated" is a sign that it's a character, let's bring back the character!🔥</v>
      </c>
      <c r="L170" s="6" t="s">
        <v>535</v>
      </c>
      <c r="M170" s="6" t="str">
        <f>IFERROR(__xludf.DUMMYFUNCTION("GOOGLETRANSLATE(L170, ""en"", ""de"")"),"„wiederholt“ ist ein Zeichen dafür, dass es sich um einen Charakter handelt, lasst uns den Charakter zurückbringen!🔥")</f>
        <v>„wiederholt“ ist ein Zeichen dafür, dass es sich um einen Charakter handelt, lasst uns den Charakter zurückbringen!🔥</v>
      </c>
      <c r="N170" s="6" t="s">
        <v>536</v>
      </c>
      <c r="O170" s="6" t="str">
        <f>IFERROR(__xludf.DUMMYFUNCTION("GOOGLETRANSLATE(N170, ""de"", ""id"")"),"“berulang kali” itu tandanya itu karakter, ayo kita kembalikan karakter itu!🔥")</f>
        <v>“berulang kali” itu tandanya itu karakter, ayo kita kembalikan karakter itu!🔥</v>
      </c>
    </row>
    <row r="171">
      <c r="A171" s="1" t="s">
        <v>17</v>
      </c>
      <c r="B171" s="1" t="s">
        <v>305</v>
      </c>
      <c r="C171" s="1" t="s">
        <v>537</v>
      </c>
      <c r="D171" s="4" t="s">
        <v>307</v>
      </c>
      <c r="E171" s="1" t="s">
        <v>538</v>
      </c>
      <c r="F171" s="6" t="str">
        <f>IFERROR(__xludf.DUMMYFUNCTION("IFERROR(ARRAYFORMULA(REGEXREPLACE(E171, ""("" &amp; TEXTJOIN(""|"", TRUE, FILTER(Q171:Q186, E:E&lt;&gt;"""")) &amp; "")"", 
                     INDEX(R171:R186, MATCH(REGEXEXTRACT(E171:E965, ""("" &amp; TEXTJOIN(""|"", TRUE, FILTER(Q171:Q186, Q171:Q186&lt;&gt;"""")) &amp; "")""), Q"&amp;"171:Q186, 0)))), E171)"),"Selepas dinas status mereka jadi warga sipil. Mohon pak tetap di pantau agar kiranya tda melakukan hal2 melanggar hukum dalam bermasyarakat🙏")</f>
        <v>Selepas dinas status mereka jadi warga sipil. Mohon pak tetap di pantau agar kiranya tda melakukan hal2 melanggar hukum dalam bermasyarakat🙏</v>
      </c>
      <c r="G171" s="6" t="str">
        <f>IFERROR(__xludf.DUMMYFUNCTION("GOOGLETRANSLATE(F171, ""id"", ""de"")
"),"Nach dem Dienst erhalten sie den Status eines Zivilisten. Bitte, mein Herr, lassen Sie sich weiterhin überwachen, damit Sie in der Gesellschaft nichts tun, was gegen das Gesetz verstößt🙏")</f>
        <v>Nach dem Dienst erhalten sie den Status eines Zivilisten. Bitte, mein Herr, lassen Sie sich weiterhin überwachen, damit Sie in der Gesellschaft nichts tun, was gegen das Gesetz verstößt🙏</v>
      </c>
      <c r="H171" s="6" t="str">
        <f>IFERROR(__xludf.DUMMYFUNCTION("GOOGLETRANSLATE(G171, ""de"", ""id"")"),"Setelah dinas, mereka menerima status sipil. Mohon pak, terus diawasi agar tidak melakukan hal-hal yang melanggar hukum di masyarakat🙏")</f>
        <v>Setelah dinas, mereka menerima status sipil. Mohon pak, terus diawasi agar tidak melakukan hal-hal yang melanggar hukum di masyarakat🙏</v>
      </c>
      <c r="I171" s="6" t="str">
        <f>IFERROR(__xludf.DUMMYFUNCTION("GOOGLETRANSLATE(G171, ""de"", ""en"")"),"After service, they receive civilian status. Please sir, continue to be monitored so that you do not do anything in society that is against the law🙏")</f>
        <v>After service, they receive civilian status. Please sir, continue to be monitored so that you do not do anything in society that is against the law🙏</v>
      </c>
      <c r="J171" s="6" t="str">
        <f>IFERROR(__xludf.DUMMYFUNCTION("GOOGLETRANSLATE(I171, ""en"", ""id"")"),"Setelah dinas, mereka menerima status sipil. Mohon pak, terus diawasi agar tidak melakukan hal-hal yang melanggar hukum di masyarakat🙏")</f>
        <v>Setelah dinas, mereka menerima status sipil. Mohon pak, terus diawasi agar tidak melakukan hal-hal yang melanggar hukum di masyarakat🙏</v>
      </c>
      <c r="K171" s="6" t="str">
        <f>IFERROR(__xludf.DUMMYFUNCTION("GOOGLETRANSLATE(F171, ""id"", ""en"")"),"After service, their status becomes civilians. Please, sir, continue to be monitored so that you don't do anything that violates the law in society🙏")</f>
        <v>After service, their status becomes civilians. Please, sir, continue to be monitored so that you don't do anything that violates the law in society🙏</v>
      </c>
      <c r="L171" s="6" t="s">
        <v>539</v>
      </c>
      <c r="M171" s="6" t="str">
        <f>IFERROR(__xludf.DUMMYFUNCTION("GOOGLETRANSLATE(L171, ""en"", ""de"")"),"Nach dem Dienst erhalten sie den Status eines Zivilisten. Bitte, mein Herr, lassen Sie sich weiterhin überwachen, damit Sie in der Gesellschaft nichts tun, was gegen das Gesetz verstößt🙏")</f>
        <v>Nach dem Dienst erhalten sie den Status eines Zivilisten. Bitte, mein Herr, lassen Sie sich weiterhin überwachen, damit Sie in der Gesellschaft nichts tun, was gegen das Gesetz verstößt🙏</v>
      </c>
      <c r="N171" s="6" t="s">
        <v>540</v>
      </c>
      <c r="O171" s="6" t="str">
        <f>IFERROR(__xludf.DUMMYFUNCTION("GOOGLETRANSLATE(N171, ""de"", ""id"")"),"Setelah dinas, mereka menerima status sipil. Mohon pak, terus diawasi agar tidak melakukan hal-hal yang melanggar hukum di masyarakat 🙏")</f>
        <v>Setelah dinas, mereka menerima status sipil. Mohon pak, terus diawasi agar tidak melakukan hal-hal yang melanggar hukum di masyarakat 🙏</v>
      </c>
    </row>
    <row r="172">
      <c r="A172" s="1" t="s">
        <v>17</v>
      </c>
      <c r="B172" s="1" t="s">
        <v>305</v>
      </c>
      <c r="C172" s="1" t="s">
        <v>541</v>
      </c>
      <c r="D172" s="4" t="s">
        <v>307</v>
      </c>
      <c r="E172" s="1" t="s">
        <v>542</v>
      </c>
      <c r="F172" s="6" t="str">
        <f>IFERROR(__xludf.DUMMYFUNCTION("IFERROR(ARRAYFORMULA(REGEXREPLACE(E172, ""("" &amp; TEXTJOIN(""|"", TRUE, FILTER(Q172:Q187, E:E&lt;&gt;"""")) &amp; "")"", 
                     INDEX(R172:R187, MATCH(REGEXEXTRACT(E172:E965, ""("" &amp; TEXTJOIN(""|"", TRUE, FILTER(Q172:Q187, Q172:Q187&lt;&gt;"""")) &amp; "")""), Q"&amp;"172:Q187, 0)))), E172)"),"Redup abangku")</f>
        <v>Redup abangku</v>
      </c>
      <c r="G172" s="6" t="str">
        <f>IFERROR(__xludf.DUMMYFUNCTION("GOOGLETRANSLATE(F172, ""id"", ""de"")
"),"Verdunkele meinen Bruder")</f>
        <v>Verdunkele meinen Bruder</v>
      </c>
      <c r="H172" s="6" t="str">
        <f>IFERROR(__xludf.DUMMYFUNCTION("GOOGLETRANSLATE(G172, ""de"", ""id"")"),"Gerhana saudaraku")</f>
        <v>Gerhana saudaraku</v>
      </c>
      <c r="I172" s="6" t="str">
        <f>IFERROR(__xludf.DUMMYFUNCTION("GOOGLETRANSLATE(G172, ""de"", ""en"")"),"Eclipse my brother")</f>
        <v>Eclipse my brother</v>
      </c>
      <c r="J172" s="6" t="str">
        <f>IFERROR(__xludf.DUMMYFUNCTION("GOOGLETRANSLATE(I172, ""en"", ""id"")"),"Gerhana saudaraku")</f>
        <v>Gerhana saudaraku</v>
      </c>
      <c r="K172" s="6" t="str">
        <f>IFERROR(__xludf.DUMMYFUNCTION("GOOGLETRANSLATE(F172, ""id"", ""en"")"),"Dim my brother")</f>
        <v>Dim my brother</v>
      </c>
      <c r="L172" s="6" t="s">
        <v>543</v>
      </c>
      <c r="M172" s="6" t="str">
        <f>IFERROR(__xludf.DUMMYFUNCTION("GOOGLETRANSLATE(L172, ""en"", ""de"")"),"Verdunkele meinen Bruder")</f>
        <v>Verdunkele meinen Bruder</v>
      </c>
      <c r="N172" s="6" t="s">
        <v>544</v>
      </c>
      <c r="O172" s="6" t="str">
        <f>IFERROR(__xludf.DUMMYFUNCTION("GOOGLETRANSLATE(N172, ""de"", ""id"")"),"Gerhana saudaraku")</f>
        <v>Gerhana saudaraku</v>
      </c>
    </row>
    <row r="173">
      <c r="A173" s="1" t="s">
        <v>17</v>
      </c>
      <c r="B173" s="1" t="s">
        <v>305</v>
      </c>
      <c r="C173" s="1" t="s">
        <v>545</v>
      </c>
      <c r="D173" s="4" t="s">
        <v>307</v>
      </c>
      <c r="E173" s="1" t="s">
        <v>546</v>
      </c>
      <c r="F173" s="6" t="str">
        <f>IFERROR(__xludf.DUMMYFUNCTION("IFERROR(ARRAYFORMULA(REGEXREPLACE(E173, ""("" &amp; TEXTJOIN(""|"", TRUE, FILTER(Q173:Q188, E:E&lt;&gt;"""")) &amp; "")"", 
                     INDEX(R173:R188, MATCH(REGEXEXTRACT(E173:E965, ""("" &amp; TEXTJOIN(""|"", TRUE, FILTER(Q173:Q188, Q173:Q188&lt;&gt;"""")) &amp; "")""), Q"&amp;"173:Q188, 0)))), E173)"),"Polda bangkitt 🔥👏")</f>
        <v>Polda bangkitt 🔥👏</v>
      </c>
      <c r="G173" s="6" t="str">
        <f>IFERROR(__xludf.DUMMYFUNCTION("GOOGLETRANSLATE(F173, ""id"", ""de"")
"),"Die Regionalpolizei erhob sich 🔥👏")</f>
        <v>Die Regionalpolizei erhob sich 🔥👏</v>
      </c>
      <c r="H173" s="6" t="str">
        <f>IFERROR(__xludf.DUMMYFUNCTION("GOOGLETRANSLATE(G173, ""de"", ""id"")"),"Polda bangkit 🔥👏")</f>
        <v>Polda bangkit 🔥👏</v>
      </c>
      <c r="I173" s="6" t="str">
        <f>IFERROR(__xludf.DUMMYFUNCTION("GOOGLETRANSLATE(G173, ""de"", ""en"")"),"The regional police rose 🔥👏")</f>
        <v>The regional police rose 🔥👏</v>
      </c>
      <c r="J173" s="6" t="str">
        <f>IFERROR(__xludf.DUMMYFUNCTION("GOOGLETRANSLATE(I173, ""en"", ""id"")"),"Polda bangkit 🔥👏")</f>
        <v>Polda bangkit 🔥👏</v>
      </c>
      <c r="K173" s="6" t="str">
        <f>IFERROR(__xludf.DUMMYFUNCTION("GOOGLETRANSLATE(F173, ""id"", ""en"")"),"The Regional Police rose up 🔥👏")</f>
        <v>The Regional Police rose up 🔥👏</v>
      </c>
      <c r="L173" s="6" t="s">
        <v>547</v>
      </c>
      <c r="M173" s="6" t="str">
        <f>IFERROR(__xludf.DUMMYFUNCTION("GOOGLETRANSLATE(L173, ""en"", ""de"")"),"Die Regionalpolizei erhob sich 🔥👏")</f>
        <v>Die Regionalpolizei erhob sich 🔥👏</v>
      </c>
      <c r="N173" s="6" t="s">
        <v>548</v>
      </c>
      <c r="O173" s="6" t="str">
        <f>IFERROR(__xludf.DUMMYFUNCTION("GOOGLETRANSLATE(N173, ""de"", ""id"")"),"Polda bangkit 🔥👏")</f>
        <v>Polda bangkit 🔥👏</v>
      </c>
    </row>
    <row r="174">
      <c r="A174" s="1" t="s">
        <v>17</v>
      </c>
      <c r="B174" s="1" t="s">
        <v>305</v>
      </c>
      <c r="C174" s="1" t="s">
        <v>549</v>
      </c>
      <c r="D174" s="4" t="s">
        <v>307</v>
      </c>
      <c r="E174" s="1" t="s">
        <v>550</v>
      </c>
      <c r="F174" s="6" t="str">
        <f>IFERROR(__xludf.DUMMYFUNCTION("IFERROR(ARRAYFORMULA(REGEXREPLACE(E174, ""("" &amp; TEXTJOIN(""|"", TRUE, FILTER(Q174:Q189, E:E&lt;&gt;"""")) &amp; "")"", 
                     INDEX(R174:R189, MATCH(REGEXEXTRACT(E174:E965, ""("" &amp; TEXTJOIN(""|"", TRUE, FILTER(Q174:Q189, Q174:Q189&lt;&gt;"""")) &amp; "")""), Q"&amp;"174:Q189, 0)))), E174)"),"Termasuk @mprabows dgn @wawankarim_ dpt pecat jg 😂")</f>
        <v>Termasuk @mprabows dgn @wawankarim_ dpt pecat jg 😂</v>
      </c>
      <c r="G174" s="6" t="str">
        <f>IFERROR(__xludf.DUMMYFUNCTION("GOOGLETRANSLATE(F174, ""id"", ""de"")
"),"Einschließlich @mprabows und @wawankarim_ können auch gefeuert werden 😂")</f>
        <v>Einschließlich @mprabows und @wawankarim_ können auch gefeuert werden 😂</v>
      </c>
      <c r="H174" s="6" t="str">
        <f>IFERROR(__xludf.DUMMYFUNCTION("GOOGLETRANSLATE(G174, ""de"", ""id"")"),"Termasuk @mprabows dan @wawankarim_ juga bisa dipecat 😂")</f>
        <v>Termasuk @mprabows dan @wawankarim_ juga bisa dipecat 😂</v>
      </c>
      <c r="I174" s="6" t="str">
        <f>IFERROR(__xludf.DUMMYFUNCTION("GOOGLETRANSLATE(G174, ""de"", ""en"")"),"Including @mprabows and @wawankarim_ can also be fired 😂")</f>
        <v>Including @mprabows and @wawankarim_ can also be fired 😂</v>
      </c>
      <c r="J174" s="6" t="str">
        <f>IFERROR(__xludf.DUMMYFUNCTION("GOOGLETRANSLATE(I174, ""en"", ""id"")"),"Termasuk @mprabows dan @wawankarim_ juga bisa dipecat 😂")</f>
        <v>Termasuk @mprabows dan @wawankarim_ juga bisa dipecat 😂</v>
      </c>
      <c r="K174" s="6" t="str">
        <f>IFERROR(__xludf.DUMMYFUNCTION("GOOGLETRANSLATE(F174, ""id"", ""en"")"),"Including @mprabows and @wawankarim_ can be fired too 😂")</f>
        <v>Including @mprabows and @wawankarim_ can be fired too 😂</v>
      </c>
      <c r="L174" s="6" t="s">
        <v>551</v>
      </c>
      <c r="M174" s="6" t="str">
        <f>IFERROR(__xludf.DUMMYFUNCTION("GOOGLETRANSLATE(L174, ""en"", ""de"")"),"Einschließlich @mprabows und @wawankarim_ können auch gefeuert werden 😂")</f>
        <v>Einschließlich @mprabows und @wawankarim_ können auch gefeuert werden 😂</v>
      </c>
      <c r="N174" s="6" t="s">
        <v>552</v>
      </c>
      <c r="O174" s="6" t="str">
        <f>IFERROR(__xludf.DUMMYFUNCTION("GOOGLETRANSLATE(N174, ""de"", ""id"")"),"Termasuk @mprabows dan @wawankarim_ juga bisa dipecat 😂")</f>
        <v>Termasuk @mprabows dan @wawankarim_ juga bisa dipecat 😂</v>
      </c>
    </row>
    <row r="175">
      <c r="A175" s="1" t="s">
        <v>17</v>
      </c>
      <c r="B175" s="1" t="s">
        <v>305</v>
      </c>
      <c r="C175" s="1" t="s">
        <v>553</v>
      </c>
      <c r="D175" s="4" t="s">
        <v>307</v>
      </c>
      <c r="E175" s="1" t="s">
        <v>554</v>
      </c>
      <c r="F175" s="6" t="str">
        <f>IFERROR(__xludf.DUMMYFUNCTION("IFERROR(ARRAYFORMULA(REGEXREPLACE(E175, ""("" &amp; TEXTJOIN(""|"", TRUE, FILTER(Q175:Q190, E:E&lt;&gt;"""")) &amp; "")"", 
                     INDEX(R175:R190, MATCH(REGEXEXTRACT(E175:E965, ""("" &amp; TEXTJOIN(""|"", TRUE, FILTER(Q175:Q190, Q175:Q190&lt;&gt;"""")) &amp; "")""), Q"&amp;"175:Q190, 0)))), E175)"),"@sandyfebriansyahlodik 😭😭😭😭")</f>
        <v>@sandyfebriansyahlodik 😭😭😭😭</v>
      </c>
      <c r="G175" s="6" t="str">
        <f>IFERROR(__xludf.DUMMYFUNCTION("GOOGLETRANSLATE(F175, ""id"", ""de"")
"),"@sandyfebriansyahlodik 😭😭😭😭")</f>
        <v>@sandyfebriansyahlodik 😭😭😭😭</v>
      </c>
      <c r="H175" s="6" t="str">
        <f>IFERROR(__xludf.DUMMYFUNCTION("GOOGLETRANSLATE(G175, ""de"", ""id"")"),"@sandyfebriansyahlodik 😭😭😭😭")</f>
        <v>@sandyfebriansyahlodik 😭😭😭😭</v>
      </c>
      <c r="I175" s="6" t="str">
        <f>IFERROR(__xludf.DUMMYFUNCTION("GOOGLETRANSLATE(G175, ""de"", ""en"")"),"@sandyfebriansyahlodik 😭😭😭😭")</f>
        <v>@sandyfebriansyahlodik 😭😭😭😭</v>
      </c>
      <c r="J175" s="6" t="str">
        <f>IFERROR(__xludf.DUMMYFUNCTION("GOOGLETRANSLATE(I175, ""en"", ""id"")"),"@sandyfebriansyahlodik 😭😭😭😭")</f>
        <v>@sandyfebriansyahlodik 😭😭😭😭</v>
      </c>
      <c r="K175" s="6" t="str">
        <f>IFERROR(__xludf.DUMMYFUNCTION("GOOGLETRANSLATE(F175, ""id"", ""en"")"),"@sandyfebriansyahlodik 😭😭😭😭")</f>
        <v>@sandyfebriansyahlodik 😭😭😭😭</v>
      </c>
      <c r="L175" s="6" t="s">
        <v>554</v>
      </c>
      <c r="M175" s="6" t="str">
        <f>IFERROR(__xludf.DUMMYFUNCTION("GOOGLETRANSLATE(L175, ""en"", ""de"")"),"@sandyfebriansyahlodik 😭😭😭😭")</f>
        <v>@sandyfebriansyahlodik 😭😭😭😭</v>
      </c>
      <c r="N175" s="6" t="s">
        <v>554</v>
      </c>
      <c r="O175" s="6" t="str">
        <f>IFERROR(__xludf.DUMMYFUNCTION("GOOGLETRANSLATE(N175, ""de"", ""id"")"),"@sandyfebriansyahlodik 😭😭😭😭")</f>
        <v>@sandyfebriansyahlodik 😭😭😭😭</v>
      </c>
    </row>
    <row r="176">
      <c r="A176" s="1" t="s">
        <v>17</v>
      </c>
      <c r="B176" s="1" t="s">
        <v>305</v>
      </c>
      <c r="C176" s="1" t="s">
        <v>555</v>
      </c>
      <c r="D176" s="4" t="s">
        <v>307</v>
      </c>
      <c r="E176" s="1" t="s">
        <v>556</v>
      </c>
      <c r="F176" s="6" t="str">
        <f>IFERROR(__xludf.DUMMYFUNCTION("IFERROR(ARRAYFORMULA(REGEXREPLACE(E176, ""("" &amp; TEXTJOIN(""|"", TRUE, FILTER(Q176:Q191, E:E&lt;&gt;"""")) &amp; "")"", 
                     INDEX(R176:R191, MATCH(REGEXEXTRACT(E176:E965, ""("" &amp; TEXTJOIN(""|"", TRUE, FILTER(Q176:Q191, Q176:Q191&lt;&gt;"""")) &amp; "")""), Q"&amp;"176:Q191, 0)))), E176)"),"Narkoba merajai Sulteng")</f>
        <v>Narkoba merajai Sulteng</v>
      </c>
      <c r="G176" s="6" t="str">
        <f>IFERROR(__xludf.DUMMYFUNCTION("GOOGLETRANSLATE(F176, ""id"", ""de"")
"),"Drogen dominieren Zentral-Sulawesi")</f>
        <v>Drogen dominieren Zentral-Sulawesi</v>
      </c>
      <c r="H176" s="6" t="str">
        <f>IFERROR(__xludf.DUMMYFUNCTION("GOOGLETRANSLATE(G176, ""de"", ""id"")"),"Narkoba mendominasi Sulawesi Tengah")</f>
        <v>Narkoba mendominasi Sulawesi Tengah</v>
      </c>
      <c r="I176" s="6" t="str">
        <f>IFERROR(__xludf.DUMMYFUNCTION("GOOGLETRANSLATE(G176, ""de"", ""en"")"),"Drugs dominate Central Sulawesi")</f>
        <v>Drugs dominate Central Sulawesi</v>
      </c>
      <c r="J176" s="6" t="str">
        <f>IFERROR(__xludf.DUMMYFUNCTION("GOOGLETRANSLATE(I176, ""en"", ""id"")"),"Narkoba mendominasi Sulawesi Tengah")</f>
        <v>Narkoba mendominasi Sulawesi Tengah</v>
      </c>
      <c r="K176" s="6" t="str">
        <f>IFERROR(__xludf.DUMMYFUNCTION("GOOGLETRANSLATE(F176, ""id"", ""en"")"),"Drugs dominate Central Sulawesi")</f>
        <v>Drugs dominate Central Sulawesi</v>
      </c>
      <c r="L176" s="6" t="s">
        <v>557</v>
      </c>
      <c r="M176" s="6" t="str">
        <f>IFERROR(__xludf.DUMMYFUNCTION("GOOGLETRANSLATE(L176, ""en"", ""de"")"),"Drogen dominieren Zentral-Sulawesi")</f>
        <v>Drogen dominieren Zentral-Sulawesi</v>
      </c>
      <c r="N176" s="6" t="s">
        <v>558</v>
      </c>
      <c r="O176" s="6" t="str">
        <f>IFERROR(__xludf.DUMMYFUNCTION("GOOGLETRANSLATE(N176, ""de"", ""id"")"),"Narkoba mendominasi Sulawesi Tengah")</f>
        <v>Narkoba mendominasi Sulawesi Tengah</v>
      </c>
    </row>
    <row r="177">
      <c r="A177" s="1" t="s">
        <v>17</v>
      </c>
      <c r="B177" s="1" t="s">
        <v>305</v>
      </c>
      <c r="C177" s="1" t="s">
        <v>559</v>
      </c>
      <c r="D177" s="4" t="s">
        <v>560</v>
      </c>
      <c r="E177" s="1" t="s">
        <v>561</v>
      </c>
      <c r="F177" s="6" t="str">
        <f>IFERROR(__xludf.DUMMYFUNCTION("IFERROR(ARRAYFORMULA(REGEXREPLACE(E177, ""("" &amp; TEXTJOIN(""|"", TRUE, FILTER(Q177:Q192, E:E&lt;&gt;"""")) &amp; "")"", 
                     INDEX(R177:R192, MATCH(REGEXEXTRACT(E177:E965, ""("" &amp; TEXTJOIN(""|"", TRUE, FILTER(Q177:Q192, Q177:Q192&lt;&gt;"""")) &amp; "")""), Q"&amp;"177:Q192, 0)))), E177)"),"Izin share ka🤗")</f>
        <v>Izin share ka🤗</v>
      </c>
      <c r="G177" s="6" t="str">
        <f>IFERROR(__xludf.DUMMYFUNCTION("GOOGLETRANSLATE(F177, ""id"", ""de"")
"),"Erlaubnis zum Teilen, Bruder🤗")</f>
        <v>Erlaubnis zum Teilen, Bruder🤗</v>
      </c>
      <c r="H177" s="6" t="str">
        <f>IFERROR(__xludf.DUMMYFUNCTION("GOOGLETRANSLATE(G177, ""de"", ""id"")"),"Izin share gan🤗")</f>
        <v>Izin share gan🤗</v>
      </c>
      <c r="I177" s="6" t="str">
        <f>IFERROR(__xludf.DUMMYFUNCTION("GOOGLETRANSLATE(G177, ""de"", ""en"")"),"Permission to share bro🤗")</f>
        <v>Permission to share bro🤗</v>
      </c>
      <c r="J177" s="6" t="str">
        <f>IFERROR(__xludf.DUMMYFUNCTION("GOOGLETRANSLATE(I177, ""en"", ""id"")"),"Izin share gan🤗")</f>
        <v>Izin share gan🤗</v>
      </c>
      <c r="K177" s="6" t="str">
        <f>IFERROR(__xludf.DUMMYFUNCTION("GOOGLETRANSLATE(F177, ""id"", ""en"")"),"Permission to share, bro🤗")</f>
        <v>Permission to share, bro🤗</v>
      </c>
      <c r="L177" s="6" t="s">
        <v>562</v>
      </c>
      <c r="M177" s="6" t="str">
        <f>IFERROR(__xludf.DUMMYFUNCTION("GOOGLETRANSLATE(L177, ""en"", ""de"")"),"Erlaubnis zum Teilen, Bruder🤗")</f>
        <v>Erlaubnis zum Teilen, Bruder🤗</v>
      </c>
      <c r="N177" s="6" t="s">
        <v>563</v>
      </c>
      <c r="O177" s="6" t="str">
        <f>IFERROR(__xludf.DUMMYFUNCTION("GOOGLETRANSLATE(N177, ""de"", ""id"")"),"Izin share gan🤗")</f>
        <v>Izin share gan🤗</v>
      </c>
    </row>
    <row r="178">
      <c r="A178" s="1" t="s">
        <v>17</v>
      </c>
      <c r="B178" s="1" t="s">
        <v>305</v>
      </c>
      <c r="C178" s="1" t="s">
        <v>559</v>
      </c>
      <c r="D178" s="4" t="s">
        <v>560</v>
      </c>
      <c r="E178" s="1" t="s">
        <v>564</v>
      </c>
      <c r="F178" s="6" t="str">
        <f>IFERROR(__xludf.DUMMYFUNCTION("IFERROR(ARRAYFORMULA(REGEXREPLACE(E178, ""("" &amp; TEXTJOIN(""|"", TRUE, FILTER(Q178:Q193, E:E&lt;&gt;"""")) &amp; "")"", 
                     INDEX(R178:R193, MATCH(REGEXEXTRACT(E178:E965, ""("" &amp; TEXTJOIN(""|"", TRUE, FILTER(Q178:Q193, Q178:Q193&lt;&gt;"""")) &amp; "")""), Q"&amp;"178:Q193, 0)))), E178)"),"Indahnya desaku❤️☺🙏")</f>
        <v>Indahnya desaku❤️☺🙏</v>
      </c>
      <c r="G178" s="6" t="str">
        <f>IFERROR(__xludf.DUMMYFUNCTION("GOOGLETRANSLATE(F178, ""id"", ""de"")
"),"Die Schönheit meines Dorfes❤️☺🙏")</f>
        <v>Die Schönheit meines Dorfes❤️☺🙏</v>
      </c>
      <c r="H178" s="6" t="str">
        <f>IFERROR(__xludf.DUMMYFUNCTION("GOOGLETRANSLATE(G178, ""de"", ""id"")"),"Indahnya desaku❤️☺🙏")</f>
        <v>Indahnya desaku❤️☺🙏</v>
      </c>
      <c r="I178" s="6" t="str">
        <f>IFERROR(__xludf.DUMMYFUNCTION("GOOGLETRANSLATE(G178, ""de"", ""en"")"),"The beauty of my village❤️☺🙏")</f>
        <v>The beauty of my village❤️☺🙏</v>
      </c>
      <c r="J178" s="6" t="str">
        <f>IFERROR(__xludf.DUMMYFUNCTION("GOOGLETRANSLATE(I178, ""en"", ""id"")"),"Indahnya desaku❤️☺🙏")</f>
        <v>Indahnya desaku❤️☺🙏</v>
      </c>
      <c r="K178" s="6" t="str">
        <f>IFERROR(__xludf.DUMMYFUNCTION("GOOGLETRANSLATE(F178, ""id"", ""en"")"),"The beauty of my village❤️☺🙏")</f>
        <v>The beauty of my village❤️☺🙏</v>
      </c>
      <c r="L178" s="6" t="s">
        <v>565</v>
      </c>
      <c r="M178" s="6" t="str">
        <f>IFERROR(__xludf.DUMMYFUNCTION("GOOGLETRANSLATE(L178, ""en"", ""de"")"),"Die Schönheit meines Dorfes❤️☺🙏")</f>
        <v>Die Schönheit meines Dorfes❤️☺🙏</v>
      </c>
      <c r="N178" s="6" t="s">
        <v>566</v>
      </c>
      <c r="O178" s="6" t="str">
        <f>IFERROR(__xludf.DUMMYFUNCTION("GOOGLETRANSLATE(N178, ""de"", ""id"")"),"Indahnya desaku❤️☺🙏")</f>
        <v>Indahnya desaku❤️☺🙏</v>
      </c>
    </row>
    <row r="179">
      <c r="A179" s="1" t="s">
        <v>17</v>
      </c>
      <c r="B179" s="1" t="s">
        <v>305</v>
      </c>
      <c r="C179" s="1" t="s">
        <v>567</v>
      </c>
      <c r="D179" s="4" t="s">
        <v>560</v>
      </c>
      <c r="E179" s="1" t="s">
        <v>191</v>
      </c>
      <c r="F179" s="6" t="str">
        <f>IFERROR(__xludf.DUMMYFUNCTION("IFERROR(ARRAYFORMULA(REGEXREPLACE(E179, ""("" &amp; TEXTJOIN(""|"", TRUE, FILTER(Q179:Q194, E:E&lt;&gt;"""")) &amp; "")"", 
                     INDEX(R179:R194, MATCH(REGEXEXTRACT(E179:E965, ""("" &amp; TEXTJOIN(""|"", TRUE, FILTER(Q179:Q194, Q179:Q194&lt;&gt;"""")) &amp; "")""), Q"&amp;"179:Q194, 0)))), E179)"),"😍😍😍")</f>
        <v>😍😍😍</v>
      </c>
      <c r="G179" s="6" t="str">
        <f>IFERROR(__xludf.DUMMYFUNCTION("GOOGLETRANSLATE(F179, ""id"", ""de"")
"),"😍😍😍")</f>
        <v>😍😍😍</v>
      </c>
      <c r="H179" s="6" t="str">
        <f>IFERROR(__xludf.DUMMYFUNCTION("GOOGLETRANSLATE(G179, ""de"", ""id"")"),"😍😍😍")</f>
        <v>😍😍😍</v>
      </c>
      <c r="I179" s="6" t="str">
        <f>IFERROR(__xludf.DUMMYFUNCTION("GOOGLETRANSLATE(G179, ""de"", ""en"")"),"😍😍😍")</f>
        <v>😍😍😍</v>
      </c>
      <c r="J179" s="6" t="str">
        <f>IFERROR(__xludf.DUMMYFUNCTION("GOOGLETRANSLATE(I179, ""en"", ""id"")"),"😍😍😍")</f>
        <v>😍😍😍</v>
      </c>
      <c r="K179" s="6" t="str">
        <f>IFERROR(__xludf.DUMMYFUNCTION("GOOGLETRANSLATE(F179, ""id"", ""en"")"),"😍😍😍")</f>
        <v>😍😍😍</v>
      </c>
      <c r="L179" s="6" t="s">
        <v>191</v>
      </c>
      <c r="M179" s="6" t="str">
        <f>IFERROR(__xludf.DUMMYFUNCTION("GOOGLETRANSLATE(L179, ""en"", ""de"")"),"😍😍😍")</f>
        <v>😍😍😍</v>
      </c>
      <c r="N179" s="6" t="s">
        <v>191</v>
      </c>
      <c r="O179" s="6" t="str">
        <f>IFERROR(__xludf.DUMMYFUNCTION("GOOGLETRANSLATE(N179, ""de"", ""id"")"),"😍😍😍")</f>
        <v>😍😍😍</v>
      </c>
    </row>
    <row r="180">
      <c r="A180" s="1" t="s">
        <v>17</v>
      </c>
      <c r="B180" s="1" t="s">
        <v>305</v>
      </c>
      <c r="C180" s="1" t="s">
        <v>568</v>
      </c>
      <c r="D180" s="4" t="s">
        <v>569</v>
      </c>
      <c r="E180" s="1" t="s">
        <v>570</v>
      </c>
      <c r="F180" s="6" t="str">
        <f>IFERROR(__xludf.DUMMYFUNCTION("IFERROR(ARRAYFORMULA(REGEXREPLACE(E180, ""("" &amp; TEXTJOIN(""|"", TRUE, FILTER(Q180:Q195, E:E&lt;&gt;"""")) &amp; "")"", 
                     INDEX(R180:R195, MATCH(REGEXEXTRACT(E180:E965, ""("" &amp; TEXTJOIN(""|"", TRUE, FILTER(Q180:Q195, Q180:Q195&lt;&gt;"""")) &amp; "")""), Q"&amp;"180:Q195, 0)))), E180)"),"Kades bgini cocoknya seumur hidup, selagi dy mampu memimpin bukan malah diganti dan dicari² kesalahnya❤️👍")</f>
        <v>Kades bgini cocoknya seumur hidup, selagi dy mampu memimpin bukan malah diganti dan dicari² kesalahnya❤️👍</v>
      </c>
      <c r="G180" s="6" t="str">
        <f>IFERROR(__xludf.DUMMYFUNCTION("GOOGLETRANSLATE(F180, ""id"", ""de"")
"),"So ein Dorfvorsteher ist lebenstauglich, solange er führen kann, wird er nicht ersetzt und seine Fehler werden gefunden❤️👍")</f>
        <v>So ein Dorfvorsteher ist lebenstauglich, solange er führen kann, wird er nicht ersetzt und seine Fehler werden gefunden❤️👍</v>
      </c>
      <c r="H180" s="6" t="str">
        <f>IFERROR(__xludf.DUMMYFUNCTION("GOOGLETRANSLATE(G180, ""de"", ""id"")"),"Kepala desa yang seperti itu layak hidup, selama dia bisa memimpin, dia tidak akan tergantikan dan kesalahannya akan ditemukan❤️👍")</f>
        <v>Kepala desa yang seperti itu layak hidup, selama dia bisa memimpin, dia tidak akan tergantikan dan kesalahannya akan ditemukan❤️👍</v>
      </c>
      <c r="I180" s="6" t="str">
        <f>IFERROR(__xludf.DUMMYFUNCTION("GOOGLETRANSLATE(G180, ""de"", ""en"")"),"Such a village leader is fit for life, as long as he can lead, he will not be replaced and his mistakes will be found❤️👍")</f>
        <v>Such a village leader is fit for life, as long as he can lead, he will not be replaced and his mistakes will be found❤️👍</v>
      </c>
      <c r="J180" s="6" t="str">
        <f>IFERROR(__xludf.DUMMYFUNCTION("GOOGLETRANSLATE(I180, ""en"", ""id"")"),"Kepala desa yang seperti itu layak hidup, selama dia bisa memimpin, dia tidak akan tergantikan dan kesalahannya akan ditemukan❤️👍")</f>
        <v>Kepala desa yang seperti itu layak hidup, selama dia bisa memimpin, dia tidak akan tergantikan dan kesalahannya akan ditemukan❤️👍</v>
      </c>
      <c r="K180" s="6" t="str">
        <f>IFERROR(__xludf.DUMMYFUNCTION("GOOGLETRANSLATE(F180, ""id"", ""en"")"),"A village head like this is suitable for life, as long as he is able to lead, he won't be replaced and his faults will be found❤️👍")</f>
        <v>A village head like this is suitable for life, as long as he is able to lead, he won't be replaced and his faults will be found❤️👍</v>
      </c>
      <c r="L180" s="6" t="s">
        <v>571</v>
      </c>
      <c r="M180" s="6" t="str">
        <f>IFERROR(__xludf.DUMMYFUNCTION("GOOGLETRANSLATE(L180, ""en"", ""de"")"),"So ein Dorfvorsteher ist lebenstauglich, solange er führen kann, wird er nicht ersetzt und seine Fehler werden gefunden❤️👍")</f>
        <v>So ein Dorfvorsteher ist lebenstauglich, solange er führen kann, wird er nicht ersetzt und seine Fehler werden gefunden❤️👍</v>
      </c>
      <c r="N180" s="6" t="s">
        <v>572</v>
      </c>
      <c r="O180" s="6" t="str">
        <f>IFERROR(__xludf.DUMMYFUNCTION("GOOGLETRANSLATE(N180, ""de"", ""id"")"),"Kepala desa yang seperti itu layak hidup, selama dia bisa memimpin, dia tidak akan tergantikan dan kesalahannya akan ditemukan❤️👍")</f>
        <v>Kepala desa yang seperti itu layak hidup, selama dia bisa memimpin, dia tidak akan tergantikan dan kesalahannya akan ditemukan❤️👍</v>
      </c>
    </row>
    <row r="181">
      <c r="A181" s="1" t="s">
        <v>17</v>
      </c>
      <c r="B181" s="1" t="s">
        <v>305</v>
      </c>
      <c r="C181" s="1" t="s">
        <v>573</v>
      </c>
      <c r="D181" s="4" t="s">
        <v>569</v>
      </c>
      <c r="E181" s="1" t="s">
        <v>574</v>
      </c>
      <c r="F181" s="6" t="str">
        <f>IFERROR(__xludf.DUMMYFUNCTION("IFERROR(ARRAYFORMULA(REGEXREPLACE(E181, ""("" &amp; TEXTJOIN(""|"", TRUE, FILTER(Q181:Q196, E:E&lt;&gt;"""")) &amp; "")"", 
                     INDEX(R181:R196, MATCH(REGEXEXTRACT(E181:E965, ""("" &amp; TEXTJOIN(""|"", TRUE, FILTER(Q181:Q196, Q181:Q196&lt;&gt;"""")) &amp; "")""), Q"&amp;"181:Q196, 0)))), E181)"),"@sandhy_primadana12 betul, terkadang yg mencari kesalahan itu adalah lawan politiknya.")</f>
        <v>@sandhy_primadana12 betul, terkadang yg mencari kesalahan itu adalah lawan politiknya.</v>
      </c>
      <c r="G181" s="6" t="str">
        <f>IFERROR(__xludf.DUMMYFUNCTION("GOOGLETRANSLATE(F181, ""id"", ""de"")
"),"@sandhy_primadana12 hat recht, manchmal sind diejenigen, die etwas auszusetzen haben, ihre politischen Gegner.")</f>
        <v>@sandhy_primadana12 hat recht, manchmal sind diejenigen, die etwas auszusetzen haben, ihre politischen Gegner.</v>
      </c>
      <c r="H181" s="6" t="str">
        <f>IFERROR(__xludf.DUMMYFUNCTION("GOOGLETRANSLATE(G181, ""de"", ""id"")"),"@sandhy_primadana12 betul, kadang yang mencari-cari kesalahan adalah lawan politiknya.")</f>
        <v>@sandhy_primadana12 betul, kadang yang mencari-cari kesalahan adalah lawan politiknya.</v>
      </c>
      <c r="I181" s="6" t="str">
        <f>IFERROR(__xludf.DUMMYFUNCTION("GOOGLETRANSLATE(G181, ""de"", ""en"")"),"@sandhy_primadana12 is right, sometimes those who find fault are their political opponents.")</f>
        <v>@sandhy_primadana12 is right, sometimes those who find fault are their political opponents.</v>
      </c>
      <c r="J181" s="6" t="str">
        <f>IFERROR(__xludf.DUMMYFUNCTION("GOOGLETRANSLATE(I181, ""en"", ""id"")"),"@sandhy_primadana12 betul, kadang yang mencari-cari kesalahan adalah lawan politiknya.")</f>
        <v>@sandhy_primadana12 betul, kadang yang mencari-cari kesalahan adalah lawan politiknya.</v>
      </c>
      <c r="K181" s="6" t="str">
        <f>IFERROR(__xludf.DUMMYFUNCTION("GOOGLETRANSLATE(F181, ""id"", ""en"")"),"@sandhy_primadana12 is right, sometimes those who find fault are their political opponents.")</f>
        <v>@sandhy_primadana12 is right, sometimes those who find fault are their political opponents.</v>
      </c>
      <c r="L181" s="6" t="s">
        <v>575</v>
      </c>
      <c r="M181" s="6" t="str">
        <f>IFERROR(__xludf.DUMMYFUNCTION("GOOGLETRANSLATE(L181, ""en"", ""de"")"),"@sandhy_primadana12 hat recht, manchmal sind diejenigen, die etwas auszusetzen haben, politische Gegner.")</f>
        <v>@sandhy_primadana12 hat recht, manchmal sind diejenigen, die etwas auszusetzen haben, politische Gegner.</v>
      </c>
      <c r="N181" s="6" t="s">
        <v>576</v>
      </c>
      <c r="O181" s="6" t="str">
        <f>IFERROR(__xludf.DUMMYFUNCTION("GOOGLETRANSLATE(N181, ""de"", ""id"")"),"@sandhy_primadana12 betul, kadang yang mencari-cari kesalahan adalah lawan politik.")</f>
        <v>@sandhy_primadana12 betul, kadang yang mencari-cari kesalahan adalah lawan politik.</v>
      </c>
    </row>
    <row r="182">
      <c r="A182" s="1" t="s">
        <v>17</v>
      </c>
      <c r="B182" s="1" t="s">
        <v>305</v>
      </c>
      <c r="C182" s="1" t="s">
        <v>568</v>
      </c>
      <c r="D182" s="4" t="s">
        <v>569</v>
      </c>
      <c r="E182" s="1" t="s">
        <v>577</v>
      </c>
      <c r="F182" s="6" t="str">
        <f>IFERROR(__xludf.DUMMYFUNCTION("IFERROR(ARRAYFORMULA(REGEXREPLACE(E182, ""("" &amp; TEXTJOIN(""|"", TRUE, FILTER(Q182:Q197, E:E&lt;&gt;"""")) &amp; "")"", 
                     INDEX(R182:R197, MATCH(REGEXEXTRACT(E182:E965, ""("" &amp; TEXTJOIN(""|"", TRUE, FILTER(Q182:Q197, Q182:Q197&lt;&gt;"""")) &amp; "")""), Q"&amp;"182:Q197, 0)))), E182)"),"@putra_banggai070783 yaa, tp sebagai msyarakat sbenarnya harus cerdas memilih pemimpin yg mana yg mampu memimpin dan mampu mensejahterakan rakyat.")</f>
        <v>@putra_banggai070783 yaa, tp sebagai msyarakat sbenarnya harus cerdas memilih pemimpin yg mana yg mampu memimpin dan mampu mensejahterakan rakyat.</v>
      </c>
      <c r="G182" s="6" t="str">
        <f>IFERROR(__xludf.DUMMYFUNCTION("GOOGLETRANSLATE(F182, ""id"", ""de"")
"),"@putra_banggai070783 Ja, aber als Gesellschaft müssen wir tatsächlich klug auswählen, welche Führungskräfte in der Lage sind, das Wohlergehen der Menschen zu führen und zu verbessern.")</f>
        <v>@putra_banggai070783 Ja, aber als Gesellschaft müssen wir tatsächlich klug auswählen, welche Führungskräfte in der Lage sind, das Wohlergehen der Menschen zu führen und zu verbessern.</v>
      </c>
      <c r="H182" s="6" t="str">
        <f>IFERROR(__xludf.DUMMYFUNCTION("GOOGLETRANSLATE(G182, ""de"", ""id"")"),"@putra_banggai070783 Ya, tapi sebagai masyarakat sebenarnya kita perlu bijak dalam memilih pemimpin mana yang mampu memimpin dan meningkatkan kesejahteraan masyarakat.")</f>
        <v>@putra_banggai070783 Ya, tapi sebagai masyarakat sebenarnya kita perlu bijak dalam memilih pemimpin mana yang mampu memimpin dan meningkatkan kesejahteraan masyarakat.</v>
      </c>
      <c r="I182" s="6" t="str">
        <f>IFERROR(__xludf.DUMMYFUNCTION("GOOGLETRANSLATE(G182, ""de"", ""en"")"),"@putra_banggai070783 Yes, but as a society we actually need to choose wisely which leaders are capable of leading and improving people's well-being.")</f>
        <v>@putra_banggai070783 Yes, but as a society we actually need to choose wisely which leaders are capable of leading and improving people's well-being.</v>
      </c>
      <c r="J182" s="6" t="str">
        <f>IFERROR(__xludf.DUMMYFUNCTION("GOOGLETRANSLATE(I182, ""en"", ""id"")"),"@putra_banggai070783 Ya, tapi sebagai masyarakat sebenarnya kita perlu bijak dalam memilih pemimpin mana yang mampu memimpin dan meningkatkan kesejahteraan masyarakat.")</f>
        <v>@putra_banggai070783 Ya, tapi sebagai masyarakat sebenarnya kita perlu bijak dalam memilih pemimpin mana yang mampu memimpin dan meningkatkan kesejahteraan masyarakat.</v>
      </c>
      <c r="K182" s="6" t="str">
        <f>IFERROR(__xludf.DUMMYFUNCTION("GOOGLETRANSLATE(F182, ""id"", ""en"")"),"@putra_banggai070783 Yes, but as a society we actually have to be smart in choosing which leaders are capable of leading and able to improve the welfare of the people.")</f>
        <v>@putra_banggai070783 Yes, but as a society we actually have to be smart in choosing which leaders are capable of leading and able to improve the welfare of the people.</v>
      </c>
      <c r="L182" s="6" t="s">
        <v>578</v>
      </c>
      <c r="M182" s="6" t="str">
        <f>IFERROR(__xludf.DUMMYFUNCTION("GOOGLETRANSLATE(L182, ""en"", ""de"")"),"@putra_banggai070783 Ja, aber als Gesellschaft müssen wir tatsächlich klug auswählen, welche Führungskräfte in der Lage sind, das Wohlergehen der Menschen zu führen und zu verbessern.")</f>
        <v>@putra_banggai070783 Ja, aber als Gesellschaft müssen wir tatsächlich klug auswählen, welche Führungskräfte in der Lage sind, das Wohlergehen der Menschen zu führen und zu verbessern.</v>
      </c>
      <c r="N182" s="6" t="s">
        <v>579</v>
      </c>
      <c r="O182" s="6" t="str">
        <f>IFERROR(__xludf.DUMMYFUNCTION("GOOGLETRANSLATE(N182, ""de"", ""id"")"),"@putra_banggai070783 Ya, tapi sebagai masyarakat sebenarnya kita perlu bijak dalam memilih pemimpin mana yang mampu memimpin dan meningkatkan kesejahteraan masyarakat.")</f>
        <v>@putra_banggai070783 Ya, tapi sebagai masyarakat sebenarnya kita perlu bijak dalam memilih pemimpin mana yang mampu memimpin dan meningkatkan kesejahteraan masyarakat.</v>
      </c>
    </row>
    <row r="183">
      <c r="A183" s="1" t="s">
        <v>17</v>
      </c>
      <c r="B183" s="1" t="s">
        <v>305</v>
      </c>
      <c r="C183" s="1" t="s">
        <v>580</v>
      </c>
      <c r="D183" s="4" t="s">
        <v>569</v>
      </c>
      <c r="E183" s="1" t="s">
        <v>581</v>
      </c>
      <c r="F183" s="6" t="str">
        <f>IFERROR(__xludf.DUMMYFUNCTION("IFERROR(ARRAYFORMULA(REGEXREPLACE(E183, ""("" &amp; TEXTJOIN(""|"", TRUE, FILTER(Q183:Q198, E:E&lt;&gt;"""")) &amp; "")"", 
                     INDEX(R183:R198, MATCH(REGEXEXTRACT(E183:E965, ""("" &amp; TEXTJOIN(""|"", TRUE, FILTER(Q183:Q198, Q183:Q198&lt;&gt;"""")) &amp; "")""), Q"&amp;"183:Q198, 0)))), E183)"),"Cocok jadi presiden. Dana BUMN nnt bisa untuk rakyat Indonesia 😂")</f>
        <v>Cocok jadi presiden. Dana BUMN nnt bisa untuk rakyat Indonesia 😂</v>
      </c>
      <c r="G183" s="6" t="str">
        <f>IFERROR(__xludf.DUMMYFUNCTION("GOOGLETRANSLATE(F183, ""id"", ""de"")
"),"Geeignet, Präsident zu sein. BUMN-Mittel werden für das indonesische Volk verfügbar sein 😂")</f>
        <v>Geeignet, Präsident zu sein. BUMN-Mittel werden für das indonesische Volk verfügbar sein 😂</v>
      </c>
      <c r="H183" s="6" t="str">
        <f>IFERROR(__xludf.DUMMYFUNCTION("GOOGLETRANSLATE(G183, ""de"", ""id"")"),"Cocok menjadi presiden. Dana BUMN akan tersedia untuk masyarakat Indonesia 😂")</f>
        <v>Cocok menjadi presiden. Dana BUMN akan tersedia untuk masyarakat Indonesia 😂</v>
      </c>
      <c r="I183" s="6" t="str">
        <f>IFERROR(__xludf.DUMMYFUNCTION("GOOGLETRANSLATE(G183, ""de"", ""en"")"),"Fit to be president. BUMN funds will be available to the Indonesian people 😂")</f>
        <v>Fit to be president. BUMN funds will be available to the Indonesian people 😂</v>
      </c>
      <c r="J183" s="6" t="str">
        <f>IFERROR(__xludf.DUMMYFUNCTION("GOOGLETRANSLATE(I183, ""en"", ""id"")"),"Cocok menjadi presiden. Dana BUMN akan tersedia untuk masyarakat Indonesia 😂")</f>
        <v>Cocok menjadi presiden. Dana BUMN akan tersedia untuk masyarakat Indonesia 😂</v>
      </c>
      <c r="K183" s="6" t="str">
        <f>IFERROR(__xludf.DUMMYFUNCTION("GOOGLETRANSLATE(F183, ""id"", ""en"")"),"Suitable to be president. BUMN funds will be available for the Indonesian people 😂")</f>
        <v>Suitable to be president. BUMN funds will be available for the Indonesian people 😂</v>
      </c>
      <c r="L183" s="6" t="s">
        <v>582</v>
      </c>
      <c r="M183" s="6" t="str">
        <f>IFERROR(__xludf.DUMMYFUNCTION("GOOGLETRANSLATE(L183, ""en"", ""de"")"),"Geeignet, Präsident zu sein. BUMN-Mittel werden für das indonesische Volk verfügbar sein 😂")</f>
        <v>Geeignet, Präsident zu sein. BUMN-Mittel werden für das indonesische Volk verfügbar sein 😂</v>
      </c>
      <c r="N183" s="6" t="s">
        <v>583</v>
      </c>
      <c r="O183" s="6" t="str">
        <f>IFERROR(__xludf.DUMMYFUNCTION("GOOGLETRANSLATE(N183, ""de"", ""id"")"),"Cocok menjadi presiden. Dana BUMN tersedia untuk masyarakat Indonesia 😂")</f>
        <v>Cocok menjadi presiden. Dana BUMN tersedia untuk masyarakat Indonesia 😂</v>
      </c>
    </row>
    <row r="184">
      <c r="A184" s="1" t="s">
        <v>17</v>
      </c>
      <c r="B184" s="1" t="s">
        <v>305</v>
      </c>
      <c r="C184" s="1" t="s">
        <v>584</v>
      </c>
      <c r="D184" s="4" t="s">
        <v>569</v>
      </c>
      <c r="E184" s="1" t="s">
        <v>585</v>
      </c>
      <c r="F184" s="6" t="str">
        <f>IFERROR(__xludf.DUMMYFUNCTION("IFERROR(ARRAYFORMULA(REGEXREPLACE(E184, ""("" &amp; TEXTJOIN(""|"", TRUE, FILTER(Q184:Q199, E:E&lt;&gt;"""")) &amp; "")"", 
                     INDEX(R184:R199, MATCH(REGEXEXTRACT(E184:E965, ""("" &amp; TEXTJOIN(""|"", TRUE, FILTER(Q184:Q199, Q184:Q199&lt;&gt;"""")) &amp; "")""), Q"&amp;"184:Q199, 0)))), E184)"),"Keren BUMDES nya 👏👏")</f>
        <v>Keren BUMDES nya 👏👏</v>
      </c>
      <c r="G184" s="6" t="str">
        <f>IFERROR(__xludf.DUMMYFUNCTION("GOOGLETRANSLATE(F184, ""id"", ""de"")
"),"BUMDES ist cool 👏👏")</f>
        <v>BUMDES ist cool 👏👏</v>
      </c>
      <c r="H184" s="6" t="str">
        <f>IFERROR(__xludf.DUMMYFUNCTION("GOOGLETRANSLATE(G184, ""de"", ""id"")"),"BUMDESnya keren 👏👏")</f>
        <v>BUMDESnya keren 👏👏</v>
      </c>
      <c r="I184" s="6" t="str">
        <f>IFERROR(__xludf.DUMMYFUNCTION("GOOGLETRANSLATE(G184, ""de"", ""en"")"),"BUMDES is cool 👏👏")</f>
        <v>BUMDES is cool 👏👏</v>
      </c>
      <c r="J184" s="6" t="str">
        <f>IFERROR(__xludf.DUMMYFUNCTION("GOOGLETRANSLATE(I184, ""en"", ""id"")"),"BUMDESnya keren 👏👏")</f>
        <v>BUMDESnya keren 👏👏</v>
      </c>
      <c r="K184" s="6" t="str">
        <f>IFERROR(__xludf.DUMMYFUNCTION("GOOGLETRANSLATE(F184, ""id"", ""en"")"),"BUMDES is cool 👏👏")</f>
        <v>BUMDES is cool 👏👏</v>
      </c>
      <c r="L184" s="6" t="s">
        <v>586</v>
      </c>
      <c r="M184" s="6" t="str">
        <f>IFERROR(__xludf.DUMMYFUNCTION("GOOGLETRANSLATE(L184, ""en"", ""de"")"),"BUMDES ist cool 👏👏")</f>
        <v>BUMDES ist cool 👏👏</v>
      </c>
      <c r="N184" s="6" t="s">
        <v>587</v>
      </c>
      <c r="O184" s="6" t="str">
        <f>IFERROR(__xludf.DUMMYFUNCTION("GOOGLETRANSLATE(N184, ""de"", ""id"")"),"BUMDESnya keren 👏👏")</f>
        <v>BUMDESnya keren 👏👏</v>
      </c>
    </row>
    <row r="185">
      <c r="A185" s="1" t="s">
        <v>17</v>
      </c>
      <c r="B185" s="1" t="s">
        <v>305</v>
      </c>
      <c r="C185" s="1" t="s">
        <v>588</v>
      </c>
      <c r="D185" s="4" t="s">
        <v>569</v>
      </c>
      <c r="E185" s="1" t="s">
        <v>589</v>
      </c>
      <c r="F185" s="6" t="str">
        <f>IFERROR(__xludf.DUMMYFUNCTION("IFERROR(ARRAYFORMULA(REGEXREPLACE(E185, ""("" &amp; TEXTJOIN(""|"", TRUE, FILTER(Q185:Q200, E:E&lt;&gt;"""")) &amp; "")"", 
                     INDEX(R185:R200, MATCH(REGEXEXTRACT(E185:E965, ""("" &amp; TEXTJOIN(""|"", TRUE, FILTER(Q185:Q200, Q185:Q200&lt;&gt;"""")) &amp; "")""), Q"&amp;"185:Q200, 0)))), E185)"),"Naini baru!! menyala pak kades 😅❤️‍🔥")</f>
        <v>Naini baru!! menyala pak kades 😅❤️‍🔥</v>
      </c>
      <c r="G185" s="6" t="str">
        <f>IFERROR(__xludf.DUMMYFUNCTION("GOOGLETRANSLATE(F185, ""id"", ""de"")
"),"Neue Naini!! angezündet, Dorfvorsteher 😅❤️‍🔥")</f>
        <v>Neue Naini!! angezündet, Dorfvorsteher 😅❤️‍🔥</v>
      </c>
      <c r="H185" s="6" t="str">
        <f>IFERROR(__xludf.DUMMYFUNCTION("GOOGLETRANSLATE(G185, ""de"", ""id"")"),"Naini baru!! menyala, kepala desa 😅❤️‍🔥")</f>
        <v>Naini baru!! menyala, kepala desa 😅❤️‍🔥</v>
      </c>
      <c r="I185" s="6" t="str">
        <f>IFERROR(__xludf.DUMMYFUNCTION("GOOGLETRANSLATE(G185, ""de"", ""en"")"),"New Naini!! lit, village chief 😅❤️‍🔥")</f>
        <v>New Naini!! lit, village chief 😅❤️‍🔥</v>
      </c>
      <c r="J185" s="6" t="str">
        <f>IFERROR(__xludf.DUMMYFUNCTION("GOOGLETRANSLATE(I185, ""en"", ""id"")"),"Naini baru!! menyala, kepala desa 😅❤️‍🔥")</f>
        <v>Naini baru!! menyala, kepala desa 😅❤️‍🔥</v>
      </c>
      <c r="K185" s="6" t="str">
        <f>IFERROR(__xludf.DUMMYFUNCTION("GOOGLETRANSLATE(F185, ""id"", ""en"")"),"New Naini!! lit up, village head 😅❤️‍🔥")</f>
        <v>New Naini!! lit up, village head 😅❤️‍🔥</v>
      </c>
      <c r="L185" s="6" t="s">
        <v>590</v>
      </c>
      <c r="M185" s="6" t="str">
        <f>IFERROR(__xludf.DUMMYFUNCTION("GOOGLETRANSLATE(L185, ""en"", ""de"")"),"Neue Naini!! angezündet, Dorfvorsteher 😅❤️‍🔥")</f>
        <v>Neue Naini!! angezündet, Dorfvorsteher 😅❤️‍🔥</v>
      </c>
      <c r="N185" s="6" t="s">
        <v>591</v>
      </c>
      <c r="O185" s="6" t="str">
        <f>IFERROR(__xludf.DUMMYFUNCTION("GOOGLETRANSLATE(N185, ""de"", ""id"")"),"Naini baru!! menyala, kepala desa 😅❤️‍🔥")</f>
        <v>Naini baru!! menyala, kepala desa 😅❤️‍🔥</v>
      </c>
    </row>
    <row r="186">
      <c r="A186" s="1" t="s">
        <v>17</v>
      </c>
      <c r="B186" s="1" t="s">
        <v>305</v>
      </c>
      <c r="C186" s="1" t="s">
        <v>592</v>
      </c>
      <c r="D186" s="4" t="s">
        <v>569</v>
      </c>
      <c r="E186" s="1" t="s">
        <v>593</v>
      </c>
      <c r="F186" s="6" t="str">
        <f>IFERROR(__xludf.DUMMYFUNCTION("IFERROR(ARRAYFORMULA(REGEXREPLACE(E186, ""("" &amp; TEXTJOIN(""|"", TRUE, FILTER(Q186:Q201, E:E&lt;&gt;"""")) &amp; "")"", 
                     INDEX(R186:R201, MATCH(REGEXEXTRACT(E186:E965, ""("" &amp; TEXTJOIN(""|"", TRUE, FILTER(Q186:Q201, Q186:Q201&lt;&gt;"""")) &amp; "")""), Q"&amp;"186:Q201, 0)))), E186)"),"Menyala pak kadess🔥")</f>
        <v>Menyala pak kadess🔥</v>
      </c>
      <c r="G186" s="6" t="str">
        <f>IFERROR(__xludf.DUMMYFUNCTION("GOOGLETRANSLATE(F186, ""id"", ""de"")
"),"Es geht los, Herr Kadess🔥")</f>
        <v>Es geht los, Herr Kadess🔥</v>
      </c>
      <c r="H186" s="6" t="str">
        <f>IFERROR(__xludf.DUMMYFUNCTION("GOOGLETRANSLATE(G186, ""de"", ""id"")"),"Ini dia Pak Kadess🔥")</f>
        <v>Ini dia Pak Kadess🔥</v>
      </c>
      <c r="I186" s="6" t="str">
        <f>IFERROR(__xludf.DUMMYFUNCTION("GOOGLETRANSLATE(G186, ""de"", ""en"")"),"Here we go, Mr. Kadess🔥")</f>
        <v>Here we go, Mr. Kadess🔥</v>
      </c>
      <c r="J186" s="6" t="str">
        <f>IFERROR(__xludf.DUMMYFUNCTION("GOOGLETRANSLATE(I186, ""en"", ""id"")"),"Ini dia Pak Kadess🔥")</f>
        <v>Ini dia Pak Kadess🔥</v>
      </c>
      <c r="K186" s="6" t="str">
        <f>IFERROR(__xludf.DUMMYFUNCTION("GOOGLETRANSLATE(F186, ""id"", ""en"")"),"It's on, Mr. Kadess🔥")</f>
        <v>It's on, Mr. Kadess🔥</v>
      </c>
      <c r="L186" s="6" t="s">
        <v>594</v>
      </c>
      <c r="M186" s="6" t="str">
        <f>IFERROR(__xludf.DUMMYFUNCTION("GOOGLETRANSLATE(L186, ""en"", ""de"")"),"Es geht los, Herr Kadess🔥")</f>
        <v>Es geht los, Herr Kadess🔥</v>
      </c>
      <c r="N186" s="6" t="s">
        <v>595</v>
      </c>
      <c r="O186" s="6" t="str">
        <f>IFERROR(__xludf.DUMMYFUNCTION("GOOGLETRANSLATE(N186, ""de"", ""id"")"),"Ini dia Pak Kadess🔥")</f>
        <v>Ini dia Pak Kadess🔥</v>
      </c>
    </row>
    <row r="187">
      <c r="A187" s="1" t="s">
        <v>17</v>
      </c>
      <c r="B187" s="1" t="s">
        <v>305</v>
      </c>
      <c r="C187" s="1" t="s">
        <v>596</v>
      </c>
      <c r="D187" s="4" t="s">
        <v>569</v>
      </c>
      <c r="E187" s="1" t="s">
        <v>597</v>
      </c>
      <c r="F187" s="6" t="str">
        <f>IFERROR(__xludf.DUMMYFUNCTION("IFERROR(ARRAYFORMULA(REGEXREPLACE(E187, ""("" &amp; TEXTJOIN(""|"", TRUE, FILTER(Q187:Q202, E:E&lt;&gt;"""")) &amp; "")"", 
                     INDEX(R187:R202, MATCH(REGEXEXTRACT(E187:E965, ""("" &amp; TEXTJOIN(""|"", TRUE, FILTER(Q187:Q202, Q187:Q202&lt;&gt;"""")) &amp; "")""), Q"&amp;"187:Q202, 0)))), E187)"),"kalau kades di kampung mantanku daerah dolo barat sebelum desa pegunungan, Arah mau ke Kaleke. beh, Dana Desa cuma dia kasih keluarganya semua")</f>
        <v>kalau kades di kampung mantanku daerah dolo barat sebelum desa pegunungan, Arah mau ke Kaleke. beh, Dana Desa cuma dia kasih keluarganya semua</v>
      </c>
      <c r="G187" s="6" t="str">
        <f>IFERROR(__xludf.DUMMYFUNCTION("GOOGLETRANSLATE(F187, ""id"", ""de"")
"),"Wenn der Dorfvorsteher in meinem ehemaligen Dorf West Dolo vor dem Bergdorf liegt, möchte Arah nach Kaleke. Nein, er hat seiner Familie nur das gesamte Dorfgeld gegeben")</f>
        <v>Wenn der Dorfvorsteher in meinem ehemaligen Dorf West Dolo vor dem Bergdorf liegt, möchte Arah nach Kaleke. Nein, er hat seiner Familie nur das gesamte Dorfgeld gegeben</v>
      </c>
      <c r="H187" s="6" t="str">
        <f>IFERROR(__xludf.DUMMYFUNCTION("GOOGLETRANSLATE(G187, ""de"", ""id"")"),"Kalau kepala desa di bekas desa saya Dolo Barat berada di depan desa pegunungan, Arah ingin pergi ke Kaleke. Tidak, dia hanya memberikan seluruh uang desa kepada keluarganya")</f>
        <v>Kalau kepala desa di bekas desa saya Dolo Barat berada di depan desa pegunungan, Arah ingin pergi ke Kaleke. Tidak, dia hanya memberikan seluruh uang desa kepada keluarganya</v>
      </c>
      <c r="I187" s="6" t="str">
        <f>IFERROR(__xludf.DUMMYFUNCTION("GOOGLETRANSLATE(G187, ""de"", ""en"")"),"If the village chief in my former village of West Dolo is in front of the mountain village, Arah wants to go to Kaleke. No, he just gave his family all the village money")</f>
        <v>If the village chief in my former village of West Dolo is in front of the mountain village, Arah wants to go to Kaleke. No, he just gave his family all the village money</v>
      </c>
      <c r="J187" s="6" t="str">
        <f>IFERROR(__xludf.DUMMYFUNCTION("GOOGLETRANSLATE(I187, ""en"", ""id"")"),"Kalau kepala desa di bekas desa saya Dolo Barat berada di depan desa pegunungan, Arah ingin pergi ke Kaleke. Tidak, dia hanya memberikan seluruh uang desa kepada keluarganya")</f>
        <v>Kalau kepala desa di bekas desa saya Dolo Barat berada di depan desa pegunungan, Arah ingin pergi ke Kaleke. Tidak, dia hanya memberikan seluruh uang desa kepada keluarganya</v>
      </c>
      <c r="K187" s="6" t="str">
        <f>IFERROR(__xludf.DUMMYFUNCTION("GOOGLETRANSLATE(F187, ""id"", ""en"")"),"If the village head in my former village, West Dolo, is before the mountain village, Arah wants to go to Kaleke. Beh, he only gave his family all the Village Funds")</f>
        <v>If the village head in my former village, West Dolo, is before the mountain village, Arah wants to go to Kaleke. Beh, he only gave his family all the Village Funds</v>
      </c>
      <c r="L187" s="6" t="s">
        <v>598</v>
      </c>
      <c r="M187" s="6" t="str">
        <f>IFERROR(__xludf.DUMMYFUNCTION("GOOGLETRANSLATE(L187, ""en"", ""de"")"),"Wenn der Dorfvorsteher in meinem ehemaligen Dorf West Dolo vor dem Bergdorf liegt, möchte Arah nach Kaleke. Nein, er hat seiner Familie nur das gesamte Dorfgeld gegeben")</f>
        <v>Wenn der Dorfvorsteher in meinem ehemaligen Dorf West Dolo vor dem Bergdorf liegt, möchte Arah nach Kaleke. Nein, er hat seiner Familie nur das gesamte Dorfgeld gegeben</v>
      </c>
      <c r="N187" s="6" t="s">
        <v>599</v>
      </c>
      <c r="O187" s="6" t="str">
        <f>IFERROR(__xludf.DUMMYFUNCTION("GOOGLETRANSLATE(N187, ""de"", ""id"")"),"Kalau kepala desa di bekas desa saya Dolo Barat berada di depan desa pegunungan, Arah ingin pergi ke Kaleke. Tidak, dia hanya memberikan seluruh uang desa kepada keluarganya")</f>
        <v>Kalau kepala desa di bekas desa saya Dolo Barat berada di depan desa pegunungan, Arah ingin pergi ke Kaleke. Tidak, dia hanya memberikan seluruh uang desa kepada keluarganya</v>
      </c>
    </row>
    <row r="188">
      <c r="A188" s="1" t="s">
        <v>17</v>
      </c>
      <c r="B188" s="1" t="s">
        <v>305</v>
      </c>
      <c r="C188" s="1" t="s">
        <v>600</v>
      </c>
      <c r="D188" s="4" t="s">
        <v>569</v>
      </c>
      <c r="E188" s="1" t="s">
        <v>601</v>
      </c>
      <c r="F188" s="6" t="str">
        <f>IFERROR(__xludf.DUMMYFUNCTION("IFERROR(ARRAYFORMULA(REGEXREPLACE(E188, ""("" &amp; TEXTJOIN(""|"", TRUE, FILTER(Q188:Q203, E:E&lt;&gt;"""")) &amp; "")"", 
                     INDEX(R188:R203, MATCH(REGEXEXTRACT(E188:E965, ""("" &amp; TEXTJOIN(""|"", TRUE, FILTER(Q188:Q203, Q188:Q203&lt;&gt;"""")) &amp; "")""), Q"&amp;"188:Q203, 0)))), E188)"),"🔥🙌👏👏👏")</f>
        <v>🔥🙌👏👏👏</v>
      </c>
      <c r="G188" s="6" t="str">
        <f>IFERROR(__xludf.DUMMYFUNCTION("GOOGLETRANSLATE(F188, ""id"", ""de"")
"),"🔥🙌👏👏👏")</f>
        <v>🔥🙌👏👏👏</v>
      </c>
      <c r="H188" s="6" t="str">
        <f>IFERROR(__xludf.DUMMYFUNCTION("GOOGLETRANSLATE(G188, ""de"", ""id"")"),"🔥🙌👏👏👏")</f>
        <v>🔥🙌👏👏👏</v>
      </c>
      <c r="I188" s="6" t="str">
        <f>IFERROR(__xludf.DUMMYFUNCTION("GOOGLETRANSLATE(G188, ""de"", ""en"")"),"🔥🙌👏👏👏")</f>
        <v>🔥🙌👏👏👏</v>
      </c>
      <c r="J188" s="6" t="str">
        <f>IFERROR(__xludf.DUMMYFUNCTION("GOOGLETRANSLATE(I188, ""en"", ""id"")"),"🔥🙌👏👏👏")</f>
        <v>🔥🙌👏👏👏</v>
      </c>
      <c r="K188" s="6" t="str">
        <f>IFERROR(__xludf.DUMMYFUNCTION("GOOGLETRANSLATE(F188, ""id"", ""en"")"),"🔥🙌👏👏👏")</f>
        <v>🔥🙌👏👏👏</v>
      </c>
      <c r="L188" s="6" t="s">
        <v>601</v>
      </c>
      <c r="M188" s="6" t="str">
        <f>IFERROR(__xludf.DUMMYFUNCTION("GOOGLETRANSLATE(L188, ""en"", ""de"")"),"🔥🙌👏👏👏")</f>
        <v>🔥🙌👏👏👏</v>
      </c>
      <c r="N188" s="6" t="s">
        <v>601</v>
      </c>
      <c r="O188" s="6" t="str">
        <f>IFERROR(__xludf.DUMMYFUNCTION("GOOGLETRANSLATE(N188, ""de"", ""id"")"),"🔥🙌👏👏👏")</f>
        <v>🔥🙌👏👏👏</v>
      </c>
    </row>
    <row r="189">
      <c r="A189" s="1" t="s">
        <v>17</v>
      </c>
      <c r="B189" s="1" t="s">
        <v>305</v>
      </c>
      <c r="C189" s="1" t="s">
        <v>602</v>
      </c>
      <c r="D189" s="4" t="s">
        <v>569</v>
      </c>
      <c r="E189" s="1" t="s">
        <v>603</v>
      </c>
      <c r="F189" s="6" t="str">
        <f>IFERROR(__xludf.DUMMYFUNCTION("IFERROR(ARRAYFORMULA(REGEXREPLACE(E189, ""("" &amp; TEXTJOIN(""|"", TRUE, FILTER(Q189:Q204, E:E&lt;&gt;"""")) &amp; "")"", 
                     INDEX(R189:R204, MATCH(REGEXEXTRACT(E189:E965, ""("" &amp; TEXTJOIN(""|"", TRUE, FILTER(Q189:Q204, Q189:Q204&lt;&gt;"""")) &amp; "")""), Q"&amp;"189:Q204, 0)))), E189)"),"Andai semua bisa spt ini.... 😢")</f>
        <v>Andai semua bisa spt ini.... 😢</v>
      </c>
      <c r="G189" s="6" t="str">
        <f>IFERROR(__xludf.DUMMYFUNCTION("GOOGLETRANSLATE(F189, ""id"", ""de"")
"),"Wenn alles so sein könnte.... 😢")</f>
        <v>Wenn alles so sein könnte.... 😢</v>
      </c>
      <c r="H189" s="6" t="str">
        <f>IFERROR(__xludf.DUMMYFUNCTION("GOOGLETRANSLATE(G189, ""de"", ""id"")"),"Seandainya semua bisa seperti itu.... 😢")</f>
        <v>Seandainya semua bisa seperti itu.... 😢</v>
      </c>
      <c r="I189" s="6" t="str">
        <f>IFERROR(__xludf.DUMMYFUNCTION("GOOGLETRANSLATE(G189, ""de"", ""en"")"),"If everything could be like that.... 😢")</f>
        <v>If everything could be like that.... 😢</v>
      </c>
      <c r="J189" s="6" t="str">
        <f>IFERROR(__xludf.DUMMYFUNCTION("GOOGLETRANSLATE(I189, ""en"", ""id"")"),"Seandainya semua bisa seperti itu.... 😢")</f>
        <v>Seandainya semua bisa seperti itu.... 😢</v>
      </c>
      <c r="K189" s="6" t="str">
        <f>IFERROR(__xludf.DUMMYFUNCTION("GOOGLETRANSLATE(F189, ""id"", ""en"")"),"If everything could be like this.... 😢")</f>
        <v>If everything could be like this.... 😢</v>
      </c>
      <c r="L189" s="6" t="s">
        <v>604</v>
      </c>
      <c r="M189" s="6" t="str">
        <f>IFERROR(__xludf.DUMMYFUNCTION("GOOGLETRANSLATE(L189, ""en"", ""de"")"),"Wenn alles so sein könnte.... 😢")</f>
        <v>Wenn alles so sein könnte.... 😢</v>
      </c>
      <c r="N189" s="6" t="s">
        <v>605</v>
      </c>
      <c r="O189" s="6" t="str">
        <f>IFERROR(__xludf.DUMMYFUNCTION("GOOGLETRANSLATE(N189, ""de"", ""id"")"),"Seandainya semua bisa seperti itu.... 😢")</f>
        <v>Seandainya semua bisa seperti itu.... 😢</v>
      </c>
    </row>
    <row r="190">
      <c r="A190" s="1" t="s">
        <v>17</v>
      </c>
      <c r="B190" s="1" t="s">
        <v>305</v>
      </c>
      <c r="C190" s="1" t="s">
        <v>596</v>
      </c>
      <c r="D190" s="4" t="s">
        <v>569</v>
      </c>
      <c r="E190" s="1" t="s">
        <v>606</v>
      </c>
      <c r="F190" s="6" t="str">
        <f>IFERROR(__xludf.DUMMYFUNCTION("IFERROR(ARRAYFORMULA(REGEXREPLACE(E190, ""("" &amp; TEXTJOIN(""|"", TRUE, FILTER(Q190:Q205, E:E&lt;&gt;"""")) &amp; "")"", 
                     INDEX(R190:R205, MATCH(REGEXEXTRACT(E190:E965, ""("" &amp; TEXTJOIN(""|"", TRUE, FILTER(Q190:Q205, Q190:Q205&lt;&gt;"""")) &amp; "")""), Q"&amp;"190:Q205, 0)))), E190)"),"Kalau kades di kampung mantanku daerah dolo barat, sebelum desa pewunu kalau dari Kota Palu, beh dana desanya atau bantuan pemerintah cman masuk di keluarganya semua, sama orang orang terdekat, baru tidak tepat sasaran dia bilang, ktnya mantanku bnyk yg b"&amp;"erhak tapi tidak dapat..")</f>
        <v>Kalau kades di kampung mantanku daerah dolo barat, sebelum desa pewunu kalau dari Kota Palu, beh dana desanya atau bantuan pemerintah cman masuk di keluarganya semua, sama orang orang terdekat, baru tidak tepat sasaran dia bilang, ktnya mantanku bnyk yg berhak tapi tidak dapat..</v>
      </c>
      <c r="G190" s="6" t="str">
        <f>IFERROR(__xludf.DUMMYFUNCTION("GOOGLETRANSLATE(F190, ""id"", ""de"")
"),"Wenn der Dorfvorsteher im Dorf meines Ex, in der Gegend von West Dolo, vor dem Dorf Pewunu, aus der Stadt Palu, seine Dorfgelder oder staatliche Unterstützung nur an seine Familie und die ihm am nächsten stehenden Menschen ging, dann sagte er, dass er nic"&amp;"ht zugeschlagen habe Als Ziel sagte er, dass viele meiner Ex einen Anspruch darauf hätten, es aber nicht bekommen könnten.")</f>
        <v>Wenn der Dorfvorsteher im Dorf meines Ex, in der Gegend von West Dolo, vor dem Dorf Pewunu, aus der Stadt Palu, seine Dorfgelder oder staatliche Unterstützung nur an seine Familie und die ihm am nächsten stehenden Menschen ging, dann sagte er, dass er nicht zugeschlagen habe Als Ziel sagte er, dass viele meiner Ex einen Anspruch darauf hätten, es aber nicht bekommen könnten.</v>
      </c>
      <c r="H190" s="6" t="str">
        <f>IFERROR(__xludf.DUMMYFUNCTION("GOOGLETRANSLATE(G190, ""de"", ""id"")"),"Ketika kepala desa di desa mantan saya, di kawasan Dolo Barat, depan desa Pewunu, asal kota Palu, dana desanya atau bantuan pemerintah hanya diberikan kepada keluarga dan orang-orang terdekatnya, lalu dia mengatakan tidak. t Sebagai tujuannya, dia mengata"&amp;"kan bahwa banyak mantan saya yang berhak tetapi tidak bisa mendapatkannya.")</f>
        <v>Ketika kepala desa di desa mantan saya, di kawasan Dolo Barat, depan desa Pewunu, asal kota Palu, dana desanya atau bantuan pemerintah hanya diberikan kepada keluarga dan orang-orang terdekatnya, lalu dia mengatakan tidak. t Sebagai tujuannya, dia mengatakan bahwa banyak mantan saya yang berhak tetapi tidak bisa mendapatkannya.</v>
      </c>
      <c r="I190" s="6" t="str">
        <f>IFERROR(__xludf.DUMMYFUNCTION("GOOGLETRANSLATE(G190, ""de"", ""en"")"),"When the village head in my ex's village, in the West Dolo area, in front of Pewunu village, from Palu city, his village funds or government support only went to his family and the people closest to him, then he said that he didn't As a goal, he said that"&amp;" many of my exes were entitled to it but couldn't get it.")</f>
        <v>When the village head in my ex's village, in the West Dolo area, in front of Pewunu village, from Palu city, his village funds or government support only went to his family and the people closest to him, then he said that he didn't As a goal, he said that many of my exes were entitled to it but couldn't get it.</v>
      </c>
      <c r="J190" s="6" t="str">
        <f>IFERROR(__xludf.DUMMYFUNCTION("GOOGLETRANSLATE(I190, ""en"", ""id"")"),"Ketika kepala desa di desa mantan saya, di kawasan Dolo Barat, depan desa Pewunu, asal kota Palu, dana desanya atau bantuan pemerintah hanya diberikan kepada keluarga dan orang-orang terdekatnya, lalu dia mengatakan tidak. t Sebagai tujuannya, dia mengata"&amp;"kan bahwa banyak mantan saya yang berhak tetapi tidak bisa mendapatkannya.")</f>
        <v>Ketika kepala desa di desa mantan saya, di kawasan Dolo Barat, depan desa Pewunu, asal kota Palu, dana desanya atau bantuan pemerintah hanya diberikan kepada keluarga dan orang-orang terdekatnya, lalu dia mengatakan tidak. t Sebagai tujuannya, dia mengatakan bahwa banyak mantan saya yang berhak tetapi tidak bisa mendapatkannya.</v>
      </c>
      <c r="K190" s="6" t="str">
        <f>IFERROR(__xludf.DUMMYFUNCTION("GOOGLETRANSLATE(F190, ""id"", ""en"")"),"If the village head in my ex's village, West Dolo area, before Pewunu village, from Palu City, his village funds or government assistance only went to his family, along with the people closest to him, then he said that he didn't hit the target, he said th"&amp;"at many of my ex's were entitled to it but couldn't get it. .")</f>
        <v>If the village head in my ex's village, West Dolo area, before Pewunu village, from Palu City, his village funds or government assistance only went to his family, along with the people closest to him, then he said that he didn't hit the target, he said that many of my ex's were entitled to it but couldn't get it. .</v>
      </c>
      <c r="L190" s="6" t="s">
        <v>607</v>
      </c>
      <c r="M190" s="6" t="str">
        <f>IFERROR(__xludf.DUMMYFUNCTION("GOOGLETRANSLATE(L190, ""en"", ""de"")"),"Wenn der Dorfvorsteher im Dorf meines Ex, in der Gegend von West Dolo, vor dem Dorf Pewunu, wenn er aus der Stadt Palu stammte, seine Dorfgelder oder die staatliche Unterstützung nur an seine Familie und die Menschen gingen, die ihm am nächsten standen, d"&amp;"ann sagte er, dass er das tat Ich habe das Ziel nicht erreicht, er sagte, dass viele meiner Ex einen Anspruch darauf hätten, es aber nicht bekommen könnten. .")</f>
        <v>Wenn der Dorfvorsteher im Dorf meines Ex, in der Gegend von West Dolo, vor dem Dorf Pewunu, wenn er aus der Stadt Palu stammte, seine Dorfgelder oder die staatliche Unterstützung nur an seine Familie und die Menschen gingen, die ihm am nächsten standen, dann sagte er, dass er das tat Ich habe das Ziel nicht erreicht, er sagte, dass viele meiner Ex einen Anspruch darauf hätten, es aber nicht bekommen könnten. .</v>
      </c>
      <c r="N190" s="6" t="s">
        <v>608</v>
      </c>
      <c r="O190" s="6" t="str">
        <f>IFERROR(__xludf.DUMMYFUNCTION("GOOGLETRANSLATE(N190, ""de"", ""id"")"),"Ketika kepala desa di desa mantan saya, Dolo Barat, sebelum desa Pewunu, jika dia dari kota Palu, dana desanya atau dukungan pemerintah hanya diberikan kepada keluarga dan orang-orang terdekatnya, lalu dia mengatakan bahwa dia melakukan hal tersebut. tida"&amp;"k mencapai tujuan, katanya banyak mantan saya yang berhak tetapi tidak bisa. .")</f>
        <v>Ketika kepala desa di desa mantan saya, Dolo Barat, sebelum desa Pewunu, jika dia dari kota Palu, dana desanya atau dukungan pemerintah hanya diberikan kepada keluarga dan orang-orang terdekatnya, lalu dia mengatakan bahwa dia melakukan hal tersebut. tidak mencapai tujuan, katanya banyak mantan saya yang berhak tetapi tidak bisa. .</v>
      </c>
    </row>
    <row r="191">
      <c r="A191" s="1" t="s">
        <v>17</v>
      </c>
      <c r="B191" s="1" t="s">
        <v>305</v>
      </c>
      <c r="C191" s="1" t="s">
        <v>609</v>
      </c>
      <c r="D191" s="4" t="s">
        <v>569</v>
      </c>
      <c r="E191" s="1" t="s">
        <v>610</v>
      </c>
      <c r="F191" s="6" t="str">
        <f>IFERROR(__xludf.DUMMYFUNCTION("IFERROR(ARRAYFORMULA(REGEXREPLACE(E191, ""("" &amp; TEXTJOIN(""|"", TRUE, FILTER(Q191:Q206, E:E&lt;&gt;"""")) &amp; "")"", 
                     INDEX(R191:R206, MATCH(REGEXEXTRACT(E191:E965, ""("" &amp; TEXTJOIN(""|"", TRUE, FILTER(Q191:Q206, Q191:Q206&lt;&gt;"""")) &amp; "")""), Q"&amp;"191:Q206, 0)))), E191)"),"Contoh kepala desa yg kerja")</f>
        <v>Contoh kepala desa yg kerja</v>
      </c>
      <c r="G191" s="6" t="str">
        <f>IFERROR(__xludf.DUMMYFUNCTION("GOOGLETRANSLATE(F191, ""id"", ""de"")
"),"Beispiel eines arbeitenden Dorfvorstehers")</f>
        <v>Beispiel eines arbeitenden Dorfvorstehers</v>
      </c>
      <c r="H191" s="6" t="str">
        <f>IFERROR(__xludf.DUMMYFUNCTION("GOOGLETRANSLATE(G191, ""de"", ""id"")"),"Contoh pemimpin desa yang bekerja")</f>
        <v>Contoh pemimpin desa yang bekerja</v>
      </c>
      <c r="I191" s="6" t="str">
        <f>IFERROR(__xludf.DUMMYFUNCTION("GOOGLETRANSLATE(G191, ""de"", ""en"")"),"Example of a working village leader")</f>
        <v>Example of a working village leader</v>
      </c>
      <c r="J191" s="6" t="str">
        <f>IFERROR(__xludf.DUMMYFUNCTION("GOOGLETRANSLATE(I191, ""en"", ""id"")"),"Contoh pemimpin desa yang bekerja")</f>
        <v>Contoh pemimpin desa yang bekerja</v>
      </c>
      <c r="K191" s="6" t="str">
        <f>IFERROR(__xludf.DUMMYFUNCTION("GOOGLETRANSLATE(F191, ""id"", ""en"")"),"Example of a working village head")</f>
        <v>Example of a working village head</v>
      </c>
      <c r="L191" s="6" t="s">
        <v>611</v>
      </c>
      <c r="M191" s="6" t="str">
        <f>IFERROR(__xludf.DUMMYFUNCTION("GOOGLETRANSLATE(L191, ""en"", ""de"")"),"Beispiel eines arbeitenden Dorfvorstehers")</f>
        <v>Beispiel eines arbeitenden Dorfvorstehers</v>
      </c>
      <c r="N191" s="6" t="s">
        <v>612</v>
      </c>
      <c r="O191" s="6" t="str">
        <f>IFERROR(__xludf.DUMMYFUNCTION("GOOGLETRANSLATE(N191, ""de"", ""id"")"),"Contoh pemimpin desa yang bekerja")</f>
        <v>Contoh pemimpin desa yang bekerja</v>
      </c>
    </row>
    <row r="192">
      <c r="A192" s="1" t="s">
        <v>17</v>
      </c>
      <c r="B192" s="1" t="s">
        <v>613</v>
      </c>
      <c r="C192" s="1" t="s">
        <v>614</v>
      </c>
      <c r="D192" s="4" t="s">
        <v>615</v>
      </c>
      <c r="E192" s="1" t="s">
        <v>616</v>
      </c>
      <c r="F192" s="6" t="str">
        <f>IFERROR(__xludf.DUMMYFUNCTION("IFERROR(ARRAYFORMULA(REGEXREPLACE(E192, ""("" &amp; TEXTJOIN(""|"", TRUE, FILTER(Q192:Q207, E:E&lt;&gt;"""")) &amp; "")"", 
                     INDEX(R192:R207, MATCH(REGEXEXTRACT(E192:E965, ""("" &amp; TEXTJOIN(""|"", TRUE, FILTER(Q192:Q207, Q192:Q207&lt;&gt;"""")) &amp; "")""), Q"&amp;"192:Q207, 0)))), E192)"),"Mending deket aja, pulang kampung dari banggai laut ke jakarta cape banget jiwa raga kami. Eh ini pulkam apa pulkot ya 😂😂")</f>
        <v>Mending deket aja, pulang kampung dari banggai laut ke jakarta cape banget jiwa raga kami. Eh ini pulkam apa pulkot ya 😂😂</v>
      </c>
      <c r="G192" s="6" t="str">
        <f>IFERROR(__xludf.DUMMYFUNCTION("GOOGLETRANSLATE(F192, ""id"", ""de"")
"),"Es ist besser, einfach in der Nähe zu sein. Wenn wir von Banggai Laut nach Jakarta zurückkehren, sind unser Körper und unsere Seele wirklich müde. Äh, ist das Pulkam oder Pulkot 😂😂")</f>
        <v>Es ist besser, einfach in der Nähe zu sein. Wenn wir von Banggai Laut nach Jakarta zurückkehren, sind unser Körper und unsere Seele wirklich müde. Äh, ist das Pulkam oder Pulkot 😂😂</v>
      </c>
      <c r="H192" s="6" t="str">
        <f>IFERROR(__xludf.DUMMYFUNCTION("GOOGLETRANSLATE(G192, ""de"", ""id"")"),"Lebih baik berada di dekatnya saja. Pulang ke Jakarta dari Banggai Laut, capek banget jiwa dan raga. Eh itu Pulkam atau Pulkot 😂😂")</f>
        <v>Lebih baik berada di dekatnya saja. Pulang ke Jakarta dari Banggai Laut, capek banget jiwa dan raga. Eh itu Pulkam atau Pulkot 😂😂</v>
      </c>
      <c r="I192" s="6" t="str">
        <f>IFERROR(__xludf.DUMMYFUNCTION("GOOGLETRANSLATE(G192, ""de"", ""en"")"),"It's better to just be nearby. When we return to Jakarta from Banggai Laut, our body and soul are really tired. Uh, is that Pulkam or Pulkot 😂😂")</f>
        <v>It's better to just be nearby. When we return to Jakarta from Banggai Laut, our body and soul are really tired. Uh, is that Pulkam or Pulkot 😂😂</v>
      </c>
      <c r="J192" s="6" t="str">
        <f>IFERROR(__xludf.DUMMYFUNCTION("GOOGLETRANSLATE(I192, ""en"", ""id"")"),"Lebih baik berada di dekatnya saja. Pulang ke Jakarta dari Banggai Laut, capek banget jiwa dan raga. Eh itu Pulkam atau Pulkot 😂😂")</f>
        <v>Lebih baik berada di dekatnya saja. Pulang ke Jakarta dari Banggai Laut, capek banget jiwa dan raga. Eh itu Pulkam atau Pulkot 😂😂</v>
      </c>
      <c r="K192" s="6" t="str">
        <f>IFERROR(__xludf.DUMMYFUNCTION("GOOGLETRANSLATE(F192, ""id"", ""en"")"),"It's better to just be close, returning home from Banggai Laut to Jakarta, our bodies and souls are really tired. Eh, is this pulkam or pulkot 😂😂")</f>
        <v>It's better to just be close, returning home from Banggai Laut to Jakarta, our bodies and souls are really tired. Eh, is this pulkam or pulkot 😂😂</v>
      </c>
      <c r="L192" s="6" t="s">
        <v>617</v>
      </c>
      <c r="M192" s="6" t="str">
        <f>IFERROR(__xludf.DUMMYFUNCTION("GOOGLETRANSLATE(L192, ""en"", ""de"")"),"Es ist besser, einfach in der Nähe zu sein. Wenn wir von Banggai Laut nach Jakarta zurückkehren, sind unser Körper und unsere Seele wirklich müde. Äh, ist das Pulkam oder Pulkot 😂😂")</f>
        <v>Es ist besser, einfach in der Nähe zu sein. Wenn wir von Banggai Laut nach Jakarta zurückkehren, sind unser Körper und unsere Seele wirklich müde. Äh, ist das Pulkam oder Pulkot 😂😂</v>
      </c>
      <c r="N192" s="6" t="s">
        <v>618</v>
      </c>
      <c r="O192" s="6" t="str">
        <f>IFERROR(__xludf.DUMMYFUNCTION("GOOGLETRANSLATE(N192, ""de"", ""id"")"),"Lebih baik berada di dekatnya saja. Pulang ke Jakarta dari Banggai Laut, capek banget jiwa dan raga. Eh itu Pulkam atau Pulkot 😂😂")</f>
        <v>Lebih baik berada di dekatnya saja. Pulang ke Jakarta dari Banggai Laut, capek banget jiwa dan raga. Eh itu Pulkam atau Pulkot 😂😂</v>
      </c>
    </row>
    <row r="193">
      <c r="A193" s="1" t="s">
        <v>17</v>
      </c>
      <c r="B193" s="1" t="s">
        <v>613</v>
      </c>
      <c r="C193" s="1" t="s">
        <v>619</v>
      </c>
      <c r="D193" s="4" t="s">
        <v>615</v>
      </c>
      <c r="E193" s="1" t="s">
        <v>620</v>
      </c>
      <c r="F193" s="6" t="str">
        <f>IFERROR(__xludf.DUMMYFUNCTION("IFERROR(ARRAYFORMULA(REGEXREPLACE(E193, ""("" &amp; TEXTJOIN(""|"", TRUE, FILTER(Q193:Q208, E:E&lt;&gt;"""")) &amp; "")"", 
                     INDEX(R193:R208, MATCH(REGEXEXTRACT(E193:E965, ""("" &amp; TEXTJOIN(""|"", TRUE, FILTER(Q193:Q208, Q193:Q208&lt;&gt;"""")) &amp; "")""), Q"&amp;"193:Q208, 0)))), E193)"),"pulkot🤣")</f>
        <v>pulkot🤣</v>
      </c>
      <c r="G193" s="6" t="str">
        <f>IFERROR(__xludf.DUMMYFUNCTION("GOOGLETRANSLATE(F193, ""id"", ""de"")
"),"pulkot🤣")</f>
        <v>pulkot🤣</v>
      </c>
      <c r="H193" s="6" t="str">
        <f>IFERROR(__xludf.DUMMYFUNCTION("GOOGLETRANSLATE(G193, ""de"", ""id"")"),"pulkot🤣")</f>
        <v>pulkot🤣</v>
      </c>
      <c r="I193" s="6" t="str">
        <f>IFERROR(__xludf.DUMMYFUNCTION("GOOGLETRANSLATE(G193, ""de"", ""en"")"),"pulkot🤣")</f>
        <v>pulkot🤣</v>
      </c>
      <c r="J193" s="6" t="str">
        <f>IFERROR(__xludf.DUMMYFUNCTION("GOOGLETRANSLATE(I193, ""en"", ""id"")"),"pulkot🤣")</f>
        <v>pulkot🤣</v>
      </c>
      <c r="K193" s="6" t="str">
        <f>IFERROR(__xludf.DUMMYFUNCTION("GOOGLETRANSLATE(F193, ""id"", ""en"")"),"pulkot🤣")</f>
        <v>pulkot🤣</v>
      </c>
      <c r="L193" s="6" t="s">
        <v>620</v>
      </c>
      <c r="M193" s="6" t="str">
        <f>IFERROR(__xludf.DUMMYFUNCTION("GOOGLETRANSLATE(L193, ""en"", ""de"")"),"pulkot🤣")</f>
        <v>pulkot🤣</v>
      </c>
      <c r="N193" s="6" t="s">
        <v>620</v>
      </c>
      <c r="O193" s="6" t="str">
        <f>IFERROR(__xludf.DUMMYFUNCTION("GOOGLETRANSLATE(N193, ""de"", ""id"")"),"pulkot🤣")</f>
        <v>pulkot🤣</v>
      </c>
    </row>
    <row r="194">
      <c r="A194" s="1" t="s">
        <v>17</v>
      </c>
      <c r="B194" s="1" t="s">
        <v>613</v>
      </c>
      <c r="C194" s="1" t="s">
        <v>614</v>
      </c>
      <c r="D194" s="4" t="s">
        <v>615</v>
      </c>
      <c r="E194" s="1" t="s">
        <v>621</v>
      </c>
      <c r="F194" s="6" t="str">
        <f>IFERROR(__xludf.DUMMYFUNCTION("IFERROR(ARRAYFORMULA(REGEXREPLACE(E194, ""("" &amp; TEXTJOIN(""|"", TRUE, FILTER(Q194:Q209, E:E&lt;&gt;"""")) &amp; "")"", 
                     INDEX(R194:R209, MATCH(REGEXEXTRACT(E194:E965, ""("" &amp; TEXTJOIN(""|"", TRUE, FILTER(Q194:Q209, Q194:Q209&lt;&gt;"""")) &amp; "")""), Q"&amp;"194:Q209, 0)))), E194)"),"iya ya pulkot 😂😂😂")</f>
        <v>iya ya pulkot 😂😂😂</v>
      </c>
      <c r="G194" s="6" t="str">
        <f>IFERROR(__xludf.DUMMYFUNCTION("GOOGLETRANSLATE(F194, ""id"", ""de"")
"),"ja, Pulkot 😂😂😂")</f>
        <v>ja, Pulkot 😂😂😂</v>
      </c>
      <c r="H194" s="6" t="str">
        <f>IFERROR(__xludf.DUMMYFUNCTION("GOOGLETRANSLATE(G194, ""de"", ""id"")"),"ya, Pulkot 😂😂😂")</f>
        <v>ya, Pulkot 😂😂😂</v>
      </c>
      <c r="I194" s="6" t="str">
        <f>IFERROR(__xludf.DUMMYFUNCTION("GOOGLETRANSLATE(G194, ""de"", ""en"")"),"yes, Pulkot 😂😂😂")</f>
        <v>yes, Pulkot 😂😂😂</v>
      </c>
      <c r="J194" s="6" t="str">
        <f>IFERROR(__xludf.DUMMYFUNCTION("GOOGLETRANSLATE(I194, ""en"", ""id"")"),"ya, Pulkot 😂😂😂")</f>
        <v>ya, Pulkot 😂😂😂</v>
      </c>
      <c r="K194" s="6" t="str">
        <f>IFERROR(__xludf.DUMMYFUNCTION("GOOGLETRANSLATE(F194, ""id"", ""en"")"),"yes, pulkot 😂😂😂")</f>
        <v>yes, pulkot 😂😂😂</v>
      </c>
      <c r="L194" s="6" t="s">
        <v>622</v>
      </c>
      <c r="M194" s="6" t="str">
        <f>IFERROR(__xludf.DUMMYFUNCTION("GOOGLETRANSLATE(L194, ""en"", ""de"")"),"ja, Pulkot 😂😂😂")</f>
        <v>ja, Pulkot 😂😂😂</v>
      </c>
      <c r="N194" s="6" t="s">
        <v>623</v>
      </c>
      <c r="O194" s="6" t="str">
        <f>IFERROR(__xludf.DUMMYFUNCTION("GOOGLETRANSLATE(N194, ""de"", ""id"")"),"ya, Pulkot 😂😂😂")</f>
        <v>ya, Pulkot 😂😂😂</v>
      </c>
    </row>
    <row r="195">
      <c r="A195" s="1" t="s">
        <v>17</v>
      </c>
      <c r="B195" s="1" t="s">
        <v>613</v>
      </c>
      <c r="C195" s="1" t="s">
        <v>624</v>
      </c>
      <c r="D195" s="4" t="s">
        <v>615</v>
      </c>
      <c r="E195" s="1" t="s">
        <v>625</v>
      </c>
      <c r="F195" s="6" t="str">
        <f>IFERROR(__xludf.DUMMYFUNCTION("IFERROR(ARRAYFORMULA(REGEXREPLACE(E195, ""("" &amp; TEXTJOIN(""|"", TRUE, FILTER(Q195:Q210, E:E&lt;&gt;"""")) &amp; "")"", 
                     INDEX(R195:R210, MATCH(REGEXEXTRACT(E195:E965, ""("" &amp; TEXTJOIN(""|"", TRUE, FILTER(Q195:Q210, Q195:Q210&lt;&gt;"""")) &amp; "")""), Q"&amp;"195:Q210, 0)))), E195)"),"wah d jkt jg")</f>
        <v>wah d jkt jg</v>
      </c>
      <c r="G195" s="6" t="str">
        <f>IFERROR(__xludf.DUMMYFUNCTION("GOOGLETRANSLATE(F195, ""id"", ""de"")
"),"Wow, auch in Jakarta")</f>
        <v>Wow, auch in Jakarta</v>
      </c>
      <c r="H195" s="6" t="str">
        <f>IFERROR(__xludf.DUMMYFUNCTION("GOOGLETRANSLATE(G195, ""de"", ""id"")"),"Wah, bahkan di Jakarta")</f>
        <v>Wah, bahkan di Jakarta</v>
      </c>
      <c r="I195" s="6" t="str">
        <f>IFERROR(__xludf.DUMMYFUNCTION("GOOGLETRANSLATE(G195, ""de"", ""en"")"),"Wow, even in Jakarta")</f>
        <v>Wow, even in Jakarta</v>
      </c>
      <c r="J195" s="6" t="str">
        <f>IFERROR(__xludf.DUMMYFUNCTION("GOOGLETRANSLATE(I195, ""en"", ""id"")"),"Wah, bahkan di Jakarta")</f>
        <v>Wah, bahkan di Jakarta</v>
      </c>
      <c r="K195" s="6" t="str">
        <f>IFERROR(__xludf.DUMMYFUNCTION("GOOGLETRANSLATE(F195, ""id"", ""en"")"),"wow in Jakarta too")</f>
        <v>wow in Jakarta too</v>
      </c>
      <c r="L195" s="6" t="s">
        <v>626</v>
      </c>
      <c r="M195" s="6" t="str">
        <f>IFERROR(__xludf.DUMMYFUNCTION("GOOGLETRANSLATE(L195, ""en"", ""de"")"),"Wow, auch in Jakarta")</f>
        <v>Wow, auch in Jakarta</v>
      </c>
      <c r="N195" s="6" t="s">
        <v>627</v>
      </c>
      <c r="O195" s="6" t="str">
        <f>IFERROR(__xludf.DUMMYFUNCTION("GOOGLETRANSLATE(N195, ""de"", ""id"")"),"Wah, bahkan di Jakarta")</f>
        <v>Wah, bahkan di Jakarta</v>
      </c>
    </row>
    <row r="196">
      <c r="A196" s="1" t="s">
        <v>17</v>
      </c>
      <c r="B196" s="1" t="s">
        <v>613</v>
      </c>
      <c r="C196" s="1" t="s">
        <v>628</v>
      </c>
      <c r="D196" s="4" t="s">
        <v>615</v>
      </c>
      <c r="E196" s="1" t="s">
        <v>629</v>
      </c>
      <c r="F196" s="6" t="str">
        <f>IFERROR(__xludf.DUMMYFUNCTION("IFERROR(ARRAYFORMULA(REGEXREPLACE(E196, ""("" &amp; TEXTJOIN(""|"", TRUE, FILTER(Q196:Q211, E:E&lt;&gt;"""")) &amp; "")"", 
                     INDEX(R196:R211, MATCH(REGEXEXTRACT(E196:E965, ""("" &amp; TEXTJOIN(""|"", TRUE, FILTER(Q196:Q211, Q196:Q211&lt;&gt;"""")) &amp; "")""), Q"&amp;"196:Q211, 0)))), E196)"),"Dimana nih kk")</f>
        <v>Dimana nih kk</v>
      </c>
      <c r="G196" s="6" t="str">
        <f>IFERROR(__xludf.DUMMYFUNCTION("GOOGLETRANSLATE(F196, ""id"", ""de"")
"),"Wo bist du, Schwester?")</f>
        <v>Wo bist du, Schwester?</v>
      </c>
      <c r="H196" s="6" t="str">
        <f>IFERROR(__xludf.DUMMYFUNCTION("GOOGLETRANSLATE(G196, ""de"", ""id"")"),"Dimana kamu, saudari?")</f>
        <v>Dimana kamu, saudari?</v>
      </c>
      <c r="I196" s="6" t="str">
        <f>IFERROR(__xludf.DUMMYFUNCTION("GOOGLETRANSLATE(G196, ""de"", ""en"")"),"Where are you, sister?")</f>
        <v>Where are you, sister?</v>
      </c>
      <c r="J196" s="6" t="str">
        <f>IFERROR(__xludf.DUMMYFUNCTION("GOOGLETRANSLATE(I196, ""en"", ""id"")"),"Dimana kamu, saudari?")</f>
        <v>Dimana kamu, saudari?</v>
      </c>
      <c r="K196" s="6" t="str">
        <f>IFERROR(__xludf.DUMMYFUNCTION("GOOGLETRANSLATE(F196, ""id"", ""en"")"),"Where are you, sis?")</f>
        <v>Where are you, sis?</v>
      </c>
      <c r="L196" s="6" t="s">
        <v>630</v>
      </c>
      <c r="M196" s="6" t="str">
        <f>IFERROR(__xludf.DUMMYFUNCTION("GOOGLETRANSLATE(L196, ""en"", ""de"")"),"Wo bist du, Schwester?")</f>
        <v>Wo bist du, Schwester?</v>
      </c>
      <c r="N196" s="6" t="s">
        <v>631</v>
      </c>
      <c r="O196" s="6" t="str">
        <f>IFERROR(__xludf.DUMMYFUNCTION("GOOGLETRANSLATE(N196, ""de"", ""id"")"),"Dimana kamu, saudari?")</f>
        <v>Dimana kamu, saudari?</v>
      </c>
    </row>
    <row r="197">
      <c r="A197" s="1" t="s">
        <v>17</v>
      </c>
      <c r="B197" s="1" t="s">
        <v>613</v>
      </c>
      <c r="C197" s="1" t="s">
        <v>632</v>
      </c>
      <c r="D197" s="4" t="s">
        <v>615</v>
      </c>
      <c r="E197" s="1" t="s">
        <v>633</v>
      </c>
      <c r="F197" s="6" t="str">
        <f>IFERROR(__xludf.DUMMYFUNCTION("IFERROR(ARRAYFORMULA(REGEXREPLACE(E197, ""("" &amp; TEXTJOIN(""|"", TRUE, FILTER(Q197:Q212, E:E&lt;&gt;"""")) &amp; "")"", 
                     INDEX(R197:R212, MATCH(REGEXEXTRACT(E197:E965, ""("" &amp; TEXTJOIN(""|"", TRUE, FILTER(Q197:Q212, Q197:Q212&lt;&gt;"""")) &amp; "")""), Q"&amp;"197:Q212, 0)))), E197)"),"🙋 5 menit smpai 😂")</f>
        <v>🙋 5 menit smpai 😂</v>
      </c>
      <c r="G197" s="6" t="str">
        <f>IFERROR(__xludf.DUMMYFUNCTION("GOOGLETRANSLATE(F197, ""id"", ""de"")
"),"🙋 Noch 5 Minuten bis 😂")</f>
        <v>🙋 Noch 5 Minuten bis 😂</v>
      </c>
      <c r="H197" s="6" t="str">
        <f>IFERROR(__xludf.DUMMYFUNCTION("GOOGLETRANSLATE(G197, ""de"", ""id"")"),"🙋 5 menit lagi sampai 😂")</f>
        <v>🙋 5 menit lagi sampai 😂</v>
      </c>
      <c r="I197" s="6" t="str">
        <f>IFERROR(__xludf.DUMMYFUNCTION("GOOGLETRANSLATE(G197, ""de"", ""en"")"),"🙋 5 minutes left until 😂")</f>
        <v>🙋 5 minutes left until 😂</v>
      </c>
      <c r="J197" s="6" t="str">
        <f>IFERROR(__xludf.DUMMYFUNCTION("GOOGLETRANSLATE(I197, ""en"", ""id"")"),"🙋 5 menit lagi sampai 😂")</f>
        <v>🙋 5 menit lagi sampai 😂</v>
      </c>
      <c r="K197" s="6" t="str">
        <f>IFERROR(__xludf.DUMMYFUNCTION("GOOGLETRANSLATE(F197, ""id"", ""en"")"),"🙋 5 minutes until 😂")</f>
        <v>🙋 5 minutes until 😂</v>
      </c>
      <c r="L197" s="6" t="s">
        <v>634</v>
      </c>
      <c r="M197" s="6" t="str">
        <f>IFERROR(__xludf.DUMMYFUNCTION("GOOGLETRANSLATE(L197, ""en"", ""de"")"),"🙋 Noch 5 Minuten bis 😂")</f>
        <v>🙋 Noch 5 Minuten bis 😂</v>
      </c>
      <c r="N197" s="6" t="s">
        <v>635</v>
      </c>
      <c r="O197" s="6" t="str">
        <f>IFERROR(__xludf.DUMMYFUNCTION("GOOGLETRANSLATE(N197, ""de"", ""id"")"),"🙋 5 menit lagi sampai 😂")</f>
        <v>🙋 5 menit lagi sampai 😂</v>
      </c>
    </row>
    <row r="198">
      <c r="A198" s="1" t="s">
        <v>17</v>
      </c>
      <c r="B198" s="1" t="s">
        <v>613</v>
      </c>
      <c r="C198" s="1" t="s">
        <v>636</v>
      </c>
      <c r="D198" s="4" t="s">
        <v>615</v>
      </c>
      <c r="E198" s="1" t="s">
        <v>637</v>
      </c>
      <c r="F198" s="6" t="str">
        <f>IFERROR(__xludf.DUMMYFUNCTION("IFERROR(ARRAYFORMULA(REGEXREPLACE(E198, ""("" &amp; TEXTJOIN(""|"", TRUE, FILTER(Q198:Q213, E:E&lt;&gt;"""")) &amp; "")"", 
                     INDEX(R198:R213, MATCH(REGEXEXTRACT(E198:E965, ""("" &amp; TEXTJOIN(""|"", TRUE, FILTER(Q198:Q213, Q198:Q213&lt;&gt;"""")) &amp; "")""), Q"&amp;"198:Q213, 0)))), E198)"),"Bener banget ini😂")</f>
        <v>Bener banget ini😂</v>
      </c>
      <c r="G198" s="6" t="str">
        <f>IFERROR(__xludf.DUMMYFUNCTION("GOOGLETRANSLATE(F198, ""id"", ""de"")
"),"Das ist wirklich wahr😂")</f>
        <v>Das ist wirklich wahr😂</v>
      </c>
      <c r="H198" s="6" t="str">
        <f>IFERROR(__xludf.DUMMYFUNCTION("GOOGLETRANSLATE(G198, ""de"", ""id"")"),"Ini benar sekali😂")</f>
        <v>Ini benar sekali😂</v>
      </c>
      <c r="I198" s="6" t="str">
        <f>IFERROR(__xludf.DUMMYFUNCTION("GOOGLETRANSLATE(G198, ""de"", ""en"")"),"This is really true😂")</f>
        <v>This is really true😂</v>
      </c>
      <c r="J198" s="6" t="str">
        <f>IFERROR(__xludf.DUMMYFUNCTION("GOOGLETRANSLATE(I198, ""en"", ""id"")"),"Ini benar sekali😂")</f>
        <v>Ini benar sekali😂</v>
      </c>
      <c r="K198" s="6" t="str">
        <f>IFERROR(__xludf.DUMMYFUNCTION("GOOGLETRANSLATE(F198, ""id"", ""en"")"),"This is really true😂")</f>
        <v>This is really true😂</v>
      </c>
      <c r="L198" s="6" t="s">
        <v>638</v>
      </c>
      <c r="M198" s="6" t="str">
        <f>IFERROR(__xludf.DUMMYFUNCTION("GOOGLETRANSLATE(L198, ""en"", ""de"")"),"Das ist wirklich wahr😂")</f>
        <v>Das ist wirklich wahr😂</v>
      </c>
      <c r="N198" s="6" t="s">
        <v>639</v>
      </c>
      <c r="O198" s="6" t="str">
        <f>IFERROR(__xludf.DUMMYFUNCTION("GOOGLETRANSLATE(N198, ""de"", ""id"")"),"Ini benar sekali😂")</f>
        <v>Ini benar sekali😂</v>
      </c>
    </row>
    <row r="199">
      <c r="A199" s="1" t="s">
        <v>17</v>
      </c>
      <c r="B199" s="1" t="s">
        <v>613</v>
      </c>
      <c r="C199" s="1" t="s">
        <v>640</v>
      </c>
      <c r="D199" s="4" t="s">
        <v>615</v>
      </c>
      <c r="E199" s="1" t="s">
        <v>641</v>
      </c>
      <c r="F199" s="6" t="str">
        <f>IFERROR(__xludf.DUMMYFUNCTION("IFERROR(ARRAYFORMULA(REGEXREPLACE(E199, ""("" &amp; TEXTJOIN(""|"", TRUE, FILTER(Q199:Q214, E:E&lt;&gt;"""")) &amp; "")"", 
                     INDEX(R199:R214, MATCH(REGEXEXTRACT(E199:E965, ""("" &amp; TEXTJOIN(""|"", TRUE, FILTER(Q199:Q214, Q199:Q214&lt;&gt;"""")) &amp; "")""), Q"&amp;"199:Q214, 0)))), E199)"),"Tdk berlaku bagi andahhh yahhhh @hawiyah_hanafi 😂")</f>
        <v>Tdk berlaku bagi andahhh yahhhh @hawiyah_hanafi 😂</v>
      </c>
      <c r="G199" s="6" t="str">
        <f>IFERROR(__xludf.DUMMYFUNCTION("GOOGLETRANSLATE(F199, ""id"", ""de"")
"),"Gilt nicht für dich yahhhh @hawiyah_hanafi 😂")</f>
        <v>Gilt nicht für dich yahhhh @hawiyah_hanafi 😂</v>
      </c>
      <c r="H199" s="6" t="str">
        <f>IFERROR(__xludf.DUMMYFUNCTION("GOOGLETRANSLATE(G199, ""de"", ""id"")"),"Gak berlaku buat kamu yahhhh @hawiyah_hanafi 😂")</f>
        <v>Gak berlaku buat kamu yahhhh @hawiyah_hanafi 😂</v>
      </c>
      <c r="I199" s="6" t="str">
        <f>IFERROR(__xludf.DUMMYFUNCTION("GOOGLETRANSLATE(G199, ""de"", ""en"")"),"Doesn't apply to you yahhhh @hawiyah_hanafi 😂")</f>
        <v>Doesn't apply to you yahhhh @hawiyah_hanafi 😂</v>
      </c>
      <c r="J199" s="6" t="str">
        <f>IFERROR(__xludf.DUMMYFUNCTION("GOOGLETRANSLATE(I199, ""en"", ""id"")"),"Gak berlaku buat kamu yahhhh @hawiyah_hanafi 😂")</f>
        <v>Gak berlaku buat kamu yahhhh @hawiyah_hanafi 😂</v>
      </c>
      <c r="K199" s="6" t="str">
        <f>IFERROR(__xludf.DUMMYFUNCTION("GOOGLETRANSLATE(F199, ""id"", ""en"")"),"Doesn't apply to you yahhhh @hawiyah_hanafi 😂")</f>
        <v>Doesn't apply to you yahhhh @hawiyah_hanafi 😂</v>
      </c>
      <c r="L199" s="6" t="s">
        <v>642</v>
      </c>
      <c r="M199" s="6" t="str">
        <f>IFERROR(__xludf.DUMMYFUNCTION("GOOGLETRANSLATE(L199, ""en"", ""de"")"),"Gilt nicht für dich yahhhh @hawiyah_hanafi 😂")</f>
        <v>Gilt nicht für dich yahhhh @hawiyah_hanafi 😂</v>
      </c>
      <c r="N199" s="6" t="s">
        <v>643</v>
      </c>
      <c r="O199" s="6" t="str">
        <f>IFERROR(__xludf.DUMMYFUNCTION("GOOGLETRANSLATE(N199, ""de"", ""id"")"),"Gak berlaku buat kamu yahhhh @hawiyah_hanafi 😂")</f>
        <v>Gak berlaku buat kamu yahhhh @hawiyah_hanafi 😂</v>
      </c>
    </row>
    <row r="200">
      <c r="A200" s="1" t="s">
        <v>17</v>
      </c>
      <c r="B200" s="1" t="s">
        <v>613</v>
      </c>
      <c r="C200" s="1" t="s">
        <v>644</v>
      </c>
      <c r="D200" s="4" t="s">
        <v>615</v>
      </c>
      <c r="E200" s="1" t="s">
        <v>645</v>
      </c>
      <c r="F200" s="6" t="str">
        <f>IFERROR(__xludf.DUMMYFUNCTION("IFERROR(ARRAYFORMULA(REGEXREPLACE(E200, ""("" &amp; TEXTJOIN(""|"", TRUE, FILTER(Q200:Q215, E:E&lt;&gt;"""")) &amp; "")"", 
                     INDEX(R200:R215, MATCH(REGEXEXTRACT(E200:E965, ""("" &amp; TEXTJOIN(""|"", TRUE, FILTER(Q200:Q215, Q200:Q215&lt;&gt;"""")) &amp; "")""), Q"&amp;"200:Q215, 0)))), E200)"),"@iithaa___ tdklah😂")</f>
        <v>@iithaa___ tdklah😂</v>
      </c>
      <c r="G200" s="6" t="str">
        <f>IFERROR(__xludf.DUMMYFUNCTION("GOOGLETRANSLATE(F200, ""id"", ""de"")
"),"@iithaa___ nein😂")</f>
        <v>@iithaa___ nein😂</v>
      </c>
      <c r="H200" s="6" t="str">
        <f>IFERROR(__xludf.DUMMYFUNCTION("GOOGLETRANSLATE(G200, ""de"", ""id"")"),"@iithaa___ tidak😂")</f>
        <v>@iithaa___ tidak😂</v>
      </c>
      <c r="I200" s="6" t="str">
        <f>IFERROR(__xludf.DUMMYFUNCTION("GOOGLETRANSLATE(G200, ""de"", ""en"")"),"@iithaa___ no😂")</f>
        <v>@iithaa___ no😂</v>
      </c>
      <c r="J200" s="6" t="str">
        <f>IFERROR(__xludf.DUMMYFUNCTION("GOOGLETRANSLATE(I200, ""en"", ""id"")"),"@iithaa___ tidak😂")</f>
        <v>@iithaa___ tidak😂</v>
      </c>
      <c r="K200" s="6" t="str">
        <f>IFERROR(__xludf.DUMMYFUNCTION("GOOGLETRANSLATE(F200, ""id"", ""en"")"),"@iithaa___ nope😂")</f>
        <v>@iithaa___ nope😂</v>
      </c>
      <c r="L200" s="6" t="s">
        <v>646</v>
      </c>
      <c r="M200" s="6" t="str">
        <f>IFERROR(__xludf.DUMMYFUNCTION("GOOGLETRANSLATE(L200, ""en"", ""de"")"),"@iithaa___ nein😂")</f>
        <v>@iithaa___ nein😂</v>
      </c>
      <c r="N200" s="6" t="s">
        <v>647</v>
      </c>
      <c r="O200" s="6" t="str">
        <f>IFERROR(__xludf.DUMMYFUNCTION("GOOGLETRANSLATE(N200, ""de"", ""id"")"),"@iithaa___ tidak😂")</f>
        <v>@iithaa___ tidak😂</v>
      </c>
    </row>
    <row r="201">
      <c r="A201" s="1" t="s">
        <v>17</v>
      </c>
      <c r="B201" s="1" t="s">
        <v>613</v>
      </c>
      <c r="C201" s="1" t="s">
        <v>640</v>
      </c>
      <c r="D201" s="4" t="s">
        <v>615</v>
      </c>
      <c r="E201" s="1" t="s">
        <v>648</v>
      </c>
      <c r="F201" s="6" t="str">
        <f>IFERROR(__xludf.DUMMYFUNCTION("IFERROR(ARRAYFORMULA(REGEXREPLACE(E201, ""("" &amp; TEXTJOIN(""|"", TRUE, FILTER(Q201:Q216, E:E&lt;&gt;"""")) &amp; "")"", 
                     INDEX(R201:R216, MATCH(REGEXEXTRACT(E201:E965, ""("" &amp; TEXTJOIN(""|"", TRUE, FILTER(Q201:Q216, Q201:Q216&lt;&gt;"""")) &amp; "")""), Q"&amp;"201:Q216, 0)))), E201)"),"@hawiyah_hanafi pengen cuti kerumah mertua tapi ndag tau rumahnya dimana 😢")</f>
        <v>@hawiyah_hanafi pengen cuti kerumah mertua tapi ndag tau rumahnya dimana 😢</v>
      </c>
      <c r="G201" s="6" t="str">
        <f>IFERROR(__xludf.DUMMYFUNCTION("GOOGLETRANSLATE(F201, ""id"", ""de"")
"),"@hawiyah_hanafi möchte Urlaub machen, um zum Haus ihrer Schwiegereltern zu fahren, weiß aber nicht, wo ihr Haus ist 😢")</f>
        <v>@hawiyah_hanafi möchte Urlaub machen, um zum Haus ihrer Schwiegereltern zu fahren, weiß aber nicht, wo ihr Haus ist 😢</v>
      </c>
      <c r="H201" s="6" t="str">
        <f>IFERROR(__xludf.DUMMYFUNCTION("GOOGLETRANSLATE(G201, ""de"", ""id"")"),"@hawiyah_hanafi mau liburan ke rumah mertuanya tapi gak tau rumahnya dimana 😢")</f>
        <v>@hawiyah_hanafi mau liburan ke rumah mertuanya tapi gak tau rumahnya dimana 😢</v>
      </c>
      <c r="I201" s="6" t="str">
        <f>IFERROR(__xludf.DUMMYFUNCTION("GOOGLETRANSLATE(G201, ""de"", ""en"")"),"@hawiyah_hanafi wants to go on vacation to go to her in-laws house but don't know where their house is 😢")</f>
        <v>@hawiyah_hanafi wants to go on vacation to go to her in-laws house but don't know where their house is 😢</v>
      </c>
      <c r="J201" s="6" t="str">
        <f>IFERROR(__xludf.DUMMYFUNCTION("GOOGLETRANSLATE(I201, ""en"", ""id"")"),"@hawiyah_hanafi mau liburan ke rumah mertuanya tapi gak tau rumahnya dimana 😢")</f>
        <v>@hawiyah_hanafi mau liburan ke rumah mertuanya tapi gak tau rumahnya dimana 😢</v>
      </c>
      <c r="K201" s="6" t="str">
        <f>IFERROR(__xludf.DUMMYFUNCTION("GOOGLETRANSLATE(F201, ""id"", ""en"")"),"@hawiyah_hanafi wants to go on leave to go to her in-laws' house but doesn't know where her house is 😢")</f>
        <v>@hawiyah_hanafi wants to go on leave to go to her in-laws' house but doesn't know where her house is 😢</v>
      </c>
      <c r="L201" s="6" t="s">
        <v>649</v>
      </c>
      <c r="M201" s="6" t="str">
        <f>IFERROR(__xludf.DUMMYFUNCTION("GOOGLETRANSLATE(L201, ""en"", ""de"")"),"@hawiyah_hanafi möchte Urlaub machen, um zum Haus ihrer Schwiegereltern zu fahren, weiß aber nicht, wo ihr Haus ist 😢")</f>
        <v>@hawiyah_hanafi möchte Urlaub machen, um zum Haus ihrer Schwiegereltern zu fahren, weiß aber nicht, wo ihr Haus ist 😢</v>
      </c>
      <c r="N201" s="6" t="s">
        <v>650</v>
      </c>
      <c r="O201" s="6" t="str">
        <f>IFERROR(__xludf.DUMMYFUNCTION("GOOGLETRANSLATE(N201, ""de"", ""id"")"),"@hawiyah_hanafi mau liburan ke rumah mertuanya tapi gak tau rumahnya dimana 😢")</f>
        <v>@hawiyah_hanafi mau liburan ke rumah mertuanya tapi gak tau rumahnya dimana 😢</v>
      </c>
    </row>
    <row r="202">
      <c r="A202" s="1" t="s">
        <v>17</v>
      </c>
      <c r="B202" s="1" t="s">
        <v>613</v>
      </c>
      <c r="C202" s="1" t="s">
        <v>644</v>
      </c>
      <c r="D202" s="4" t="s">
        <v>615</v>
      </c>
      <c r="E202" s="1" t="s">
        <v>651</v>
      </c>
      <c r="F202" s="6" t="str">
        <f>IFERROR(__xludf.DUMMYFUNCTION("IFERROR(ARRAYFORMULA(REGEXREPLACE(E202, ""("" &amp; TEXTJOIN(""|"", TRUE, FILTER(Q202:Q217, E:E&lt;&gt;"""")) &amp; "")"", 
                     INDEX(R202:R217, MATCH(REGEXEXTRACT(E202:E965, ""("" &amp; TEXTJOIN(""|"", TRUE, FILTER(Q202:Q217, Q202:Q217&lt;&gt;"""")) &amp; "")""), Q"&amp;"202:Q217, 0)))), E202)"),"aghh sudahlah. Rumah mertua masih on proses😂")</f>
        <v>aghh sudahlah. Rumah mertua masih on proses😂</v>
      </c>
      <c r="G202" s="6" t="str">
        <f>IFERROR(__xludf.DUMMYFUNCTION("GOOGLETRANSLATE(F202, ""id"", ""de"")
"),"Ach, egal. Das Haus der Schwiegereltern ist noch in Arbeit😂")</f>
        <v>Ach, egal. Das Haus der Schwiegereltern ist noch in Arbeit😂</v>
      </c>
      <c r="H202" s="6" t="str">
        <f>IFERROR(__xludf.DUMMYFUNCTION("GOOGLETRANSLATE(G202, ""de"", ""id"")"),"Oh terserah. Rumah mertua masih dalam proses😂")</f>
        <v>Oh terserah. Rumah mertua masih dalam proses😂</v>
      </c>
      <c r="I202" s="6" t="str">
        <f>IFERROR(__xludf.DUMMYFUNCTION("GOOGLETRANSLATE(G202, ""de"", ""en"")"),"Oh whatever. The in-laws' house is still a work in progress😂")</f>
        <v>Oh whatever. The in-laws' house is still a work in progress😂</v>
      </c>
      <c r="J202" s="6" t="str">
        <f>IFERROR(__xludf.DUMMYFUNCTION("GOOGLETRANSLATE(I202, ""en"", ""id"")"),"Oh terserah. Rumah mertua masih dalam proses😂")</f>
        <v>Oh terserah. Rumah mertua masih dalam proses😂</v>
      </c>
      <c r="K202" s="6" t="str">
        <f>IFERROR(__xludf.DUMMYFUNCTION("GOOGLETRANSLATE(F202, ""id"", ""en"")"),"aghh never mind. The in-laws' house is still in progress😂")</f>
        <v>aghh never mind. The in-laws' house is still in progress😂</v>
      </c>
      <c r="L202" s="6" t="s">
        <v>652</v>
      </c>
      <c r="M202" s="6" t="str">
        <f>IFERROR(__xludf.DUMMYFUNCTION("GOOGLETRANSLATE(L202, ""en"", ""de"")"),"Ach, egal. Das Haus der Schwiegereltern ist noch in Arbeit😂")</f>
        <v>Ach, egal. Das Haus der Schwiegereltern ist noch in Arbeit😂</v>
      </c>
      <c r="N202" s="6" t="s">
        <v>653</v>
      </c>
      <c r="O202" s="6" t="str">
        <f>IFERROR(__xludf.DUMMYFUNCTION("GOOGLETRANSLATE(N202, ""de"", ""id"")"),"Oh terserah. Rumah mertua masih dalam proses😂")</f>
        <v>Oh terserah. Rumah mertua masih dalam proses😂</v>
      </c>
    </row>
    <row r="203">
      <c r="A203" s="1" t="s">
        <v>17</v>
      </c>
      <c r="B203" s="1" t="s">
        <v>613</v>
      </c>
      <c r="C203" s="1" t="s">
        <v>640</v>
      </c>
      <c r="D203" s="4" t="s">
        <v>615</v>
      </c>
      <c r="E203" s="1" t="s">
        <v>654</v>
      </c>
      <c r="F203" s="6" t="str">
        <f>IFERROR(__xludf.DUMMYFUNCTION("IFERROR(ARRAYFORMULA(REGEXREPLACE(E203, ""("" &amp; TEXTJOIN(""|"", TRUE, FILTER(Q203:Q218, E:E&lt;&gt;"""")) &amp; "")"", 
                     INDEX(R203:R218, MATCH(REGEXEXTRACT(E203:E965, ""("" &amp; TEXTJOIN(""|"", TRUE, FILTER(Q203:Q218, Q203:Q218&lt;&gt;"""")) &amp; "")""), Q"&amp;"203:Q218, 0)))), E203)"),"@hawiyah_hanafi dahlah 🫠")</f>
        <v>@hawiyah_hanafi dahlah 🫠</v>
      </c>
      <c r="G203" s="6" t="str">
        <f>IFERROR(__xludf.DUMMYFUNCTION("GOOGLETRANSLATE(F203, ""id"", ""de"")
"),"@hawiyah_hanafi das ist es 🫠")</f>
        <v>@hawiyah_hanafi das ist es 🫠</v>
      </c>
      <c r="H203" s="6" t="str">
        <f>IFERROR(__xludf.DUMMYFUNCTION("GOOGLETRANSLATE(G203, ""de"", ""id"")"),"@hawiyah_hanafi itu dia 🫠")</f>
        <v>@hawiyah_hanafi itu dia 🫠</v>
      </c>
      <c r="I203" s="6" t="str">
        <f>IFERROR(__xludf.DUMMYFUNCTION("GOOGLETRANSLATE(G203, ""de"", ""en"")"),"@hawiyah_hanafi that's it 🫠")</f>
        <v>@hawiyah_hanafi that's it 🫠</v>
      </c>
      <c r="J203" s="6" t="str">
        <f>IFERROR(__xludf.DUMMYFUNCTION("GOOGLETRANSLATE(I203, ""en"", ""id"")"),"@hawiyah_hanafi itu dia 🫠")</f>
        <v>@hawiyah_hanafi itu dia 🫠</v>
      </c>
      <c r="K203" s="6" t="str">
        <f>IFERROR(__xludf.DUMMYFUNCTION("GOOGLETRANSLATE(F203, ""id"", ""en"")"),"@hawiyah_hanafi that's it 🫠")</f>
        <v>@hawiyah_hanafi that's it 🫠</v>
      </c>
      <c r="L203" s="6" t="s">
        <v>655</v>
      </c>
      <c r="M203" s="6" t="str">
        <f>IFERROR(__xludf.DUMMYFUNCTION("GOOGLETRANSLATE(L203, ""en"", ""de"")"),"@hawiyah_hanafi das ist es 🫠")</f>
        <v>@hawiyah_hanafi das ist es 🫠</v>
      </c>
      <c r="N203" s="6" t="s">
        <v>656</v>
      </c>
      <c r="O203" s="6" t="str">
        <f>IFERROR(__xludf.DUMMYFUNCTION("GOOGLETRANSLATE(N203, ""de"", ""id"")"),"@hawiyah_hanafi itu dia 🫠")</f>
        <v>@hawiyah_hanafi itu dia 🫠</v>
      </c>
    </row>
    <row r="204">
      <c r="A204" s="1" t="s">
        <v>17</v>
      </c>
      <c r="B204" s="1" t="s">
        <v>613</v>
      </c>
      <c r="C204" s="1" t="s">
        <v>657</v>
      </c>
      <c r="D204" s="4" t="s">
        <v>658</v>
      </c>
      <c r="E204" s="1" t="s">
        <v>659</v>
      </c>
      <c r="F204" s="6" t="str">
        <f>IFERROR(__xludf.DUMMYFUNCTION("IFERROR(ARRAYFORMULA(REGEXREPLACE(E204, ""("" &amp; TEXTJOIN(""|"", TRUE, FILTER(Q204:Q219, E:E&lt;&gt;"""")) &amp; "")"", 
                     INDEX(R204:R219, MATCH(REGEXEXTRACT(E204:E965, ""("" &amp; TEXTJOIN(""|"", TRUE, FILTER(Q204:Q219, Q204:Q219&lt;&gt;"""")) &amp; "")""), Q"&amp;"204:Q219, 0)))), E204)"),"Cuma mau bilang…
SAYA BANGGA SAMA @puttriamallia
Tetap rendah hati dek…
Tunjukan pada indonesia kalo mutiara dikatulistiwa itu ada pada dirimu…
Putri pulo asli kebanggaan sulawesi tengah..
Tetap rendah hati yah..
Dan team nya.. kak @donalnadjil @thrymake"&amp;"up selamat berjuang…. Kompetisi sebenarnya adalah melawan rasa takut akan kekalahan..
terima kasih sudah menemukan dan menunjukan kalo BANGGAI BERSAUDARA BISA DAN MAMPU…
SULTENG BANGGA PADA KALIAN")</f>
        <v>Cuma mau bilang…
SAYA BANGGA SAMA @puttriamallia
Tetap rendah hati dek…
Tunjukan pada indonesia kalo mutiara dikatulistiwa itu ada pada dirimu…
Putri pulo asli kebanggaan sulawesi tengah..
Tetap rendah hati yah..
Dan team nya.. kak @donalnadjil @thrymakeup selamat berjuang…. Kompetisi sebenarnya adalah melawan rasa takut akan kekalahan..
terima kasih sudah menemukan dan menunjukan kalo BANGGAI BERSAUDARA BISA DAN MAMPU…
SULTENG BANGGA PADA KALIAN</v>
      </c>
      <c r="G204" s="6" t="str">
        <f>IFERROR(__xludf.DUMMYFUNCTION("GOOGLETRANSLATE(F204, ""id"", ""de"")
"),"Ich möchte nur sagen, dass...
Ich bin stolz auf @puttriamallia
Bleib bescheiden, Bruder...
Zeigen Sie Indonesien, dass Sie die Perle des Äquators haben ...
Die ursprüngliche Pulo-Prinzessin, der Stolz von Zentral-Sulawesi.
Bleib bescheiden, okay.
Und das"&amp;" Team... Schwester @donalnadjil @thrymakeup viel Glück... Die wahre Konkurrenz besteht darin, die Angst vor einer Niederlage zu bekämpfen.
Vielen Dank, dass Sie herausgefunden und gezeigt haben, dass BRÜDER KÖNNEN UND KÖNNEN...
SULTENG IST STOLZ AUF SIE")</f>
        <v>Ich möchte nur sagen, dass...
Ich bin stolz auf @puttriamallia
Bleib bescheiden, Bruder...
Zeigen Sie Indonesien, dass Sie die Perle des Äquators haben ...
Die ursprüngliche Pulo-Prinzessin, der Stolz von Zentral-Sulawesi.
Bleib bescheiden, okay.
Und das Team... Schwester @donalnadjil @thrymakeup viel Glück... Die wahre Konkurrenz besteht darin, die Angst vor einer Niederlage zu bekämpfen.
Vielen Dank, dass Sie herausgefunden und gezeigt haben, dass BRÜDER KÖNNEN UND KÖNNEN...
SULTENG IST STOLZ AUF SIE</v>
      </c>
      <c r="H204" s="6" t="str">
        <f>IFERROR(__xludf.DUMMYFUNCTION("GOOGLETRANSLATE(G204, ""de"", ""id"")"),"Aku hanya ingin mengatakan itu...
Saya bangga dengan @puttriamallia
Tetap rendah hati, saudara...
Tunjukkan pada Indonesia bahwa kamu mempunyai Mutiara Khatulistiwa...
Putri Pulo asli kebanggaan Sulawesi Tengah.
Tetap rendah hati, oke.
Dan tim... Kak @do"&amp;"nalnadjil @thrymakeup semoga sukses... Persaingan sesungguhnya adalah melawan rasa takut akan kekalahan.
Terima kasih sudah mengetahui dan menunjukkan bahwa SAUDARA BISA DAN BISA...
SULTENG BANGGA PADAMU")</f>
        <v>Aku hanya ingin mengatakan itu...
Saya bangga dengan @puttriamallia
Tetap rendah hati, saudara...
Tunjukkan pada Indonesia bahwa kamu mempunyai Mutiara Khatulistiwa...
Putri Pulo asli kebanggaan Sulawesi Tengah.
Tetap rendah hati, oke.
Dan tim... Kak @donalnadjil @thrymakeup semoga sukses... Persaingan sesungguhnya adalah melawan rasa takut akan kekalahan.
Terima kasih sudah mengetahui dan menunjukkan bahwa SAUDARA BISA DAN BISA...
SULTENG BANGGA PADAMU</v>
      </c>
      <c r="I204" s="6" t="str">
        <f>IFERROR(__xludf.DUMMYFUNCTION("GOOGLETRANSLATE(G204, ""de"", ""en"")"),"I just want to say that...
I'm proud of @puttriamallia
Stay humble, brother...
Show Indonesia that you have the Pearl of the Equator...
The original Pulo Princess, the pride of Central Sulawesi.
Stay humble, okay.
And the team... Sister @donalnadjil @thr"&amp;"ymakeup good luck... The real competition is fighting the fear of defeat.
Thank you for finding out and showing that BROTHERS CAN AND CAN...
SULTENG IS PROUD OF YOU")</f>
        <v>I just want to say that...
I'm proud of @puttriamallia
Stay humble, brother...
Show Indonesia that you have the Pearl of the Equator...
The original Pulo Princess, the pride of Central Sulawesi.
Stay humble, okay.
And the team... Sister @donalnadjil @thrymakeup good luck... The real competition is fighting the fear of defeat.
Thank you for finding out and showing that BROTHERS CAN AND CAN...
SULTENG IS PROUD OF YOU</v>
      </c>
      <c r="J204" s="6" t="str">
        <f>IFERROR(__xludf.DUMMYFUNCTION("GOOGLETRANSLATE(I204, ""en"", ""id"")"),"Aku hanya ingin mengatakan itu...
Saya bangga dengan @puttriamallia
Tetap rendah hati, saudara...
Tunjukkan pada Indonesia bahwa kamu mempunyai Mutiara Khatulistiwa...
Putri Pulo asli kebanggaan Sulawesi Tengah.
Tetap rendah hati, oke.
Dan tim... Kak @do"&amp;"nalnadjil @thrymakeup semoga sukses... Persaingan sesungguhnya adalah melawan rasa takut akan kekalahan.
Terima kasih sudah mengetahui dan menunjukkan bahwa SAUDARA BISA DAN BISA...
SULTENG BANGGA PADAMU")</f>
        <v>Aku hanya ingin mengatakan itu...
Saya bangga dengan @puttriamallia
Tetap rendah hati, saudara...
Tunjukkan pada Indonesia bahwa kamu mempunyai Mutiara Khatulistiwa...
Putri Pulo asli kebanggaan Sulawesi Tengah.
Tetap rendah hati, oke.
Dan tim... Kak @donalnadjil @thrymakeup semoga sukses... Persaingan sesungguhnya adalah melawan rasa takut akan kekalahan.
Terima kasih sudah mengetahui dan menunjukkan bahwa SAUDARA BISA DAN BISA...
SULTENG BANGGA PADAMU</v>
      </c>
      <c r="K204" s="6" t="str">
        <f>IFERROR(__xludf.DUMMYFUNCTION("GOOGLETRANSLATE(F204, ""id"", ""en"")"),"Just want to say...
I'M PROUD OF @puttriamallia
Stay humble bro...
Show Indonesia that you have the pearl of the equator...
The original Pulo princess, the pride of Central Sulawesi..
Stay humble okay..
And the team... sis @donalnadjil @thrymakeup good l"&amp;"uck... The real competition is fighting the fear of defeat.
Thank you for finding and showing that BROTHERS CAN AND ARE ABLE...
SULTENG IS PROUD OF YOU")</f>
        <v>Just want to say...
I'M PROUD OF @puttriamallia
Stay humble bro...
Show Indonesia that you have the pearl of the equator...
The original Pulo princess, the pride of Central Sulawesi..
Stay humble okay..
And the team... sis @donalnadjil @thrymakeup good luck... The real competition is fighting the fear of defeat.
Thank you for finding and showing that BROTHERS CAN AND ARE ABLE...
SULTENG IS PROUD OF YOU</v>
      </c>
      <c r="L204" s="6" t="s">
        <v>660</v>
      </c>
      <c r="M204" s="6" t="str">
        <f>IFERROR(__xludf.DUMMYFUNCTION("GOOGLETRANSLATE(L204, ""en"", ""de"")"),"Ich möchte nur sagen, dass...
Ich bin stolz auf @puttriamallia
Bleib bescheiden, Bruder...
Zeigen Sie Indonesien, dass Sie die Perle des Äquators haben ...
Die ursprüngliche Pulo-Prinzessin, der Stolz von Zentral-Sulawesi.
Bleib bescheiden, okay.
Und das"&amp;" Team... Schwester @donalnadjil @thrymakeup viel Glück... Die wahre Konkurrenz besteht im Kampf gegen die Angst vor einer Niederlage.
Vielen Dank, dass Sie herausgefunden und gezeigt haben, dass BRÜDER KÖNNEN UND KÖNNEN...
SULTENG IST STOLZ AUF SIE")</f>
        <v>Ich möchte nur sagen, dass...
Ich bin stolz auf @puttriamallia
Bleib bescheiden, Bruder...
Zeigen Sie Indonesien, dass Sie die Perle des Äquators haben ...
Die ursprüngliche Pulo-Prinzessin, der Stolz von Zentral-Sulawesi.
Bleib bescheiden, okay.
Und das Team... Schwester @donalnadjil @thrymakeup viel Glück... Die wahre Konkurrenz besteht im Kampf gegen die Angst vor einer Niederlage.
Vielen Dank, dass Sie herausgefunden und gezeigt haben, dass BRÜDER KÖNNEN UND KÖNNEN...
SULTENG IST STOLZ AUF SIE</v>
      </c>
      <c r="N204" s="6" t="s">
        <v>661</v>
      </c>
      <c r="O204" s="6" t="str">
        <f>IFERROR(__xludf.DUMMYFUNCTION("GOOGLETRANSLATE(N204, ""de"", ""id"")"),"Aku hanya ingin mengatakan itu...
Saya bangga dengan @puttriamallia
Tetap rendah hati, saudara...
Tunjukkan pada Indonesia bahwa kamu mempunyai Mutiara Khatulistiwa...
Putri Pulo asli kebanggaan Sulawesi Tengah.
Tetap rendah hati, oke.
Dan tim... Kak @do"&amp;"nalnadjil @thrymakeup semoga sukses... Persaingan sesungguhnya adalah melawan rasa takut akan kekalahan.
Terima kasih sudah mengetahui dan menunjukkan bahwa SAUDARA BISA DAN BISA...
SULTENG BANGGA PADAMU")</f>
        <v>Aku hanya ingin mengatakan itu...
Saya bangga dengan @puttriamallia
Tetap rendah hati, saudara...
Tunjukkan pada Indonesia bahwa kamu mempunyai Mutiara Khatulistiwa...
Putri Pulo asli kebanggaan Sulawesi Tengah.
Tetap rendah hati, oke.
Dan tim... Kak @donalnadjil @thrymakeup semoga sukses... Persaingan sesungguhnya adalah melawan rasa takut akan kekalahan.
Terima kasih sudah mengetahui dan menunjukkan bahwa SAUDARA BISA DAN BISA...
SULTENG BANGGA PADAMU</v>
      </c>
    </row>
    <row r="205">
      <c r="A205" s="1" t="s">
        <v>17</v>
      </c>
      <c r="B205" s="1" t="s">
        <v>613</v>
      </c>
      <c r="C205" s="1" t="s">
        <v>662</v>
      </c>
      <c r="D205" s="4" t="s">
        <v>658</v>
      </c>
      <c r="E205" s="1" t="s">
        <v>663</v>
      </c>
      <c r="F205" s="6" t="str">
        <f>IFERROR(__xludf.DUMMYFUNCTION("IFERROR(ARRAYFORMULA(REGEXREPLACE(E205, ""("" &amp; TEXTJOIN(""|"", TRUE, FILTER(Q205:Q220, E:E&lt;&gt;"""")) &amp; "")"", 
                     INDEX(R205:R220, MATCH(REGEXEXTRACT(E205:E965, ""("" &amp; TEXTJOIN(""|"", TRUE, FILTER(Q205:Q220, Q205:Q220&lt;&gt;"""")) &amp; "")""), Q"&amp;"205:Q220, 0)))), E205)"),"@anggaputra.mannanta kk angga 🥰🥰")</f>
        <v>@anggaputra.mannanta kk angga 🥰🥰</v>
      </c>
      <c r="G205" s="6" t="str">
        <f>IFERROR(__xludf.DUMMYFUNCTION("GOOGLETRANSLATE(F205, ""id"", ""de"")
"),"@anggaranputra.mannanta sis angga 🥰🥰")</f>
        <v>@anggaranputra.mannanta sis angga 🥰🥰</v>
      </c>
      <c r="H205" s="6" t="str">
        <f>IFERROR(__xludf.DUMMYFUNCTION("GOOGLETRANSLATE(G205, ""de"", ""id"")"),"@anggaranputra.mannanta kak angga 🥰🥰")</f>
        <v>@anggaranputra.mannanta kak angga 🥰🥰</v>
      </c>
      <c r="I205" s="6" t="str">
        <f>IFERROR(__xludf.DUMMYFUNCTION("GOOGLETRANSLATE(G205, ""de"", ""en"")"),"@anggaranputra.mannanta sis angga 🥰🥰")</f>
        <v>@anggaranputra.mannanta sis angga 🥰🥰</v>
      </c>
      <c r="J205" s="6" t="str">
        <f>IFERROR(__xludf.DUMMYFUNCTION("GOOGLETRANSLATE(I205, ""en"", ""id"")"),"@anggaranputra.mannanta kak angga 🥰🥰")</f>
        <v>@anggaranputra.mannanta kak angga 🥰🥰</v>
      </c>
      <c r="K205" s="6" t="str">
        <f>IFERROR(__xludf.DUMMYFUNCTION("GOOGLETRANSLATE(F205, ""id"", ""en"")"),"@anggaranputra.mannanta sis angga 🥰🥰")</f>
        <v>@anggaranputra.mannanta sis angga 🥰🥰</v>
      </c>
      <c r="L205" s="6" t="s">
        <v>664</v>
      </c>
      <c r="M205" s="6" t="str">
        <f>IFERROR(__xludf.DUMMYFUNCTION("GOOGLETRANSLATE(L205, ""en"", ""de"")"),"@anggaranputra.mannanta sis angga 🥰🥰")</f>
        <v>@anggaranputra.mannanta sis angga 🥰🥰</v>
      </c>
      <c r="N205" s="6" t="s">
        <v>664</v>
      </c>
      <c r="O205" s="6" t="str">
        <f>IFERROR(__xludf.DUMMYFUNCTION("GOOGLETRANSLATE(N205, ""de"", ""id"")"),"@anggaranputra.mannanta kak angga 🥰🥰")</f>
        <v>@anggaranputra.mannanta kak angga 🥰🥰</v>
      </c>
    </row>
    <row r="206">
      <c r="A206" s="1" t="s">
        <v>17</v>
      </c>
      <c r="B206" s="1" t="s">
        <v>613</v>
      </c>
      <c r="C206" s="1" t="s">
        <v>665</v>
      </c>
      <c r="D206" s="4" t="s">
        <v>658</v>
      </c>
      <c r="E206" s="1" t="s">
        <v>666</v>
      </c>
      <c r="F206" s="6" t="str">
        <f>IFERROR(__xludf.DUMMYFUNCTION("IFERROR(ARRAYFORMULA(REGEXREPLACE(E206, ""("" &amp; TEXTJOIN(""|"", TRUE, FILTER(Q206:Q221, E:E&lt;&gt;"""")) &amp; "")"", 
                     INDEX(R206:R221, MATCH(REGEXEXTRACT(E206:E965, ""("" &amp; TEXTJOIN(""|"", TRUE, FILTER(Q206:Q221, Q206:Q221&lt;&gt;"""")) &amp; "")""), Q"&amp;"206:Q221, 0)))), E206)"),"Jadi mewek 🥹🥹")</f>
        <v>Jadi mewek 🥹🥹</v>
      </c>
      <c r="G206" s="6" t="str">
        <f>IFERROR(__xludf.DUMMYFUNCTION("GOOGLETRANSLATE(F206, ""id"", ""de"")
"),"So miau 🥹🥹")</f>
        <v>So miau 🥹🥹</v>
      </c>
      <c r="H206" s="6" t="str">
        <f>IFERROR(__xludf.DUMMYFUNCTION("GOOGLETRANSLATE(G206, ""de"", ""id"")"),"Jadi mengeong 🥹🥹")</f>
        <v>Jadi mengeong 🥹🥹</v>
      </c>
      <c r="I206" s="6" t="str">
        <f>IFERROR(__xludf.DUMMYFUNCTION("GOOGLETRANSLATE(G206, ""de"", ""en"")"),"So meow 🥹🥹")</f>
        <v>So meow 🥹🥹</v>
      </c>
      <c r="J206" s="6" t="str">
        <f>IFERROR(__xludf.DUMMYFUNCTION("GOOGLETRANSLATE(I206, ""en"", ""id"")"),"Jadi mengeong 🥹🥹")</f>
        <v>Jadi mengeong 🥹🥹</v>
      </c>
      <c r="K206" s="6" t="str">
        <f>IFERROR(__xludf.DUMMYFUNCTION("GOOGLETRANSLATE(F206, ""id"", ""en"")"),"So mewek 🥹🥹")</f>
        <v>So mewek 🥹🥹</v>
      </c>
      <c r="L206" s="6" t="s">
        <v>667</v>
      </c>
      <c r="M206" s="6" t="str">
        <f>IFERROR(__xludf.DUMMYFUNCTION("GOOGLETRANSLATE(L206, ""en"", ""de"")"),"So miau 🥹🥹")</f>
        <v>So miau 🥹🥹</v>
      </c>
      <c r="N206" s="6" t="s">
        <v>668</v>
      </c>
      <c r="O206" s="6" t="str">
        <f>IFERROR(__xludf.DUMMYFUNCTION("GOOGLETRANSLATE(N206, ""de"", ""id"")"),"Jadi mengeong 🥹🥹")</f>
        <v>Jadi mengeong 🥹🥹</v>
      </c>
    </row>
    <row r="207">
      <c r="A207" s="1" t="s">
        <v>17</v>
      </c>
      <c r="B207" s="1" t="s">
        <v>613</v>
      </c>
      <c r="C207" s="1" t="s">
        <v>669</v>
      </c>
      <c r="D207" s="4" t="s">
        <v>658</v>
      </c>
      <c r="E207" s="1" t="s">
        <v>670</v>
      </c>
      <c r="F207" s="6" t="str">
        <f>IFERROR(__xludf.DUMMYFUNCTION("IFERROR(ARRAYFORMULA(REGEXREPLACE(E207, ""("" &amp; TEXTJOIN(""|"", TRUE, FILTER(Q207:Q222, E:E&lt;&gt;"""")) &amp; "")"", 
                     INDEX(R207:R222, MATCH(REGEXEXTRACT(E207:E965, ""("" &amp; TEXTJOIN(""|"", TRUE, FILTER(Q207:Q222, Q207:Q222&lt;&gt;"""")) &amp; "")""), Q"&amp;"207:Q222, 0)))), E207)"),"❤❤our putri😍")</f>
        <v>❤❤our putri😍</v>
      </c>
      <c r="G207" s="6" t="str">
        <f>IFERROR(__xludf.DUMMYFUNCTION("GOOGLETRANSLATE(F207, ""id"", ""de"")
"),"❤❤unsere Prinzessin😍")</f>
        <v>❤❤unsere Prinzessin😍</v>
      </c>
      <c r="H207" s="6" t="str">
        <f>IFERROR(__xludf.DUMMYFUNCTION("GOOGLETRANSLATE(G207, ""de"", ""id"")"),"❤❤putri kami😍")</f>
        <v>❤❤putri kami😍</v>
      </c>
      <c r="I207" s="6" t="str">
        <f>IFERROR(__xludf.DUMMYFUNCTION("GOOGLETRANSLATE(G207, ""de"", ""en"")"),"❤❤our princess😍")</f>
        <v>❤❤our princess😍</v>
      </c>
      <c r="J207" s="6" t="str">
        <f>IFERROR(__xludf.DUMMYFUNCTION("GOOGLETRANSLATE(I207, ""en"", ""id"")"),"❤❤putri kami😍")</f>
        <v>❤❤putri kami😍</v>
      </c>
      <c r="K207" s="6" t="str">
        <f>IFERROR(__xludf.DUMMYFUNCTION("GOOGLETRANSLATE(F207, ""id"", ""en"")"),"❤❤our princess😍")</f>
        <v>❤❤our princess😍</v>
      </c>
      <c r="L207" s="6" t="s">
        <v>671</v>
      </c>
      <c r="M207" s="6" t="str">
        <f>IFERROR(__xludf.DUMMYFUNCTION("GOOGLETRANSLATE(L207, ""en"", ""de"")"),"❤❤unsere Prinzessin😍")</f>
        <v>❤❤unsere Prinzessin😍</v>
      </c>
      <c r="N207" s="6" t="s">
        <v>672</v>
      </c>
      <c r="O207" s="6" t="str">
        <f>IFERROR(__xludf.DUMMYFUNCTION("GOOGLETRANSLATE(N207, ""de"", ""id"")"),"❤❤putri kami😍")</f>
        <v>❤❤putri kami😍</v>
      </c>
    </row>
    <row r="208">
      <c r="A208" s="1" t="s">
        <v>17</v>
      </c>
      <c r="B208" s="1" t="s">
        <v>613</v>
      </c>
      <c r="C208" s="1" t="s">
        <v>673</v>
      </c>
      <c r="D208" s="4" t="s">
        <v>658</v>
      </c>
      <c r="E208" s="1" t="s">
        <v>121</v>
      </c>
      <c r="F208" s="6" t="str">
        <f>IFERROR(__xludf.DUMMYFUNCTION("IFERROR(ARRAYFORMULA(REGEXREPLACE(E208, ""("" &amp; TEXTJOIN(""|"", TRUE, FILTER(Q208:Q223, E:E&lt;&gt;"""")) &amp; "")"", 
                     INDEX(R208:R223, MATCH(REGEXEXTRACT(E208:E965, ""("" &amp; TEXTJOIN(""|"", TRUE, FILTER(Q208:Q223, Q208:Q223&lt;&gt;"""")) &amp; "")""), Q"&amp;"208:Q223, 0)))), E208)"),"😍😍")</f>
        <v>😍😍</v>
      </c>
      <c r="G208" s="6" t="str">
        <f>IFERROR(__xludf.DUMMYFUNCTION("GOOGLETRANSLATE(F208, ""id"", ""de"")
"),"😍😍")</f>
        <v>😍😍</v>
      </c>
      <c r="H208" s="6" t="str">
        <f>IFERROR(__xludf.DUMMYFUNCTION("GOOGLETRANSLATE(G208, ""de"", ""id"")"),"😍😍")</f>
        <v>😍😍</v>
      </c>
      <c r="I208" s="6" t="str">
        <f>IFERROR(__xludf.DUMMYFUNCTION("GOOGLETRANSLATE(G208, ""de"", ""en"")"),"😍😍")</f>
        <v>😍😍</v>
      </c>
      <c r="J208" s="6" t="str">
        <f>IFERROR(__xludf.DUMMYFUNCTION("GOOGLETRANSLATE(I208, ""en"", ""id"")"),"😍😍")</f>
        <v>😍😍</v>
      </c>
      <c r="K208" s="6" t="str">
        <f>IFERROR(__xludf.DUMMYFUNCTION("GOOGLETRANSLATE(F208, ""id"", ""en"")"),"😍😍")</f>
        <v>😍😍</v>
      </c>
      <c r="L208" s="6" t="s">
        <v>121</v>
      </c>
      <c r="M208" s="6" t="str">
        <f>IFERROR(__xludf.DUMMYFUNCTION("GOOGLETRANSLATE(L208, ""en"", ""de"")"),"😍😍")</f>
        <v>😍😍</v>
      </c>
      <c r="N208" s="6" t="s">
        <v>121</v>
      </c>
      <c r="O208" s="6" t="str">
        <f>IFERROR(__xludf.DUMMYFUNCTION("GOOGLETRANSLATE(N208, ""de"", ""id"")"),"😍😍")</f>
        <v>😍😍</v>
      </c>
    </row>
    <row r="209">
      <c r="A209" s="1" t="s">
        <v>17</v>
      </c>
      <c r="B209" s="1" t="s">
        <v>613</v>
      </c>
      <c r="C209" s="1" t="s">
        <v>674</v>
      </c>
      <c r="D209" s="4" t="s">
        <v>658</v>
      </c>
      <c r="E209" s="1" t="s">
        <v>294</v>
      </c>
      <c r="F209" s="6" t="str">
        <f>IFERROR(__xludf.DUMMYFUNCTION("IFERROR(ARRAYFORMULA(REGEXREPLACE(E209, ""("" &amp; TEXTJOIN(""|"", TRUE, FILTER(Q209:Q224, E:E&lt;&gt;"""")) &amp; "")"", 
                     INDEX(R209:R224, MATCH(REGEXEXTRACT(E209:E965, ""("" &amp; TEXTJOIN(""|"", TRUE, FILTER(Q209:Q224, Q209:Q224&lt;&gt;"""")) &amp; "")""), Q"&amp;"209:Q224, 0)))), E209)"),"❤️❤️❤️")</f>
        <v>❤️❤️❤️</v>
      </c>
      <c r="G209" s="6" t="str">
        <f>IFERROR(__xludf.DUMMYFUNCTION("GOOGLETRANSLATE(F209, ""id"", ""de"")
"),"❤️❤️❤️")</f>
        <v>❤️❤️❤️</v>
      </c>
      <c r="H209" s="6" t="str">
        <f>IFERROR(__xludf.DUMMYFUNCTION("GOOGLETRANSLATE(G209, ""de"", ""id"")"),"❤️❤️❤️")</f>
        <v>❤️❤️❤️</v>
      </c>
      <c r="I209" s="6" t="str">
        <f>IFERROR(__xludf.DUMMYFUNCTION("GOOGLETRANSLATE(G209, ""de"", ""en"")"),"❤️❤️❤️")</f>
        <v>❤️❤️❤️</v>
      </c>
      <c r="J209" s="6" t="str">
        <f>IFERROR(__xludf.DUMMYFUNCTION("GOOGLETRANSLATE(I209, ""en"", ""id"")"),"❤️❤️❤️")</f>
        <v>❤️❤️❤️</v>
      </c>
      <c r="K209" s="6" t="str">
        <f>IFERROR(__xludf.DUMMYFUNCTION("GOOGLETRANSLATE(F209, ""id"", ""en"")"),"❤️❤️❤️")</f>
        <v>❤️❤️❤️</v>
      </c>
      <c r="L209" s="6" t="s">
        <v>294</v>
      </c>
      <c r="M209" s="6" t="str">
        <f>IFERROR(__xludf.DUMMYFUNCTION("GOOGLETRANSLATE(L209, ""en"", ""de"")"),"❤️❤️❤️")</f>
        <v>❤️❤️❤️</v>
      </c>
      <c r="N209" s="6" t="s">
        <v>294</v>
      </c>
      <c r="O209" s="6" t="str">
        <f>IFERROR(__xludf.DUMMYFUNCTION("GOOGLETRANSLATE(N209, ""de"", ""id"")"),"❤️❤️❤️")</f>
        <v>❤️❤️❤️</v>
      </c>
    </row>
    <row r="210">
      <c r="A210" s="1" t="s">
        <v>17</v>
      </c>
      <c r="B210" s="1" t="s">
        <v>613</v>
      </c>
      <c r="C210" s="1" t="s">
        <v>675</v>
      </c>
      <c r="D210" s="4" t="s">
        <v>658</v>
      </c>
      <c r="E210" s="1" t="s">
        <v>676</v>
      </c>
      <c r="F210" s="6" t="str">
        <f>IFERROR(__xludf.DUMMYFUNCTION("IFERROR(ARRAYFORMULA(REGEXREPLACE(E210, ""("" &amp; TEXTJOIN(""|"", TRUE, FILTER(Q210:Q225, E:E&lt;&gt;"""")) &amp; "")"", 
                     INDEX(R210:R225, MATCH(REGEXEXTRACT(E210:E965, ""("" &amp; TEXTJOIN(""|"", TRUE, FILTER(Q210:Q225, Q210:Q225&lt;&gt;"""")) &amp; "")""), Q"&amp;"210:Q225, 0)))), E210)"),"Semangat cantik☺️")</f>
        <v>Semangat cantik☺️</v>
      </c>
      <c r="G210" s="6" t="str">
        <f>IFERROR(__xludf.DUMMYFUNCTION("GOOGLETRANSLATE(F210, ""id"", ""de"")
"),"Wunderschöner Geist☺️")</f>
        <v>Wunderschöner Geist☺️</v>
      </c>
      <c r="H210" s="6" t="str">
        <f>IFERROR(__xludf.DUMMYFUNCTION("GOOGLETRANSLATE(G210, ""de"", ""id"")"),"Semangat yang indah☺️")</f>
        <v>Semangat yang indah☺️</v>
      </c>
      <c r="I210" s="6" t="str">
        <f>IFERROR(__xludf.DUMMYFUNCTION("GOOGLETRANSLATE(G210, ""de"", ""en"")"),"Beautiful spirit☺️")</f>
        <v>Beautiful spirit☺️</v>
      </c>
      <c r="J210" s="6" t="str">
        <f>IFERROR(__xludf.DUMMYFUNCTION("GOOGLETRANSLATE(I210, ""en"", ""id"")"),"Semangat yang indah☺️")</f>
        <v>Semangat yang indah☺️</v>
      </c>
      <c r="K210" s="6" t="str">
        <f>IFERROR(__xludf.DUMMYFUNCTION("GOOGLETRANSLATE(F210, ""id"", ""en"")"),"Beautiful spirit☺️")</f>
        <v>Beautiful spirit☺️</v>
      </c>
      <c r="L210" s="6" t="s">
        <v>677</v>
      </c>
      <c r="M210" s="6" t="str">
        <f>IFERROR(__xludf.DUMMYFUNCTION("GOOGLETRANSLATE(L210, ""en"", ""de"")"),"Wunderschöner Geist☺️")</f>
        <v>Wunderschöner Geist☺️</v>
      </c>
      <c r="N210" s="6" t="s">
        <v>678</v>
      </c>
      <c r="O210" s="6" t="str">
        <f>IFERROR(__xludf.DUMMYFUNCTION("GOOGLETRANSLATE(N210, ""de"", ""id"")"),"Semangat yang indah☺️")</f>
        <v>Semangat yang indah☺️</v>
      </c>
    </row>
    <row r="211">
      <c r="A211" s="1" t="s">
        <v>17</v>
      </c>
      <c r="B211" s="1" t="s">
        <v>613</v>
      </c>
      <c r="C211" s="1" t="s">
        <v>679</v>
      </c>
      <c r="D211" s="4" t="s">
        <v>658</v>
      </c>
      <c r="E211" s="1" t="s">
        <v>680</v>
      </c>
      <c r="F211" s="6" t="str">
        <f>IFERROR(__xludf.DUMMYFUNCTION("IFERROR(ARRAYFORMULA(REGEXREPLACE(E211, ""("" &amp; TEXTJOIN(""|"", TRUE, FILTER(Q211:Q226, E:E&lt;&gt;"""")) &amp; "")"", 
                     INDEX(R211:R226, MATCH(REGEXEXTRACT(E211:E965, ""("" &amp; TEXTJOIN(""|"", TRUE, FILTER(Q211:Q226, Q211:Q226&lt;&gt;"""")) &amp; "")""), Q"&amp;"211:Q226, 0)))), E211)"),"🔥🔥🔥🔥🔥🔥")</f>
        <v>🔥🔥🔥🔥🔥🔥</v>
      </c>
      <c r="G211" s="6" t="str">
        <f>IFERROR(__xludf.DUMMYFUNCTION("GOOGLETRANSLATE(F211, ""id"", ""de"")
"),"🔥🔥🔥🔥🔥🔥")</f>
        <v>🔥🔥🔥🔥🔥🔥</v>
      </c>
      <c r="H211" s="6" t="str">
        <f>IFERROR(__xludf.DUMMYFUNCTION("GOOGLETRANSLATE(G211, ""de"", ""id"")"),"🔥🔥🔥🔥🔥🔥")</f>
        <v>🔥🔥🔥🔥🔥🔥</v>
      </c>
      <c r="I211" s="6" t="str">
        <f>IFERROR(__xludf.DUMMYFUNCTION("GOOGLETRANSLATE(G211, ""de"", ""en"")"),"🔥🔥🔥🔥🔥🔥")</f>
        <v>🔥🔥🔥🔥🔥🔥</v>
      </c>
      <c r="J211" s="6" t="str">
        <f>IFERROR(__xludf.DUMMYFUNCTION("GOOGLETRANSLATE(I211, ""en"", ""id"")"),"🔥🔥🔥🔥🔥🔥")</f>
        <v>🔥🔥🔥🔥🔥🔥</v>
      </c>
      <c r="K211" s="6" t="str">
        <f>IFERROR(__xludf.DUMMYFUNCTION("GOOGLETRANSLATE(F211, ""id"", ""en"")"),"🔥🔥🔥🔥🔥🔥")</f>
        <v>🔥🔥🔥🔥🔥🔥</v>
      </c>
      <c r="L211" s="6" t="s">
        <v>680</v>
      </c>
      <c r="M211" s="6" t="str">
        <f>IFERROR(__xludf.DUMMYFUNCTION("GOOGLETRANSLATE(L211, ""en"", ""de"")"),"🔥🔥🔥🔥🔥🔥")</f>
        <v>🔥🔥🔥🔥🔥🔥</v>
      </c>
      <c r="N211" s="6" t="s">
        <v>680</v>
      </c>
      <c r="O211" s="6" t="str">
        <f>IFERROR(__xludf.DUMMYFUNCTION("GOOGLETRANSLATE(N211, ""de"", ""id"")"),"🔥🔥🔥🔥🔥🔥")</f>
        <v>🔥🔥🔥🔥🔥🔥</v>
      </c>
    </row>
    <row r="212">
      <c r="A212" s="1" t="s">
        <v>17</v>
      </c>
      <c r="B212" s="1" t="s">
        <v>613</v>
      </c>
      <c r="C212" s="1" t="s">
        <v>681</v>
      </c>
      <c r="D212" s="4" t="s">
        <v>658</v>
      </c>
      <c r="E212" s="1" t="s">
        <v>681</v>
      </c>
      <c r="F212" s="6" t="str">
        <f>IFERROR(__xludf.DUMMYFUNCTION("IFERROR(ARRAYFORMULA(REGEXREPLACE(E212, ""("" &amp; TEXTJOIN(""|"", TRUE, FILTER(Q212:Q227, E:E&lt;&gt;"""")) &amp; "")"", 
                     INDEX(R212:R227, MATCH(REGEXEXTRACT(E212:E965, ""("" &amp; TEXTJOIN(""|"", TRUE, FILTER(Q212:Q227, Q212:Q227&lt;&gt;"""")) &amp; "")""), Q"&amp;"212:Q227, 0)))), E212)"),"❤️‍🔥❤️‍🔥")</f>
        <v>❤️‍🔥❤️‍🔥</v>
      </c>
      <c r="G212" s="6" t="str">
        <f>IFERROR(__xludf.DUMMYFUNCTION("GOOGLETRANSLATE(F212, ""id"", ""de"")
"),"❤️‍🔥❤️‍🔥")</f>
        <v>❤️‍🔥❤️‍🔥</v>
      </c>
      <c r="H212" s="6" t="str">
        <f>IFERROR(__xludf.DUMMYFUNCTION("GOOGLETRANSLATE(G212, ""de"", ""id"")"),"❤️‍🔥❤️‍🔥")</f>
        <v>❤️‍🔥❤️‍🔥</v>
      </c>
      <c r="I212" s="6" t="str">
        <f>IFERROR(__xludf.DUMMYFUNCTION("GOOGLETRANSLATE(G212, ""de"", ""en"")"),"❤️‍🔥❤️‍🔥")</f>
        <v>❤️‍🔥❤️‍🔥</v>
      </c>
      <c r="J212" s="6" t="str">
        <f>IFERROR(__xludf.DUMMYFUNCTION("GOOGLETRANSLATE(I212, ""en"", ""id"")"),"❤️‍🔥❤️‍🔥")</f>
        <v>❤️‍🔥❤️‍🔥</v>
      </c>
      <c r="K212" s="6" t="str">
        <f>IFERROR(__xludf.DUMMYFUNCTION("GOOGLETRANSLATE(F212, ""id"", ""en"")"),"❤️‍🔥❤️‍🔥")</f>
        <v>❤️‍🔥❤️‍🔥</v>
      </c>
      <c r="L212" s="6" t="s">
        <v>681</v>
      </c>
      <c r="M212" s="6" t="str">
        <f>IFERROR(__xludf.DUMMYFUNCTION("GOOGLETRANSLATE(L212, ""en"", ""de"")"),"❤️‍🔥❤️‍🔥")</f>
        <v>❤️‍🔥❤️‍🔥</v>
      </c>
      <c r="N212" s="6" t="s">
        <v>681</v>
      </c>
      <c r="O212" s="6" t="str">
        <f>IFERROR(__xludf.DUMMYFUNCTION("GOOGLETRANSLATE(N212, ""de"", ""id"")"),"❤️‍🔥❤️‍🔥")</f>
        <v>❤️‍🔥❤️‍🔥</v>
      </c>
    </row>
    <row r="213">
      <c r="A213" s="1" t="s">
        <v>17</v>
      </c>
      <c r="B213" s="1" t="s">
        <v>613</v>
      </c>
      <c r="C213" s="1" t="s">
        <v>682</v>
      </c>
      <c r="D213" s="4" t="s">
        <v>658</v>
      </c>
      <c r="E213" s="1" t="s">
        <v>683</v>
      </c>
      <c r="F213" s="6" t="str">
        <f>IFERROR(__xludf.DUMMYFUNCTION("IFERROR(ARRAYFORMULA(REGEXREPLACE(E213, ""("" &amp; TEXTJOIN(""|"", TRUE, FILTER(Q213:Q228, E:E&lt;&gt;"""")) &amp; "")"", 
                     INDEX(R213:R228, MATCH(REGEXEXTRACT(E213:E965, ""("" &amp; TEXTJOIN(""|"", TRUE, FILTER(Q213:Q228, Q213:Q228&lt;&gt;"""")) &amp; "")""), Q"&amp;"213:Q228, 0)))), E213)"),"@officialputeriindonesia @angkasamega @januarcees @kelanalimster @farhanariswari .. Keren bnget pi sulteng... Tahun depan usahakan pilih yg bener2 asli Puteri daerah seperti ini karena tahu persis kondisi Provinsi nya... Semngat... YPI and team 🔥🔥🔥")</f>
        <v>@officialputeriindonesia @angkasamega @januarcees @kelanalimster @farhanariswari .. Keren bnget pi sulteng... Tahun depan usahakan pilih yg bener2 asli Puteri daerah seperti ini karena tahu persis kondisi Provinsi nya... Semngat... YPI and team 🔥🔥🔥</v>
      </c>
      <c r="G213" s="6" t="str">
        <f>IFERROR(__xludf.DUMMYFUNCTION("GOOGLETRANSLATE(F213, ""id"", ""de"")
"),"@officialputeriindonesia @angkasamega @januarcees @kelanalimster @farhanariswari .. So cool in Zentral-Sulawesi... Versuchen Sie nächstes Jahr, einen wirklich authentischen regionalen Puteri wie diesen auszuwählen, weil Sie den Zustand der Provinz genau k"&amp;"ennen... Prost... YPI und Team 🔥🔥🔥")</f>
        <v>@officialputeriindonesia @angkasamega @januarcees @kelanalimster @farhanariswari .. So cool in Zentral-Sulawesi... Versuchen Sie nächstes Jahr, einen wirklich authentischen regionalen Puteri wie diesen auszuwählen, weil Sie den Zustand der Provinz genau kennen... Prost... YPI und Team 🔥🔥🔥</v>
      </c>
      <c r="H213" s="6" t="str">
        <f>IFERROR(__xludf.DUMMYFUNCTION("GOOGLETRANSLATE(G213, ""de"", ""id"")"),"@officialputeriindonesia @angkasamega @januarcees @kelanalimster @farhanariswari .. Keren banget di Sulawesi Tengah... Tahun depan usahakan pilih puteri daerah yang autentik banget seperti ini karena sudah tahu betul keadaan provinsinya... Cheers... YPI d"&amp;"an tim 🔥🔥🔥")</f>
        <v>@officialputeriindonesia @angkasamega @januarcees @kelanalimster @farhanariswari .. Keren banget di Sulawesi Tengah... Tahun depan usahakan pilih puteri daerah yang autentik banget seperti ini karena sudah tahu betul keadaan provinsinya... Cheers... YPI dan tim 🔥🔥🔥</v>
      </c>
      <c r="I213" s="6" t="str">
        <f>IFERROR(__xludf.DUMMYFUNCTION("GOOGLETRANSLATE(G213, ""de"", ""en"")"),"@officialputeriindonesia @angkasamega @januarcees @kelanalimster @farhanariswari .. So cool in Central Sulawesi... Next year, try to choose a really authentic regional puteri like this because you know the state of the province well... Cheers... YPI and t"&amp;"eam 🔥🔥🔥")</f>
        <v>@officialputeriindonesia @angkasamega @januarcees @kelanalimster @farhanariswari .. So cool in Central Sulawesi... Next year, try to choose a really authentic regional puteri like this because you know the state of the province well... Cheers... YPI and team 🔥🔥🔥</v>
      </c>
      <c r="J213" s="6" t="str">
        <f>IFERROR(__xludf.DUMMYFUNCTION("GOOGLETRANSLATE(I213, ""en"", ""id"")"),"@officialputeriindonesia @angkasamega @januarcees @kelanalimster @farhanariswari .. Keren banget di Sulawesi Tengah... Tahun depan usahakan pilih puteri daerah yang autentik banget seperti ini karena sudah tahu betul keadaan provinsinya... Cheers... YPI d"&amp;"an tim 🔥🔥🔥")</f>
        <v>@officialputeriindonesia @angkasamega @januarcees @kelanalimster @farhanariswari .. Keren banget di Sulawesi Tengah... Tahun depan usahakan pilih puteri daerah yang autentik banget seperti ini karena sudah tahu betul keadaan provinsinya... Cheers... YPI dan tim 🔥🔥🔥</v>
      </c>
      <c r="K213" s="6" t="str">
        <f>IFERROR(__xludf.DUMMYFUNCTION("GOOGLETRANSLATE(F213, ""id"", ""en"")"),"@officialputeriindonesia @angkasamega @januarcees @kelanalimster @farhanariswari .. So cool in Central Sulawesi... Next year try to choose a truly genuine regional Puteri like this because you know exactly the condition of the Province... Cheers... YPI an"&amp;"d team 🔥🔥🔥")</f>
        <v>@officialputeriindonesia @angkasamega @januarcees @kelanalimster @farhanariswari .. So cool in Central Sulawesi... Next year try to choose a truly genuine regional Puteri like this because you know exactly the condition of the Province... Cheers... YPI and team 🔥🔥🔥</v>
      </c>
      <c r="L213" s="6" t="s">
        <v>684</v>
      </c>
      <c r="M213" s="6" t="str">
        <f>IFERROR(__xludf.DUMMYFUNCTION("GOOGLETRANSLATE(L213, ""en"", ""de"")"),"@officialputeriindonesia @angkasamega @januarcees @kelanalimster @farhanariswari .. So cool in Zentral-Sulawesi... Versuchen Sie nächstes Jahr, einen echten regionalen Puteri wie diesen auszuwählen, weil Sie den Zustand der Provinz genau kennen... Prost.."&amp;". YPI und Team 🔥🔥🔥")</f>
        <v>@officialputeriindonesia @angkasamega @januarcees @kelanalimster @farhanariswari .. So cool in Zentral-Sulawesi... Versuchen Sie nächstes Jahr, einen echten regionalen Puteri wie diesen auszuwählen, weil Sie den Zustand der Provinz genau kennen... Prost... YPI und Team 🔥🔥🔥</v>
      </c>
      <c r="N213" s="6" t="s">
        <v>685</v>
      </c>
      <c r="O213" s="6" t="str">
        <f>IFERROR(__xludf.DUMMYFUNCTION("GOOGLETRANSLATE(N213, ""de"", ""id"")"),"@officialputeriindonesia @angkasamega @januarcees @kelanalimster @farhanariswari .. Keren banget di Sulawesi Tengah... Tahun depan coba pilih Puteri daerah asli seperti ini karena kalian tahu betul keadaan provinsinya... Cheers... YPI dan tim 🔥🔥🔥")</f>
        <v>@officialputeriindonesia @angkasamega @januarcees @kelanalimster @farhanariswari .. Keren banget di Sulawesi Tengah... Tahun depan coba pilih Puteri daerah asli seperti ini karena kalian tahu betul keadaan provinsinya... Cheers... YPI dan tim 🔥🔥🔥</v>
      </c>
    </row>
    <row r="214">
      <c r="A214" s="1" t="s">
        <v>17</v>
      </c>
      <c r="B214" s="1" t="s">
        <v>613</v>
      </c>
      <c r="C214" s="1" t="s">
        <v>686</v>
      </c>
      <c r="D214" s="4" t="s">
        <v>658</v>
      </c>
      <c r="E214" s="1" t="s">
        <v>687</v>
      </c>
      <c r="F214" s="6" t="str">
        <f>IFERROR(__xludf.DUMMYFUNCTION("IFERROR(ARRAYFORMULA(REGEXREPLACE(E214, ""("" &amp; TEXTJOIN(""|"", TRUE, FILTER(Q214:Q229, E:E&lt;&gt;"""")) &amp; "")"", 
                     INDEX(R214:R229, MATCH(REGEXEXTRACT(E214:E965, ""("" &amp; TEXTJOIN(""|"", TRUE, FILTER(Q214:Q229, Q214:Q229&lt;&gt;"""")) &amp; "")""), Q"&amp;"214:Q229, 0)))), E214)"),"Pak @prabowo @prabowo.gibran2 @gibran_rakabuming. Kalau naik jgn lupa ya pak untuk tempat ini sapatau bisa d bantu untuk rumah program rumah terapung")</f>
        <v>Pak @prabowo @prabowo.gibran2 @gibran_rakabuming. Kalau naik jgn lupa ya pak untuk tempat ini sapatau bisa d bantu untuk rumah program rumah terapung</v>
      </c>
      <c r="G214" s="6" t="str">
        <f>IFERROR(__xludf.DUMMYFUNCTION("GOOGLETRANSLATE(F214, ""id"", ""de"")
"),"Sir @prabowo @prabowo.gibran2 @gibran_rakabuming. Wenn Sie nach oben gehen, vergessen Sie nicht, Sir, dass Sie für diesen Ort beim Floating-House-Programm helfen können")</f>
        <v>Sir @prabowo @prabowo.gibran2 @gibran_rakabuming. Wenn Sie nach oben gehen, vergessen Sie nicht, Sir, dass Sie für diesen Ort beim Floating-House-Programm helfen können</v>
      </c>
      <c r="H214" s="6" t="str">
        <f>IFERROR(__xludf.DUMMYFUNCTION("GOOGLETRANSLATE(G214, ""de"", ""id"")"),"Pak @prabowo @prabowo.gibran2 @gibran_rakabuming. Kalau naik jangan lupa pak, bisa bantu program rumah apung untuk tempat ini")</f>
        <v>Pak @prabowo @prabowo.gibran2 @gibran_rakabuming. Kalau naik jangan lupa pak, bisa bantu program rumah apung untuk tempat ini</v>
      </c>
      <c r="I214" s="6" t="str">
        <f>IFERROR(__xludf.DUMMYFUNCTION("GOOGLETRANSLATE(G214, ""de"", ""en"")"),"Sir @prabowo @prabowo.gibran2 @gibran_rakabuming. When you go up, don't forget, sir, that you can help with the floating house program for this place")</f>
        <v>Sir @prabowo @prabowo.gibran2 @gibran_rakabuming. When you go up, don't forget, sir, that you can help with the floating house program for this place</v>
      </c>
      <c r="J214" s="6" t="str">
        <f>IFERROR(__xludf.DUMMYFUNCTION("GOOGLETRANSLATE(I214, ""en"", ""id"")"),"Pak @prabowo @prabowo.gibran2 @gibran_rakabuming. Kalau naik jangan lupa pak, bisa bantu program rumah apung untuk tempat ini")</f>
        <v>Pak @prabowo @prabowo.gibran2 @gibran_rakabuming. Kalau naik jangan lupa pak, bisa bantu program rumah apung untuk tempat ini</v>
      </c>
      <c r="K214" s="6" t="str">
        <f>IFERROR(__xludf.DUMMYFUNCTION("GOOGLETRANSLATE(F214, ""id"", ""en"")"),"Sir @prabowo @prabowo.gibran2 @gibran_rakabuming. If you go up, don't forget, sir, for this place you can help with the floating house program")</f>
        <v>Sir @prabowo @prabowo.gibran2 @gibran_rakabuming. If you go up, don't forget, sir, for this place you can help with the floating house program</v>
      </c>
      <c r="L214" s="6" t="s">
        <v>688</v>
      </c>
      <c r="M214" s="6" t="str">
        <f>IFERROR(__xludf.DUMMYFUNCTION("GOOGLETRANSLATE(L214, ""en"", ""de"")"),"Sir @prabowo @prabowo.gibran2 @gibran_rakabuming. Wenn Sie nach oben gehen, vergessen Sie nicht, Sir, dass Sie für diesen Ort beim Floating-House-Programm helfen können")</f>
        <v>Sir @prabowo @prabowo.gibran2 @gibran_rakabuming. Wenn Sie nach oben gehen, vergessen Sie nicht, Sir, dass Sie für diesen Ort beim Floating-House-Programm helfen können</v>
      </c>
      <c r="N214" s="6" t="s">
        <v>689</v>
      </c>
      <c r="O214" s="6" t="str">
        <f>IFERROR(__xludf.DUMMYFUNCTION("GOOGLETRANSLATE(N214, ""de"", ""id"")"),"Pak @prabowo @prabowo.gibran2 @gibran_rakabuming. Kalau naik jangan lupa pak, bisa bantu program rumah apung untuk tempat ini")</f>
        <v>Pak @prabowo @prabowo.gibran2 @gibran_rakabuming. Kalau naik jangan lupa pak, bisa bantu program rumah apung untuk tempat ini</v>
      </c>
    </row>
    <row r="215">
      <c r="A215" s="1" t="s">
        <v>17</v>
      </c>
      <c r="B215" s="1" t="s">
        <v>613</v>
      </c>
      <c r="C215" s="1" t="s">
        <v>690</v>
      </c>
      <c r="D215" s="4" t="s">
        <v>691</v>
      </c>
      <c r="E215" s="1" t="s">
        <v>692</v>
      </c>
      <c r="F215" s="6" t="str">
        <f>IFERROR(__xludf.DUMMYFUNCTION("IFERROR(ARRAYFORMULA(REGEXREPLACE(E215, ""("" &amp; TEXTJOIN(""|"", TRUE, FILTER(Q215:Q230, E:E&lt;&gt;"""")) &amp; "")"", 
                     INDEX(R215:R230, MATCH(REGEXEXTRACT(E215:E965, ""("" &amp; TEXTJOIN(""|"", TRUE, FILTER(Q215:Q230, Q215:Q230&lt;&gt;"""")) &amp; "")""), Q"&amp;"215:Q230, 0)))), E215)"),"Terimakasih abangabang🙏🏾")</f>
        <v>Terimakasih abangabang🙏🏾</v>
      </c>
      <c r="G215" s="6" t="str">
        <f>IFERROR(__xludf.DUMMYFUNCTION("GOOGLETRANSLATE(F215, ""id"", ""de"")
"),"Danke Bruder🙏🏾")</f>
        <v>Danke Bruder🙏🏾</v>
      </c>
      <c r="H215" s="6" t="str">
        <f>IFERROR(__xludf.DUMMYFUNCTION("GOOGLETRANSLATE(G215, ""de"", ""id"")"),"Terima kasih saudara🙏🏾")</f>
        <v>Terima kasih saudara🙏🏾</v>
      </c>
      <c r="I215" s="6" t="str">
        <f>IFERROR(__xludf.DUMMYFUNCTION("GOOGLETRANSLATE(G215, ""de"", ""en"")"),"Thanks brother🙏🏾")</f>
        <v>Thanks brother🙏🏾</v>
      </c>
      <c r="J215" s="6" t="str">
        <f>IFERROR(__xludf.DUMMYFUNCTION("GOOGLETRANSLATE(I215, ""en"", ""id"")"),"Terima kasih saudara🙏🏾")</f>
        <v>Terima kasih saudara🙏🏾</v>
      </c>
      <c r="K215" s="6" t="str">
        <f>IFERROR(__xludf.DUMMYFUNCTION("GOOGLETRANSLATE(F215, ""id"", ""en"")"),"Thank you brother🙏🏾")</f>
        <v>Thank you brother🙏🏾</v>
      </c>
      <c r="L215" s="6" t="s">
        <v>693</v>
      </c>
      <c r="M215" s="6" t="str">
        <f>IFERROR(__xludf.DUMMYFUNCTION("GOOGLETRANSLATE(L215, ""en"", ""de"")"),"Danke Bruder🙏🏾")</f>
        <v>Danke Bruder🙏🏾</v>
      </c>
      <c r="N215" s="6" t="s">
        <v>694</v>
      </c>
      <c r="O215" s="6" t="str">
        <f>IFERROR(__xludf.DUMMYFUNCTION("GOOGLETRANSLATE(N215, ""de"", ""id"")"),"Terima kasih saudara🙏🏾")</f>
        <v>Terima kasih saudara🙏🏾</v>
      </c>
    </row>
    <row r="216">
      <c r="A216" s="1" t="s">
        <v>17</v>
      </c>
      <c r="B216" s="1" t="s">
        <v>613</v>
      </c>
      <c r="C216" s="1" t="s">
        <v>695</v>
      </c>
      <c r="D216" s="4" t="s">
        <v>691</v>
      </c>
      <c r="E216" s="1" t="s">
        <v>696</v>
      </c>
      <c r="F216" s="6" t="str">
        <f>IFERROR(__xludf.DUMMYFUNCTION("IFERROR(ARRAYFORMULA(REGEXREPLACE(E216, ""("" &amp; TEXTJOIN(""|"", TRUE, FILTER(Q216:Q231, E:E&lt;&gt;"""")) &amp; "")"", 
                     INDEX(R216:R231, MATCH(REGEXEXTRACT(E216:E965, ""("" &amp; TEXTJOIN(""|"", TRUE, FILTER(Q216:Q231, Q216:Q231&lt;&gt;"""")) &amp; "")""), Q"&amp;"216:Q231, 0)))), E216)"),"@ichsandahcoow aamiin.. gaskeun")</f>
        <v>@ichsandahcoow aamiin.. gaskeun</v>
      </c>
      <c r="G216" s="6" t="str">
        <f>IFERROR(__xludf.DUMMYFUNCTION("GOOGLETRANSLATE(F216, ""id"", ""de"")
"),"@ichsandahcoow amen.. gaskeun")</f>
        <v>@ichsandahcoow amen.. gaskeun</v>
      </c>
      <c r="H216" s="6" t="str">
        <f>IFERROR(__xludf.DUMMYFUNCTION("GOOGLETRANSLATE(G216, ""de"", ""id"")"),"@ichsandahcoow amin.. gaskeun")</f>
        <v>@ichsandahcoow amin.. gaskeun</v>
      </c>
      <c r="I216" s="6" t="str">
        <f>IFERROR(__xludf.DUMMYFUNCTION("GOOGLETRANSLATE(G216, ""de"", ""en"")"),"@ichsandahcoow amen.. gaskeun")</f>
        <v>@ichsandahcoow amen.. gaskeun</v>
      </c>
      <c r="J216" s="6" t="str">
        <f>IFERROR(__xludf.DUMMYFUNCTION("GOOGLETRANSLATE(I216, ""en"", ""id"")"),"@ichsandahcoow amin.. gaskeun")</f>
        <v>@ichsandahcoow amin.. gaskeun</v>
      </c>
      <c r="K216" s="6" t="str">
        <f>IFERROR(__xludf.DUMMYFUNCTION("GOOGLETRANSLATE(F216, ""id"", ""en"")"),"@ichsandahcoow amen.. gaskeun")</f>
        <v>@ichsandahcoow amen.. gaskeun</v>
      </c>
      <c r="L216" s="6" t="s">
        <v>697</v>
      </c>
      <c r="M216" s="6" t="str">
        <f>IFERROR(__xludf.DUMMYFUNCTION("GOOGLETRANSLATE(L216, ""en"", ""de"")"),"@ichsandahcoow amen.. gaskeun")</f>
        <v>@ichsandahcoow amen.. gaskeun</v>
      </c>
      <c r="N216" s="6" t="s">
        <v>697</v>
      </c>
      <c r="O216" s="6" t="str">
        <f>IFERROR(__xludf.DUMMYFUNCTION("GOOGLETRANSLATE(N216, ""de"", ""id"")"),"@ichsandahcoow amin.. gaskeun")</f>
        <v>@ichsandahcoow amin.. gaskeun</v>
      </c>
    </row>
    <row r="217">
      <c r="A217" s="1" t="s">
        <v>17</v>
      </c>
      <c r="B217" s="1" t="s">
        <v>613</v>
      </c>
      <c r="C217" s="1" t="s">
        <v>698</v>
      </c>
      <c r="D217" s="4" t="s">
        <v>691</v>
      </c>
      <c r="E217" s="1" t="s">
        <v>699</v>
      </c>
      <c r="F217" s="6" t="str">
        <f>IFERROR(__xludf.DUMMYFUNCTION("IFERROR(ARRAYFORMULA(REGEXREPLACE(E217, ""("" &amp; TEXTJOIN(""|"", TRUE, FILTER(Q217:Q232, E:E&lt;&gt;"""")) &amp; "")"", 
                     INDEX(R217:R232, MATCH(REGEXEXTRACT(E217:E965, ""("" &amp; TEXTJOIN(""|"", TRUE, FILTER(Q217:Q232, Q217:Q232&lt;&gt;"""")) &amp; "")""), Q"&amp;"217:Q232, 0)))), E217)"),"@ichsandahcoow Batu lobang belum nih.. Yuk diulang... 🥰🥰")</f>
        <v>@ichsandahcoow Batu lobang belum nih.. Yuk diulang... 🥰🥰</v>
      </c>
      <c r="G217" s="6" t="str">
        <f>IFERROR(__xludf.DUMMYFUNCTION("GOOGLETRANSLATE(F217, ""id"", ""de"")
"),"@ichsandahcoow Noch nicht im Loch.. Lass es uns noch einmal machen... 🥰🥰")</f>
        <v>@ichsandahcoow Noch nicht im Loch.. Lass es uns noch einmal machen... 🥰🥰</v>
      </c>
      <c r="H217" s="6" t="str">
        <f>IFERROR(__xludf.DUMMYFUNCTION("GOOGLETRANSLATE(G217, ""de"", ""id"")"),"@ichsandahcoow Belum masuk lubang.. Ayo kita lakukan lagi... 🥰🥰")</f>
        <v>@ichsandahcoow Belum masuk lubang.. Ayo kita lakukan lagi... 🥰🥰</v>
      </c>
      <c r="I217" s="6" t="str">
        <f>IFERROR(__xludf.DUMMYFUNCTION("GOOGLETRANSLATE(G217, ""de"", ""en"")"),"@ichsandahcoow Not in the hole yet.. Let's do it again... 🥰🥰")</f>
        <v>@ichsandahcoow Not in the hole yet.. Let's do it again... 🥰🥰</v>
      </c>
      <c r="J217" s="6" t="str">
        <f>IFERROR(__xludf.DUMMYFUNCTION("GOOGLETRANSLATE(I217, ""en"", ""id"")"),"@ichsandahcoow Belum masuk lubang.. Ayo kita lakukan lagi... 🥰🥰")</f>
        <v>@ichsandahcoow Belum masuk lubang.. Ayo kita lakukan lagi... 🥰🥰</v>
      </c>
      <c r="K217" s="6" t="str">
        <f>IFERROR(__xludf.DUMMYFUNCTION("GOOGLETRANSLATE(F217, ""id"", ""en"")"),"@ichsandahcoow Not yet in the hole.. Let's do it again... 🥰🥰")</f>
        <v>@ichsandahcoow Not yet in the hole.. Let's do it again... 🥰🥰</v>
      </c>
      <c r="L217" s="6" t="s">
        <v>700</v>
      </c>
      <c r="M217" s="6" t="str">
        <f>IFERROR(__xludf.DUMMYFUNCTION("GOOGLETRANSLATE(L217, ""en"", ""de"")"),"@ichsandahcoow Noch nicht im Loch.. Lass es uns noch einmal machen... 🥰🥰")</f>
        <v>@ichsandahcoow Noch nicht im Loch.. Lass es uns noch einmal machen... 🥰🥰</v>
      </c>
      <c r="N217" s="6" t="s">
        <v>701</v>
      </c>
      <c r="O217" s="6" t="str">
        <f>IFERROR(__xludf.DUMMYFUNCTION("GOOGLETRANSLATE(N217, ""de"", ""id"")"),"@ichsandahcoow Belum masuk lubang.. Ayo kita lakukan lagi... 🥰🥰")</f>
        <v>@ichsandahcoow Belum masuk lubang.. Ayo kita lakukan lagi... 🥰🥰</v>
      </c>
    </row>
    <row r="218">
      <c r="A218" s="1" t="s">
        <v>17</v>
      </c>
      <c r="B218" s="1" t="s">
        <v>613</v>
      </c>
      <c r="C218" s="1" t="s">
        <v>690</v>
      </c>
      <c r="D218" s="4" t="s">
        <v>691</v>
      </c>
      <c r="E218" s="1" t="s">
        <v>702</v>
      </c>
      <c r="F218" s="6" t="str">
        <f>IFERROR(__xludf.DUMMYFUNCTION("IFERROR(ARRAYFORMULA(REGEXREPLACE(E218, ""("" &amp; TEXTJOIN(""|"", TRUE, FILTER(Q218:Q233, E:E&lt;&gt;"""")) &amp; "")"", 
                     INDEX(R218:R233, MATCH(REGEXEXTRACT(E218:E965, ""("" &amp; TEXTJOIN(""|"", TRUE, FILTER(Q218:Q233, Q218:Q233&lt;&gt;"""")) &amp; "")""), Q"&amp;"218:Q233, 0)))), E218)"),"@arik_effendy otw🚤")</f>
        <v>@arik_effendy otw🚤</v>
      </c>
      <c r="G218" s="6" t="str">
        <f>IFERROR(__xludf.DUMMYFUNCTION("GOOGLETRANSLATE(F218, ""id"", ""de"")
"),"@arik_effendy otw🚤")</f>
        <v>@arik_effendy otw🚤</v>
      </c>
      <c r="H218" s="6" t="str">
        <f>IFERROR(__xludf.DUMMYFUNCTION("GOOGLETRANSLATE(G218, ""de"", ""id"")"),"@arik_effendy otw🚤")</f>
        <v>@arik_effendy otw🚤</v>
      </c>
      <c r="I218" s="6" t="str">
        <f>IFERROR(__xludf.DUMMYFUNCTION("GOOGLETRANSLATE(G218, ""de"", ""en"")"),"@arik_effendy otw🚤")</f>
        <v>@arik_effendy otw🚤</v>
      </c>
      <c r="J218" s="6" t="str">
        <f>IFERROR(__xludf.DUMMYFUNCTION("GOOGLETRANSLATE(I218, ""en"", ""id"")"),"@arik_effendy otw🚤")</f>
        <v>@arik_effendy otw🚤</v>
      </c>
      <c r="K218" s="6" t="str">
        <f>IFERROR(__xludf.DUMMYFUNCTION("GOOGLETRANSLATE(F218, ""id"", ""en"")"),"@arik_effendy otw🚤")</f>
        <v>@arik_effendy otw🚤</v>
      </c>
      <c r="L218" s="6" t="s">
        <v>703</v>
      </c>
      <c r="M218" s="6" t="str">
        <f>IFERROR(__xludf.DUMMYFUNCTION("GOOGLETRANSLATE(L218, ""en"", ""de"")"),"@arik_effendy otewe🚤")</f>
        <v>@arik_effendy otewe🚤</v>
      </c>
      <c r="N218" s="6" t="s">
        <v>703</v>
      </c>
      <c r="O218" s="6" t="str">
        <f>IFERROR(__xludf.DUMMYFUNCTION("GOOGLETRANSLATE(N218, ""de"", ""id"")"),"@arik_effendy otewe🚤")</f>
        <v>@arik_effendy otewe🚤</v>
      </c>
    </row>
    <row r="219">
      <c r="A219" s="1" t="s">
        <v>17</v>
      </c>
      <c r="B219" s="1" t="s">
        <v>613</v>
      </c>
      <c r="C219" s="1" t="s">
        <v>704</v>
      </c>
      <c r="D219" s="4" t="s">
        <v>691</v>
      </c>
      <c r="E219" s="1" t="s">
        <v>705</v>
      </c>
      <c r="F219" s="6" t="str">
        <f>IFERROR(__xludf.DUMMYFUNCTION("IFERROR(ARRAYFORMULA(REGEXREPLACE(E219, ""("" &amp; TEXTJOIN(""|"", TRUE, FILTER(Q219:Q234, E:E&lt;&gt;"""")) &amp; "")"", 
                     INDEX(R219:R234, MATCH(REGEXEXTRACT(E219:E965, ""("" &amp; TEXTJOIN(""|"", TRUE, FILTER(Q219:Q234, Q219:Q234&lt;&gt;"""")) &amp; "")""), Q"&amp;"219:Q234, 0)))), E219)"),"😍🔥🔥🔥 wajib diulang ini")</f>
        <v>😍🔥🔥🔥 wajib diulang ini</v>
      </c>
      <c r="G219" s="6" t="str">
        <f>IFERROR(__xludf.DUMMYFUNCTION("GOOGLETRANSLATE(F219, ""id"", ""de"")
"),"😍🔥🔥🔥 das muss wiederholt werden")</f>
        <v>😍🔥🔥🔥 das muss wiederholt werden</v>
      </c>
      <c r="H219" s="6" t="str">
        <f>IFERROR(__xludf.DUMMYFUNCTION("GOOGLETRANSLATE(G219, ""de"", ""id"")"),"😍🔥🔥🔥 ini perlu diulang")</f>
        <v>😍🔥🔥🔥 ini perlu diulang</v>
      </c>
      <c r="I219" s="6" t="str">
        <f>IFERROR(__xludf.DUMMYFUNCTION("GOOGLETRANSLATE(G219, ""de"", ""en"")"),"😍🔥🔥🔥 this bears repeating")</f>
        <v>😍🔥🔥🔥 this bears repeating</v>
      </c>
      <c r="J219" s="6" t="str">
        <f>IFERROR(__xludf.DUMMYFUNCTION("GOOGLETRANSLATE(I219, ""en"", ""id"")"),"😍🔥🔥🔥 ini perlu diulang")</f>
        <v>😍🔥🔥🔥 ini perlu diulang</v>
      </c>
      <c r="K219" s="6" t="str">
        <f>IFERROR(__xludf.DUMMYFUNCTION("GOOGLETRANSLATE(F219, ""id"", ""en"")"),"😍🔥🔥🔥 this must be repeated")</f>
        <v>😍🔥🔥🔥 this must be repeated</v>
      </c>
      <c r="L219" s="6" t="s">
        <v>706</v>
      </c>
      <c r="M219" s="6" t="str">
        <f>IFERROR(__xludf.DUMMYFUNCTION("GOOGLETRANSLATE(L219, ""en"", ""de"")"),"😍🔥🔥🔥 das muss wiederholt werden")</f>
        <v>😍🔥🔥🔥 das muss wiederholt werden</v>
      </c>
      <c r="N219" s="6" t="s">
        <v>707</v>
      </c>
      <c r="O219" s="6" t="str">
        <f>IFERROR(__xludf.DUMMYFUNCTION("GOOGLETRANSLATE(N219, ""de"", ""id"")"),"😍🔥🔥🔥 ini perlu diulang")</f>
        <v>😍🔥🔥🔥 ini perlu diulang</v>
      </c>
    </row>
    <row r="220">
      <c r="A220" s="1" t="s">
        <v>17</v>
      </c>
      <c r="B220" s="1" t="s">
        <v>613</v>
      </c>
      <c r="C220" s="1" t="s">
        <v>695</v>
      </c>
      <c r="D220" s="4" t="s">
        <v>691</v>
      </c>
      <c r="E220" s="1" t="s">
        <v>708</v>
      </c>
      <c r="F220" s="6" t="str">
        <f>IFERROR(__xludf.DUMMYFUNCTION("IFERROR(ARRAYFORMULA(REGEXREPLACE(E220, ""("" &amp; TEXTJOIN(""|"", TRUE, FILTER(Q220:Q235, E:E&lt;&gt;"""")) &amp; "")"", 
                     INDEX(R220:R235, MATCH(REGEXEXTRACT(E220:E965, ""("" &amp; TEXTJOIN(""|"", TRUE, FILTER(Q220:Q235, Q220:Q235&lt;&gt;"""")) &amp; "")""), Q"&amp;"220:Q235, 0)))), E220)"),"@sineboy.art jangan ke hapus lagi ya om footage nya 🙃")</f>
        <v>@sineboy.art jangan ke hapus lagi ya om footage nya 🙃</v>
      </c>
      <c r="G220" s="6" t="str">
        <f>IFERROR(__xludf.DUMMYFUNCTION("GOOGLETRANSLATE(F220, ""id"", ""de"")
"),"@sineboy.art lösche das Filmmaterial nicht noch einmal, Bruder 🙃")</f>
        <v>@sineboy.art lösche das Filmmaterial nicht noch einmal, Bruder 🙃</v>
      </c>
      <c r="H220" s="6" t="str">
        <f>IFERROR(__xludf.DUMMYFUNCTION("GOOGLETRANSLATE(G220, ""de"", ""id"")"),"@sineboy.art jangan hapus lagi rekamannya gan 🙃")</f>
        <v>@sineboy.art jangan hapus lagi rekamannya gan 🙃</v>
      </c>
      <c r="I220" s="6" t="str">
        <f>IFERROR(__xludf.DUMMYFUNCTION("GOOGLETRANSLATE(G220, ""de"", ""en"")"),"@sineboy.art don't delete the footage again bro 🙃")</f>
        <v>@sineboy.art don't delete the footage again bro 🙃</v>
      </c>
      <c r="J220" s="6" t="str">
        <f>IFERROR(__xludf.DUMMYFUNCTION("GOOGLETRANSLATE(I220, ""en"", ""id"")"),"@sineboy.art jangan hapus lagi rekamannya gan 🙃")</f>
        <v>@sineboy.art jangan hapus lagi rekamannya gan 🙃</v>
      </c>
      <c r="K220" s="6" t="str">
        <f>IFERROR(__xludf.DUMMYFUNCTION("GOOGLETRANSLATE(F220, ""id"", ""en"")"),"@sineboy.art don't delete the footage again, bro 🙃")</f>
        <v>@sineboy.art don't delete the footage again, bro 🙃</v>
      </c>
      <c r="L220" s="6" t="s">
        <v>709</v>
      </c>
      <c r="M220" s="6" t="str">
        <f>IFERROR(__xludf.DUMMYFUNCTION("GOOGLETRANSLATE(L220, ""en"", ""de"")"),"@sineboy.art lösche das Filmmaterial nicht noch einmal, Bruder 🙃")</f>
        <v>@sineboy.art lösche das Filmmaterial nicht noch einmal, Bruder 🙃</v>
      </c>
      <c r="N220" s="6" t="s">
        <v>710</v>
      </c>
      <c r="O220" s="6" t="str">
        <f>IFERROR(__xludf.DUMMYFUNCTION("GOOGLETRANSLATE(N220, ""de"", ""id"")"),"@sineboy.art jangan hapus lagi rekamannya gan 🙃")</f>
        <v>@sineboy.art jangan hapus lagi rekamannya gan 🙃</v>
      </c>
    </row>
    <row r="221">
      <c r="A221" s="1" t="s">
        <v>17</v>
      </c>
      <c r="B221" s="1" t="s">
        <v>613</v>
      </c>
      <c r="C221" s="1" t="s">
        <v>704</v>
      </c>
      <c r="D221" s="4" t="s">
        <v>691</v>
      </c>
      <c r="E221" s="1" t="s">
        <v>711</v>
      </c>
      <c r="F221" s="6" t="str">
        <f>IFERROR(__xludf.DUMMYFUNCTION("IFERROR(ARRAYFORMULA(REGEXREPLACE(E221, ""("" &amp; TEXTJOIN(""|"", TRUE, FILTER(Q221:Q236, E:E&lt;&gt;"""")) &amp; "")"", 
                     INDEX(R221:R236, MATCH(REGEXEXTRACT(E221:E965, ""("" &amp; TEXTJOIN(""|"", TRUE, FILTER(Q221:Q236, Q221:Q236&lt;&gt;"""")) &amp; "")""), Q"&amp;"221:Q236, 0)))), E221)"),"@roeang.kelana 🤣🤣🤣")</f>
        <v>@roeang.kelana 🤣🤣🤣</v>
      </c>
      <c r="G221" s="6" t="str">
        <f>IFERROR(__xludf.DUMMYFUNCTION("GOOGLETRANSLATE(F221, ""id"", ""de"")
"),"@roeang.kelana 🤣🤣🤣")</f>
        <v>@roeang.kelana 🤣🤣🤣</v>
      </c>
      <c r="H221" s="6" t="str">
        <f>IFERROR(__xludf.DUMMYFUNCTION("GOOGLETRANSLATE(G221, ""de"", ""id"")"),"@roeang.kelana 🤣🤣🤣")</f>
        <v>@roeang.kelana 🤣🤣🤣</v>
      </c>
      <c r="I221" s="6" t="str">
        <f>IFERROR(__xludf.DUMMYFUNCTION("GOOGLETRANSLATE(G221, ""de"", ""en"")"),"@roeang.kelana 🤣🤣🤣")</f>
        <v>@roeang.kelana 🤣🤣🤣</v>
      </c>
      <c r="J221" s="6" t="str">
        <f>IFERROR(__xludf.DUMMYFUNCTION("GOOGLETRANSLATE(I221, ""en"", ""id"")"),"@roeang.kelana 🤣🤣🤣")</f>
        <v>@roeang.kelana 🤣🤣🤣</v>
      </c>
      <c r="K221" s="6" t="str">
        <f>IFERROR(__xludf.DUMMYFUNCTION("GOOGLETRANSLATE(F221, ""id"", ""en"")"),"@roeang.kelana 🤣🤣🤣")</f>
        <v>@roeang.kelana 🤣🤣🤣</v>
      </c>
      <c r="L221" s="6" t="s">
        <v>711</v>
      </c>
      <c r="M221" s="6" t="str">
        <f>IFERROR(__xludf.DUMMYFUNCTION("GOOGLETRANSLATE(L221, ""en"", ""de"")"),"@roeang.kelana 🤣🤣🤣")</f>
        <v>@roeang.kelana 🤣🤣🤣</v>
      </c>
      <c r="N221" s="6" t="s">
        <v>711</v>
      </c>
      <c r="O221" s="6" t="str">
        <f>IFERROR(__xludf.DUMMYFUNCTION("GOOGLETRANSLATE(N221, ""de"", ""id"")"),"@roeang.kelana 🤣🤣🤣")</f>
        <v>@roeang.kelana 🤣🤣🤣</v>
      </c>
    </row>
    <row r="222">
      <c r="A222" s="1" t="s">
        <v>17</v>
      </c>
      <c r="B222" s="1" t="s">
        <v>613</v>
      </c>
      <c r="C222" s="1" t="s">
        <v>704</v>
      </c>
      <c r="D222" s="4" t="s">
        <v>691</v>
      </c>
      <c r="E222" s="1" t="s">
        <v>712</v>
      </c>
      <c r="F222" s="6" t="str">
        <f>IFERROR(__xludf.DUMMYFUNCTION("IFERROR(ARRAYFORMULA(REGEXREPLACE(E222, ""("" &amp; TEXTJOIN(""|"", TRUE, FILTER(Q222:Q237, E:E&lt;&gt;"""")) &amp; "")"", 
                     INDEX(R222:R237, MATCH(REGEXEXTRACT(E222:E965, ""("" &amp; TEXTJOIN(""|"", TRUE, FILTER(Q222:Q237, Q222:Q237&lt;&gt;"""")) &amp; "")""), Q"&amp;"222:Q237, 0)))), E222)"),"@sineboy.art awas ke takedown lagi ntar wkwkw")</f>
        <v>@sineboy.art awas ke takedown lagi ntar wkwkw</v>
      </c>
      <c r="G222" s="6" t="str">
        <f>IFERROR(__xludf.DUMMYFUNCTION("GOOGLETRANSLATE(F222, ""id"", ""de"")
"),"@sineboy.art Vorsicht vor einem weiteren Takedown später, hahaha")</f>
        <v>@sineboy.art Vorsicht vor einem weiteren Takedown später, hahaha</v>
      </c>
      <c r="H222" s="6" t="str">
        <f>IFERROR(__xludf.DUMMYFUNCTION("GOOGLETRANSLATE(G222, ""de"", ""id"")"),"@ sineboy.art Hati-hati nanti ada takedown lagi hahaha")</f>
        <v>@ sineboy.art Hati-hati nanti ada takedown lagi hahaha</v>
      </c>
      <c r="I222" s="6" t="str">
        <f>IFERROR(__xludf.DUMMYFUNCTION("GOOGLETRANSLATE(G222, ""de"", ""en"")"),"@sineboy.art Beware of another takedown later hahaha")</f>
        <v>@sineboy.art Beware of another takedown later hahaha</v>
      </c>
      <c r="J222" s="6" t="str">
        <f>IFERROR(__xludf.DUMMYFUNCTION("GOOGLETRANSLATE(I222, ""en"", ""id"")"),"@ sineboy.art Hati-hati nanti ada takedown lagi hahaha")</f>
        <v>@ sineboy.art Hati-hati nanti ada takedown lagi hahaha</v>
      </c>
      <c r="K222" s="6" t="str">
        <f>IFERROR(__xludf.DUMMYFUNCTION("GOOGLETRANSLATE(F222, ""id"", ""en"")"),"@sineboy.art watch out for another takedown later hahaha")</f>
        <v>@sineboy.art watch out for another takedown later hahaha</v>
      </c>
      <c r="L222" s="6" t="s">
        <v>713</v>
      </c>
      <c r="M222" s="6" t="str">
        <f>IFERROR(__xludf.DUMMYFUNCTION("GOOGLETRANSLATE(L222, ""en"", ""de"")"),"@sineboy.art Vorsicht vor einem weiteren Takedown später, hahaha")</f>
        <v>@sineboy.art Vorsicht vor einem weiteren Takedown später, hahaha</v>
      </c>
      <c r="N222" s="6" t="s">
        <v>714</v>
      </c>
      <c r="O222" s="6" t="str">
        <f>IFERROR(__xludf.DUMMYFUNCTION("GOOGLETRANSLATE(N222, ""de"", ""id"")"),"@ sineboy.art Hati-hati nanti ada takedown lagi hahaha")</f>
        <v>@ sineboy.art Hati-hati nanti ada takedown lagi hahaha</v>
      </c>
    </row>
    <row r="223">
      <c r="A223" s="1" t="s">
        <v>17</v>
      </c>
      <c r="B223" s="1" t="s">
        <v>613</v>
      </c>
      <c r="C223" s="1" t="s">
        <v>695</v>
      </c>
      <c r="D223" s="4" t="s">
        <v>691</v>
      </c>
      <c r="E223" s="1" t="s">
        <v>715</v>
      </c>
      <c r="F223" s="6" t="str">
        <f>IFERROR(__xludf.DUMMYFUNCTION("IFERROR(ARRAYFORMULA(REGEXREPLACE(E223, ""("" &amp; TEXTJOIN(""|"", TRUE, FILTER(Q223:Q238, E:E&lt;&gt;"""")) &amp; "")"", 
                     INDEX(R223:R238, MATCH(REGEXEXTRACT(E223:E965, ""("" &amp; TEXTJOIN(""|"", TRUE, FILTER(Q223:Q238, Q223:Q238&lt;&gt;"""")) &amp; "")""), Q"&amp;"223:Q238, 0)))), E223)"),"@sineboy.art waduhh ga bahaya ta 😬")</f>
        <v>@sineboy.art waduhh ga bahaya ta 😬</v>
      </c>
      <c r="G223" s="6" t="str">
        <f>IFERROR(__xludf.DUMMYFUNCTION("GOOGLETRANSLATE(F223, ""id"", ""de"")
"),"@sineboy.art wow, es ist nicht gefährlich 😬")</f>
        <v>@sineboy.art wow, es ist nicht gefährlich 😬</v>
      </c>
      <c r="H223" s="6" t="str">
        <f>IFERROR(__xludf.DUMMYFUNCTION("GOOGLETRANSLATE(G223, ""de"", ""id"")"),"@ sineboy.art wah, tidak berbahaya 😬")</f>
        <v>@ sineboy.art wah, tidak berbahaya 😬</v>
      </c>
      <c r="I223" s="6" t="str">
        <f>IFERROR(__xludf.DUMMYFUNCTION("GOOGLETRANSLATE(G223, ""de"", ""en"")"),"@sineboy.art wow, it's not dangerous 😬")</f>
        <v>@sineboy.art wow, it's not dangerous 😬</v>
      </c>
      <c r="J223" s="6" t="str">
        <f>IFERROR(__xludf.DUMMYFUNCTION("GOOGLETRANSLATE(I223, ""en"", ""id"")"),"@ sineboy.art wah, tidak berbahaya 😬")</f>
        <v>@ sineboy.art wah, tidak berbahaya 😬</v>
      </c>
      <c r="K223" s="6" t="str">
        <f>IFERROR(__xludf.DUMMYFUNCTION("GOOGLETRANSLATE(F223, ""id"", ""en"")"),"@sineboy.art wow, it's not dangerous 😬")</f>
        <v>@sineboy.art wow, it's not dangerous 😬</v>
      </c>
      <c r="L223" s="6" t="s">
        <v>716</v>
      </c>
      <c r="M223" s="6" t="str">
        <f>IFERROR(__xludf.DUMMYFUNCTION("GOOGLETRANSLATE(L223, ""en"", ""de"")"),"@sineboy.art wow, es ist nicht gefährlich 😬")</f>
        <v>@sineboy.art wow, es ist nicht gefährlich 😬</v>
      </c>
      <c r="N223" s="6" t="s">
        <v>717</v>
      </c>
      <c r="O223" s="6" t="str">
        <f>IFERROR(__xludf.DUMMYFUNCTION("GOOGLETRANSLATE(N223, ""de"", ""id"")"),"@ sineboy.art wah, tidak berbahaya 😬")</f>
        <v>@ sineboy.art wah, tidak berbahaya 😬</v>
      </c>
    </row>
    <row r="224">
      <c r="A224" s="1" t="s">
        <v>17</v>
      </c>
      <c r="B224" s="1" t="s">
        <v>613</v>
      </c>
      <c r="C224" s="1" t="s">
        <v>718</v>
      </c>
      <c r="D224" s="4" t="s">
        <v>691</v>
      </c>
      <c r="E224" s="1" t="s">
        <v>719</v>
      </c>
      <c r="F224" s="6" t="str">
        <f>IFERROR(__xludf.DUMMYFUNCTION("IFERROR(ARRAYFORMULA(REGEXREPLACE(E224, ""("" &amp; TEXTJOIN(""|"", TRUE, FILTER(Q224:Q239, E:E&lt;&gt;"""")) &amp; "")"", 
                     INDEX(R224:R239, MATCH(REGEXEXTRACT(E224:E965, ""("" &amp; TEXTJOIN(""|"", TRUE, FILTER(Q224:Q239, Q224:Q239&lt;&gt;"""")) &amp; "")""), Q"&amp;"224:Q239, 0)))), E224)"),"Wajib bawa air klu ksni😅")</f>
        <v>Wajib bawa air klu ksni😅</v>
      </c>
      <c r="G224" s="6" t="str">
        <f>IFERROR(__xludf.DUMMYFUNCTION("GOOGLETRANSLATE(F224, ""id"", ""de"")
"),"Hier muss man Wasser mitbringen😅")</f>
        <v>Hier muss man Wasser mitbringen😅</v>
      </c>
      <c r="H224" s="6" t="str">
        <f>IFERROR(__xludf.DUMMYFUNCTION("GOOGLETRANSLATE(G224, ""de"", ""id"")"),"Di sini Anda harus membawa air😅")</f>
        <v>Di sini Anda harus membawa air😅</v>
      </c>
      <c r="I224" s="6" t="str">
        <f>IFERROR(__xludf.DUMMYFUNCTION("GOOGLETRANSLATE(G224, ""de"", ""en"")"),"Here you have to bring water😅")</f>
        <v>Here you have to bring water😅</v>
      </c>
      <c r="J224" s="6" t="str">
        <f>IFERROR(__xludf.DUMMYFUNCTION("GOOGLETRANSLATE(I224, ""en"", ""id"")"),"Di sini Anda harus membawa air😅")</f>
        <v>Di sini Anda harus membawa air😅</v>
      </c>
      <c r="K224" s="6" t="str">
        <f>IFERROR(__xludf.DUMMYFUNCTION("GOOGLETRANSLATE(F224, ""id"", ""en"")"),"You have to bring water here😅")</f>
        <v>You have to bring water here😅</v>
      </c>
      <c r="L224" s="6" t="s">
        <v>720</v>
      </c>
      <c r="M224" s="6" t="str">
        <f>IFERROR(__xludf.DUMMYFUNCTION("GOOGLETRANSLATE(L224, ""en"", ""de"")"),"Hier muss man Wasser mitbringen😅")</f>
        <v>Hier muss man Wasser mitbringen😅</v>
      </c>
      <c r="N224" s="6" t="s">
        <v>721</v>
      </c>
      <c r="O224" s="6" t="str">
        <f>IFERROR(__xludf.DUMMYFUNCTION("GOOGLETRANSLATE(N224, ""de"", ""id"")"),"Di sini Anda harus membawa air😅")</f>
        <v>Di sini Anda harus membawa air😅</v>
      </c>
    </row>
    <row r="225">
      <c r="A225" s="1" t="s">
        <v>17</v>
      </c>
      <c r="B225" s="1" t="s">
        <v>613</v>
      </c>
      <c r="C225" s="1" t="s">
        <v>695</v>
      </c>
      <c r="D225" s="4" t="s">
        <v>691</v>
      </c>
      <c r="E225" s="1" t="s">
        <v>722</v>
      </c>
      <c r="F225" s="6" t="str">
        <f>IFERROR(__xludf.DUMMYFUNCTION("IFERROR(ARRAYFORMULA(REGEXREPLACE(E225, ""("" &amp; TEXTJOIN(""|"", TRUE, FILTER(Q225:Q240, E:E&lt;&gt;"""")) &amp; "")"", 
                     INDEX(R225:R240, MATCH(REGEXEXTRACT(E225:E965, ""("" &amp; TEXTJOIN(""|"", TRUE, FILTER(Q225:Q240, Q225:Q240&lt;&gt;"""")) &amp; "")""), Q"&amp;"225:Q240, 0)))), E225)"),"@4rya_16 👍🏼👍🏼")</f>
        <v>@4rya_16 👍🏼👍🏼</v>
      </c>
      <c r="G225" s="6" t="str">
        <f>IFERROR(__xludf.DUMMYFUNCTION("GOOGLETRANSLATE(F225, ""id"", ""de"")
"),"@4rya_16 👍🏼👍🏼")</f>
        <v>@4rya_16 👍🏼👍🏼</v>
      </c>
      <c r="H225" s="6" t="str">
        <f>IFERROR(__xludf.DUMMYFUNCTION("GOOGLETRANSLATE(G225, ""de"", ""id"")"),"@4rya_16 👍🏼👍🏼")</f>
        <v>@4rya_16 👍🏼👍🏼</v>
      </c>
      <c r="I225" s="6" t="str">
        <f>IFERROR(__xludf.DUMMYFUNCTION("GOOGLETRANSLATE(G225, ""de"", ""en"")"),"@4rya_16 👍🏼👍🏼")</f>
        <v>@4rya_16 👍🏼👍🏼</v>
      </c>
      <c r="J225" s="6" t="str">
        <f>IFERROR(__xludf.DUMMYFUNCTION("GOOGLETRANSLATE(I225, ""en"", ""id"")"),"@4rya_16 👍🏼👍🏼")</f>
        <v>@4rya_16 👍🏼👍🏼</v>
      </c>
      <c r="K225" s="6" t="str">
        <f>IFERROR(__xludf.DUMMYFUNCTION("GOOGLETRANSLATE(F225, ""id"", ""en"")"),"@4rya_16 👍🏼👍🏼")</f>
        <v>@4rya_16 👍🏼👍🏼</v>
      </c>
      <c r="L225" s="6" t="s">
        <v>722</v>
      </c>
      <c r="M225" s="6" t="str">
        <f>IFERROR(__xludf.DUMMYFUNCTION("GOOGLETRANSLATE(L225, ""en"", ""de"")"),"@4rya_16 👍🏼👍🏼")</f>
        <v>@4rya_16 👍🏼👍🏼</v>
      </c>
      <c r="N225" s="6" t="s">
        <v>722</v>
      </c>
      <c r="O225" s="6" t="str">
        <f>IFERROR(__xludf.DUMMYFUNCTION("GOOGLETRANSLATE(N225, ""de"", ""id"")"),"@4rya_16 👍🏼👍🏼")</f>
        <v>@4rya_16 👍🏼👍🏼</v>
      </c>
    </row>
    <row r="226">
      <c r="A226" s="1" t="s">
        <v>17</v>
      </c>
      <c r="B226" s="1" t="s">
        <v>613</v>
      </c>
      <c r="C226" s="1" t="s">
        <v>718</v>
      </c>
      <c r="D226" s="4" t="s">
        <v>691</v>
      </c>
      <c r="E226" s="1" t="s">
        <v>723</v>
      </c>
      <c r="F226" s="6" t="str">
        <f>IFERROR(__xludf.DUMMYFUNCTION("IFERROR(ARRAYFORMULA(REGEXREPLACE(E226, ""("" &amp; TEXTJOIN(""|"", TRUE, FILTER(Q226:Q241, E:E&lt;&gt;"""")) &amp; "")"", 
                     INDEX(R226:R241, MATCH(REGEXEXTRACT(E226:E965, ""("" &amp; TEXTJOIN(""|"", TRUE, FILTER(Q226:Q241, Q226:Q241&lt;&gt;"""")) &amp; "")""), Q"&amp;"226:Q241, 0)))), E226)"),"@roeang.kelana Tinggal kenangan😢")</f>
        <v>@roeang.kelana Tinggal kenangan😢</v>
      </c>
      <c r="G226" s="6" t="str">
        <f>IFERROR(__xludf.DUMMYFUNCTION("GOOGLETRANSLATE(F226, ""id"", ""de"")
"),"@roeang.kelana Nur Erinnerungen😢")</f>
        <v>@roeang.kelana Nur Erinnerungen😢</v>
      </c>
      <c r="H226" s="6" t="str">
        <f>IFERROR(__xludf.DUMMYFUNCTION("GOOGLETRANSLATE(G226, ""de"", ""id"")"),"@roeang.kelana Hanya kenangan😢")</f>
        <v>@roeang.kelana Hanya kenangan😢</v>
      </c>
      <c r="I226" s="6" t="str">
        <f>IFERROR(__xludf.DUMMYFUNCTION("GOOGLETRANSLATE(G226, ""de"", ""en"")"),"@roeang.kelana Just memories😢")</f>
        <v>@roeang.kelana Just memories😢</v>
      </c>
      <c r="J226" s="6" t="str">
        <f>IFERROR(__xludf.DUMMYFUNCTION("GOOGLETRANSLATE(I226, ""en"", ""id"")"),"@roeang.kelana Hanya kenangan😢")</f>
        <v>@roeang.kelana Hanya kenangan😢</v>
      </c>
      <c r="K226" s="6" t="str">
        <f>IFERROR(__xludf.DUMMYFUNCTION("GOOGLETRANSLATE(F226, ""id"", ""en"")"),"@roeang.kelana Just memories😢")</f>
        <v>@roeang.kelana Just memories😢</v>
      </c>
      <c r="L226" s="6" t="s">
        <v>724</v>
      </c>
      <c r="M226" s="6" t="str">
        <f>IFERROR(__xludf.DUMMYFUNCTION("GOOGLETRANSLATE(L226, ""en"", ""de"")"),"@roeang.kelana Nur Erinnerungen😢")</f>
        <v>@roeang.kelana Nur Erinnerungen😢</v>
      </c>
      <c r="N226" s="6" t="s">
        <v>725</v>
      </c>
      <c r="O226" s="6" t="str">
        <f>IFERROR(__xludf.DUMMYFUNCTION("GOOGLETRANSLATE(N226, ""de"", ""id"")"),"@roeang.kelana Hanya kenangan😢")</f>
        <v>@roeang.kelana Hanya kenangan😢</v>
      </c>
    </row>
    <row r="227">
      <c r="A227" s="1" t="s">
        <v>17</v>
      </c>
      <c r="B227" s="1" t="s">
        <v>613</v>
      </c>
      <c r="C227" s="1" t="s">
        <v>726</v>
      </c>
      <c r="D227" s="4" t="s">
        <v>691</v>
      </c>
      <c r="E227" s="1" t="s">
        <v>680</v>
      </c>
      <c r="F227" s="6" t="str">
        <f>IFERROR(__xludf.DUMMYFUNCTION("IFERROR(ARRAYFORMULA(REGEXREPLACE(E227, ""("" &amp; TEXTJOIN(""|"", TRUE, FILTER(Q227:Q242, E:E&lt;&gt;"""")) &amp; "")"", 
                     INDEX(R227:R242, MATCH(REGEXEXTRACT(E227:E965, ""("" &amp; TEXTJOIN(""|"", TRUE, FILTER(Q227:Q242, Q227:Q242&lt;&gt;"""")) &amp; "")""), Q"&amp;"227:Q242, 0)))), E227)"),"🔥🔥🔥🔥🔥🔥")</f>
        <v>🔥🔥🔥🔥🔥🔥</v>
      </c>
      <c r="G227" s="6" t="str">
        <f>IFERROR(__xludf.DUMMYFUNCTION("GOOGLETRANSLATE(F227, ""id"", ""de"")
"),"🔥🔥🔥🔥🔥🔥")</f>
        <v>🔥🔥🔥🔥🔥🔥</v>
      </c>
      <c r="H227" s="6" t="str">
        <f>IFERROR(__xludf.DUMMYFUNCTION("GOOGLETRANSLATE(G227, ""de"", ""id"")"),"🔥🔥🔥🔥🔥🔥")</f>
        <v>🔥🔥🔥🔥🔥🔥</v>
      </c>
      <c r="I227" s="6" t="str">
        <f>IFERROR(__xludf.DUMMYFUNCTION("GOOGLETRANSLATE(G227, ""de"", ""en"")"),"🔥🔥🔥🔥🔥🔥")</f>
        <v>🔥🔥🔥🔥🔥🔥</v>
      </c>
      <c r="J227" s="6" t="str">
        <f>IFERROR(__xludf.DUMMYFUNCTION("GOOGLETRANSLATE(I227, ""en"", ""id"")"),"🔥🔥🔥🔥🔥🔥")</f>
        <v>🔥🔥🔥🔥🔥🔥</v>
      </c>
      <c r="K227" s="6" t="str">
        <f>IFERROR(__xludf.DUMMYFUNCTION("GOOGLETRANSLATE(F227, ""id"", ""en"")"),"🔥🔥🔥🔥🔥🔥")</f>
        <v>🔥🔥🔥🔥🔥🔥</v>
      </c>
      <c r="L227" s="6" t="s">
        <v>680</v>
      </c>
      <c r="M227" s="6" t="str">
        <f>IFERROR(__xludf.DUMMYFUNCTION("GOOGLETRANSLATE(L227, ""en"", ""de"")"),"🔥🔥🔥🔥🔥🔥")</f>
        <v>🔥🔥🔥🔥🔥🔥</v>
      </c>
      <c r="N227" s="6" t="s">
        <v>680</v>
      </c>
      <c r="O227" s="6" t="str">
        <f>IFERROR(__xludf.DUMMYFUNCTION("GOOGLETRANSLATE(N227, ""de"", ""id"")"),"🔥🔥🔥🔥🔥🔥")</f>
        <v>🔥🔥🔥🔥🔥🔥</v>
      </c>
    </row>
    <row r="228">
      <c r="A228" s="1" t="s">
        <v>17</v>
      </c>
      <c r="B228" s="1" t="s">
        <v>613</v>
      </c>
      <c r="C228" s="1" t="s">
        <v>695</v>
      </c>
      <c r="D228" s="4" t="s">
        <v>691</v>
      </c>
      <c r="E228" s="1" t="s">
        <v>727</v>
      </c>
      <c r="F228" s="6" t="str">
        <f>IFERROR(__xludf.DUMMYFUNCTION("IFERROR(ARRAYFORMULA(REGEXREPLACE(E228, ""("" &amp; TEXTJOIN(""|"", TRUE, FILTER(Q228:Q243, E:E&lt;&gt;"""")) &amp; "")"", 
                     INDEX(R228:R243, MATCH(REGEXEXTRACT(E228:E965, ""("" &amp; TEXTJOIN(""|"", TRUE, FILTER(Q228:Q243, Q228:Q243&lt;&gt;"""")) &amp; "")""), Q"&amp;"228:Q243, 0)))), E228)"),"@dk_wck ayoo cepet balikkkkk sini 😬")</f>
        <v>@dk_wck ayoo cepet balikkkkk sini 😬</v>
      </c>
      <c r="G228" s="6" t="str">
        <f>IFERROR(__xludf.DUMMYFUNCTION("GOOGLETRANSLATE(F228, ""id"", ""de"")
"),"@dk_wck komm, komm schnell hierher zurück 😬")</f>
        <v>@dk_wck komm, komm schnell hierher zurück 😬</v>
      </c>
      <c r="H228" s="6" t="str">
        <f>IFERROR(__xludf.DUMMYFUNCTION("GOOGLETRANSLATE(G228, ""de"", ""id"")"),"@dk_wck ayo cepat kembali kesini 😬")</f>
        <v>@dk_wck ayo cepat kembali kesini 😬</v>
      </c>
      <c r="I228" s="6" t="str">
        <f>IFERROR(__xludf.DUMMYFUNCTION("GOOGLETRANSLATE(G228, ""de"", ""en"")"),"@dk_wck come on, come back here quickly 😬")</f>
        <v>@dk_wck come on, come back here quickly 😬</v>
      </c>
      <c r="J228" s="6" t="str">
        <f>IFERROR(__xludf.DUMMYFUNCTION("GOOGLETRANSLATE(I228, ""en"", ""id"")"),"@dk_wck ayo cepat kembali kesini 😬")</f>
        <v>@dk_wck ayo cepat kembali kesini 😬</v>
      </c>
      <c r="K228" s="6" t="str">
        <f>IFERROR(__xludf.DUMMYFUNCTION("GOOGLETRANSLATE(F228, ""id"", ""en"")"),"@dk_wck come on, come back here quickly 😬")</f>
        <v>@dk_wck come on, come back here quickly 😬</v>
      </c>
      <c r="L228" s="6" t="s">
        <v>728</v>
      </c>
      <c r="M228" s="6" t="str">
        <f>IFERROR(__xludf.DUMMYFUNCTION("GOOGLETRANSLATE(L228, ""en"", ""de"")"),"@dk_wck komm, komm schnell hierher zurück 😬")</f>
        <v>@dk_wck komm, komm schnell hierher zurück 😬</v>
      </c>
      <c r="N228" s="6" t="s">
        <v>729</v>
      </c>
      <c r="O228" s="6" t="str">
        <f>IFERROR(__xludf.DUMMYFUNCTION("GOOGLETRANSLATE(N228, ""de"", ""id"")"),"@dk_wck ayo cepat kembali kesini 😬")</f>
        <v>@dk_wck ayo cepat kembali kesini 😬</v>
      </c>
    </row>
    <row r="229">
      <c r="A229" s="1" t="s">
        <v>17</v>
      </c>
      <c r="B229" s="1" t="s">
        <v>613</v>
      </c>
      <c r="C229" s="1" t="s">
        <v>730</v>
      </c>
      <c r="D229" s="4" t="s">
        <v>691</v>
      </c>
      <c r="E229" s="1" t="s">
        <v>731</v>
      </c>
      <c r="F229" s="6" t="str">
        <f>IFERROR(__xludf.DUMMYFUNCTION("IFERROR(ARRAYFORMULA(REGEXREPLACE(E229, ""("" &amp; TEXTJOIN(""|"", TRUE, FILTER(Q229:Q244, E:E&lt;&gt;"""")) &amp; "")"", 
                     INDEX(R229:R244, MATCH(REGEXEXTRACT(E229:E965, ""("" &amp; TEXTJOIN(""|"", TRUE, FILTER(Q229:Q244, Q229:Q244&lt;&gt;"""")) &amp; "")""), Q"&amp;"229:Q244, 0)))), E229)"),"Adakah ajakan tanpa wacana😭😭")</f>
        <v>Adakah ajakan tanpa wacana😭😭</v>
      </c>
      <c r="G229" s="6" t="str">
        <f>IFERROR(__xludf.DUMMYFUNCTION("GOOGLETRANSLATE(F229, ""id"", ""de"")
"),"Gibt es eine Einladung ohne Diskurs😭😭")</f>
        <v>Gibt es eine Einladung ohne Diskurs😭😭</v>
      </c>
      <c r="H229" s="6" t="str">
        <f>IFERROR(__xludf.DUMMYFUNCTION("GOOGLETRANSLATE(G229, ""de"", ""id"")"),"Apakah ada ajakan tanpa wacana😭😭")</f>
        <v>Apakah ada ajakan tanpa wacana😭😭</v>
      </c>
      <c r="I229" s="6" t="str">
        <f>IFERROR(__xludf.DUMMYFUNCTION("GOOGLETRANSLATE(G229, ""de"", ""en"")"),"Is there an invitation without discourse😭😭")</f>
        <v>Is there an invitation without discourse😭😭</v>
      </c>
      <c r="J229" s="6" t="str">
        <f>IFERROR(__xludf.DUMMYFUNCTION("GOOGLETRANSLATE(I229, ""en"", ""id"")"),"Apakah ada ajakan tanpa wacana😭😭")</f>
        <v>Apakah ada ajakan tanpa wacana😭😭</v>
      </c>
      <c r="K229" s="6" t="str">
        <f>IFERROR(__xludf.DUMMYFUNCTION("GOOGLETRANSLATE(F229, ""id"", ""en"")"),"Is there an invitation without discourse😭😭")</f>
        <v>Is there an invitation without discourse😭😭</v>
      </c>
      <c r="L229" s="6" t="s">
        <v>732</v>
      </c>
      <c r="M229" s="6" t="str">
        <f>IFERROR(__xludf.DUMMYFUNCTION("GOOGLETRANSLATE(L229, ""en"", ""de"")"),"Gibt es eine Einladung ohne Diskurs😭😭")</f>
        <v>Gibt es eine Einladung ohne Diskurs😭😭</v>
      </c>
      <c r="N229" s="6" t="s">
        <v>733</v>
      </c>
      <c r="O229" s="6" t="str">
        <f>IFERROR(__xludf.DUMMYFUNCTION("GOOGLETRANSLATE(N229, ""de"", ""id"")"),"Apakah ada ajakan tanpa wacana😭😭")</f>
        <v>Apakah ada ajakan tanpa wacana😭😭</v>
      </c>
    </row>
    <row r="230">
      <c r="A230" s="1" t="s">
        <v>17</v>
      </c>
      <c r="B230" s="1" t="s">
        <v>613</v>
      </c>
      <c r="C230" s="1" t="s">
        <v>734</v>
      </c>
      <c r="D230" s="4" t="s">
        <v>691</v>
      </c>
      <c r="E230" s="1" t="s">
        <v>735</v>
      </c>
      <c r="F230" s="6" t="str">
        <f>IFERROR(__xludf.DUMMYFUNCTION("IFERROR(ARRAYFORMULA(REGEXREPLACE(E230, ""("" &amp; TEXTJOIN(""|"", TRUE, FILTER(Q230:Q245, E:E&lt;&gt;"""")) &amp; "")"", 
                     INDEX(R230:R245, MATCH(REGEXEXTRACT(E230:E965, ""("" &amp; TEXTJOIN(""|"", TRUE, FILTER(Q230:Q245, Q230:Q245&lt;&gt;"""")) &amp; "")""), Q"&amp;"230:Q245, 0)))), E230)"),"Kereeeen")</f>
        <v>Kereeeen</v>
      </c>
      <c r="G230" s="6" t="str">
        <f>IFERROR(__xludf.DUMMYFUNCTION("GOOGLETRANSLATE(F230, ""id"", ""de"")
"),"Kereeen")</f>
        <v>Kereeen</v>
      </c>
      <c r="H230" s="6" t="str">
        <f>IFERROR(__xludf.DUMMYFUNCTION("GOOGLETRANSLATE(G230, ""de"", ""id"")"),"Kereeen")</f>
        <v>Kereeen</v>
      </c>
      <c r="I230" s="6" t="str">
        <f>IFERROR(__xludf.DUMMYFUNCTION("GOOGLETRANSLATE(G230, ""de"", ""en"")"),"Kereeen")</f>
        <v>Kereeen</v>
      </c>
      <c r="J230" s="6" t="str">
        <f>IFERROR(__xludf.DUMMYFUNCTION("GOOGLETRANSLATE(I230, ""en"", ""id"")"),"Kereeen")</f>
        <v>Kereeen</v>
      </c>
      <c r="K230" s="6" t="str">
        <f>IFERROR(__xludf.DUMMYFUNCTION("GOOGLETRANSLATE(F230, ""id"", ""en"")"),"Kereeeen")</f>
        <v>Kereeeen</v>
      </c>
      <c r="L230" s="6" t="s">
        <v>735</v>
      </c>
      <c r="M230" s="6" t="str">
        <f>IFERROR(__xludf.DUMMYFUNCTION("GOOGLETRANSLATE(L230, ""en"", ""de"")"),"Kereeen")</f>
        <v>Kereeen</v>
      </c>
      <c r="N230" s="6" t="s">
        <v>736</v>
      </c>
      <c r="O230" s="6" t="str">
        <f>IFERROR(__xludf.DUMMYFUNCTION("GOOGLETRANSLATE(N230, ""de"", ""id"")"),"Kereeen")</f>
        <v>Kereeen</v>
      </c>
    </row>
    <row r="231">
      <c r="A231" s="1" t="s">
        <v>17</v>
      </c>
      <c r="B231" s="1" t="s">
        <v>613</v>
      </c>
      <c r="C231" s="1" t="s">
        <v>737</v>
      </c>
      <c r="D231" s="4" t="s">
        <v>691</v>
      </c>
      <c r="E231" s="1" t="s">
        <v>738</v>
      </c>
      <c r="F231" s="6" t="str">
        <f>IFERROR(__xludf.DUMMYFUNCTION("IFERROR(ARRAYFORMULA(REGEXREPLACE(E231, ""("" &amp; TEXTJOIN(""|"", TRUE, FILTER(Q231:Q246, E:E&lt;&gt;"""")) &amp; "")"", 
                     INDEX(R231:R246, MATCH(REGEXEXTRACT(E231:E965, ""("" &amp; TEXTJOIN(""|"", TRUE, FILTER(Q231:Q246, Q231:Q246&lt;&gt;"""")) &amp; "")""), Q"&amp;"231:Q246, 0)))), E231)"),"Exploring Indonesia is always a good idea! #ExploreIndonesia 🇲🇨")</f>
        <v>Exploring Indonesia is always a good idea! #ExploreIndonesia 🇲🇨</v>
      </c>
      <c r="G231" s="6" t="str">
        <f>IFERROR(__xludf.DUMMYFUNCTION("GOOGLETRANSLATE(F231, ""id"", ""de"")
"),"Indonesien zu erkunden ist immer eine gute Idee! #ExploreIndonesia 🇲🇨")</f>
        <v>Indonesien zu erkunden ist immer eine gute Idee! #ExploreIndonesia 🇲🇨</v>
      </c>
      <c r="H231" s="6" t="str">
        <f>IFERROR(__xludf.DUMMYFUNCTION("GOOGLETRANSLATE(G231, ""de"", ""id"")"),"Menjelajahi Indonesia selalu merupakan ide bagus! #ExploreIndonesia 🇲🇾")</f>
        <v>Menjelajahi Indonesia selalu merupakan ide bagus! #ExploreIndonesia 🇲🇾</v>
      </c>
      <c r="I231" s="6" t="str">
        <f>IFERROR(__xludf.DUMMYFUNCTION("GOOGLETRANSLATE(G231, ""de"", ""en"")"),"Exploring Indonesia is always a good idea! #ExploreIndonesia 🇲🇨")</f>
        <v>Exploring Indonesia is always a good idea! #ExploreIndonesia 🇲🇨</v>
      </c>
      <c r="J231" s="6" t="str">
        <f>IFERROR(__xludf.DUMMYFUNCTION("GOOGLETRANSLATE(I231, ""en"", ""id"")"),"Menjelajahi Indonesia selalu merupakan ide bagus! #ExploreIndonesia 🇲🇾")</f>
        <v>Menjelajahi Indonesia selalu merupakan ide bagus! #ExploreIndonesia 🇲🇾</v>
      </c>
      <c r="K231" s="6" t="str">
        <f>IFERROR(__xludf.DUMMYFUNCTION("GOOGLETRANSLATE(F231, ""id"", ""en"")"),"Exploring Indonesia is always a good idea! #ExploreIndonesia 🇲🇨")</f>
        <v>Exploring Indonesia is always a good idea! #ExploreIndonesia 🇲🇨</v>
      </c>
      <c r="L231" s="6" t="s">
        <v>738</v>
      </c>
      <c r="M231" s="6" t="str">
        <f>IFERROR(__xludf.DUMMYFUNCTION("GOOGLETRANSLATE(L231, ""en"", ""de"")"),"Indonesien zu erkunden ist immer eine gute Idee! #ExploreIndonesia 🇲🇨")</f>
        <v>Indonesien zu erkunden ist immer eine gute Idee! #ExploreIndonesia 🇲🇨</v>
      </c>
      <c r="N231" s="6" t="s">
        <v>739</v>
      </c>
      <c r="O231" s="6" t="str">
        <f>IFERROR(__xludf.DUMMYFUNCTION("GOOGLETRANSLATE(N231, ""de"", ""id"")"),"Menjelajahi Indonesia selalu merupakan ide bagus! #ExploreIndonesia 🇲🇾")</f>
        <v>Menjelajahi Indonesia selalu merupakan ide bagus! #ExploreIndonesia 🇲🇾</v>
      </c>
    </row>
    <row r="232">
      <c r="A232" s="1" t="s">
        <v>17</v>
      </c>
      <c r="B232" s="1" t="s">
        <v>613</v>
      </c>
      <c r="C232" s="1" t="s">
        <v>695</v>
      </c>
      <c r="D232" s="4" t="s">
        <v>691</v>
      </c>
      <c r="E232" s="1" t="s">
        <v>740</v>
      </c>
      <c r="F232" s="6" t="str">
        <f>IFERROR(__xludf.DUMMYFUNCTION("IFERROR(ARRAYFORMULA(REGEXREPLACE(E232, ""("" &amp; TEXTJOIN(""|"", TRUE, FILTER(Q232:Q247, E:E&lt;&gt;"""")) &amp; "")"", 
                     INDEX(R232:R247, MATCH(REGEXEXTRACT(E232:E965, ""("" &amp; TEXTJOIN(""|"", TRUE, FILTER(Q232:Q247, Q232:Q247&lt;&gt;"""")) &amp; "")""), Q"&amp;"232:Q247, 0)))), E232)"),"@exploreindonesia 📍🇮🇩 too beautiful")</f>
        <v>@exploreindonesia 📍🇮🇩 too beautiful</v>
      </c>
      <c r="G232" s="6" t="str">
        <f>IFERROR(__xludf.DUMMYFUNCTION("GOOGLETRANSLATE(F232, ""id"", ""de"")
"),"@exploreindonesia 📍🇮🇩 zu schön")</f>
        <v>@exploreindonesia 📍🇮🇩 zu schön</v>
      </c>
      <c r="H232" s="6" t="str">
        <f>IFERROR(__xludf.DUMMYFUNCTION("GOOGLETRANSLATE(G232, ""de"", ""id"")"),"@exploreindonesia 📍🇮🇩 cantik sekali")</f>
        <v>@exploreindonesia 📍🇮🇩 cantik sekali</v>
      </c>
      <c r="I232" s="6" t="str">
        <f>IFERROR(__xludf.DUMMYFUNCTION("GOOGLETRANSLATE(G232, ""de"", ""en"")"),"@exploreindonesia 📍🇮🇩 too beautiful")</f>
        <v>@exploreindonesia 📍🇮🇩 too beautiful</v>
      </c>
      <c r="J232" s="6" t="str">
        <f>IFERROR(__xludf.DUMMYFUNCTION("GOOGLETRANSLATE(I232, ""en"", ""id"")"),"@exploreindonesia 📍🇮🇩 cantik sekali")</f>
        <v>@exploreindonesia 📍🇮🇩 cantik sekali</v>
      </c>
      <c r="K232" s="6" t="str">
        <f>IFERROR(__xludf.DUMMYFUNCTION("GOOGLETRANSLATE(F232, ""id"", ""en"")"),"@exploreindonesia 📍🇮🇩 too beautiful")</f>
        <v>@exploreindonesia 📍🇮🇩 too beautiful</v>
      </c>
      <c r="L232" s="6" t="s">
        <v>740</v>
      </c>
      <c r="M232" s="6" t="str">
        <f>IFERROR(__xludf.DUMMYFUNCTION("GOOGLETRANSLATE(L232, ""en"", ""de"")"),"@exploreindonesia 📍🇮🇩 zu schön")</f>
        <v>@exploreindonesia 📍🇮🇩 zu schön</v>
      </c>
      <c r="N232" s="6" t="s">
        <v>741</v>
      </c>
      <c r="O232" s="6" t="str">
        <f>IFERROR(__xludf.DUMMYFUNCTION("GOOGLETRANSLATE(N232, ""de"", ""id"")"),"@exploreindonesia 📍🇮🇩 cantik sekali")</f>
        <v>@exploreindonesia 📍🇮🇩 cantik sekali</v>
      </c>
    </row>
    <row r="233">
      <c r="A233" s="1" t="s">
        <v>17</v>
      </c>
      <c r="B233" s="1" t="s">
        <v>613</v>
      </c>
      <c r="C233" s="1" t="s">
        <v>730</v>
      </c>
      <c r="D233" s="4" t="s">
        <v>691</v>
      </c>
      <c r="E233" s="1" t="s">
        <v>742</v>
      </c>
      <c r="F233" s="6" t="str">
        <f>IFERROR(__xludf.DUMMYFUNCTION("IFERROR(ARRAYFORMULA(REGEXREPLACE(E233, ""("" &amp; TEXTJOIN(""|"", TRUE, FILTER(Q233:Q248, E:E&lt;&gt;"""")) &amp; "")"", 
                     INDEX(R233:R248, MATCH(REGEXEXTRACT(E233:E965, ""("" &amp; TEXTJOIN(""|"", TRUE, FILTER(Q233:Q248, Q233:Q248&lt;&gt;"""")) &amp; "")""), Q"&amp;"233:Q248, 0)))), E233)"),"@roeang.kelana yook bareng 🤭")</f>
        <v>@roeang.kelana yook bareng 🤭</v>
      </c>
      <c r="G233" s="6" t="str">
        <f>IFERROR(__xludf.DUMMYFUNCTION("GOOGLETRANSLATE(F233, ""id"", ""de"")
"),"@roeang.kelana lass uns zusammen gehen 🤭")</f>
        <v>@roeang.kelana lass uns zusammen gehen 🤭</v>
      </c>
      <c r="H233" s="6" t="str">
        <f>IFERROR(__xludf.DUMMYFUNCTION("GOOGLETRANSLATE(G233, ""de"", ""id"")"),"@roeang.kelana ayo jalan bareng 🤭")</f>
        <v>@roeang.kelana ayo jalan bareng 🤭</v>
      </c>
      <c r="I233" s="6" t="str">
        <f>IFERROR(__xludf.DUMMYFUNCTION("GOOGLETRANSLATE(G233, ""de"", ""en"")"),"@roeang.kelana let's go together 🤭")</f>
        <v>@roeang.kelana let's go together 🤭</v>
      </c>
      <c r="J233" s="6" t="str">
        <f>IFERROR(__xludf.DUMMYFUNCTION("GOOGLETRANSLATE(I233, ""en"", ""id"")"),"@roeang.kelana ayo jalan bareng 🤭")</f>
        <v>@roeang.kelana ayo jalan bareng 🤭</v>
      </c>
      <c r="K233" s="6" t="str">
        <f>IFERROR(__xludf.DUMMYFUNCTION("GOOGLETRANSLATE(F233, ""id"", ""en"")"),"@roeang.kelana let's go together 🤭")</f>
        <v>@roeang.kelana let's go together 🤭</v>
      </c>
      <c r="L233" s="6" t="s">
        <v>743</v>
      </c>
      <c r="M233" s="6" t="str">
        <f>IFERROR(__xludf.DUMMYFUNCTION("GOOGLETRANSLATE(L233, ""en"", ""de"")"),"@roeang.kelana lass uns zusammen gehen 🤭")</f>
        <v>@roeang.kelana lass uns zusammen gehen 🤭</v>
      </c>
      <c r="N233" s="6" t="s">
        <v>744</v>
      </c>
      <c r="O233" s="6" t="str">
        <f>IFERROR(__xludf.DUMMYFUNCTION("GOOGLETRANSLATE(N233, ""de"", ""id"")"),"@roeang.kelana ayo jalan bareng 🤭")</f>
        <v>@roeang.kelana ayo jalan bareng 🤭</v>
      </c>
    </row>
    <row r="234">
      <c r="A234" s="1" t="s">
        <v>17</v>
      </c>
      <c r="B234" s="1" t="s">
        <v>613</v>
      </c>
      <c r="C234" s="1" t="s">
        <v>745</v>
      </c>
      <c r="D234" s="4" t="s">
        <v>746</v>
      </c>
      <c r="E234" s="1" t="s">
        <v>747</v>
      </c>
      <c r="F234" s="6" t="str">
        <f>IFERROR(__xludf.DUMMYFUNCTION("IFERROR(ARRAYFORMULA(REGEXREPLACE(E234, ""("" &amp; TEXTJOIN(""|"", TRUE, FILTER(Q234:Q249, E:E&lt;&gt;"""")) &amp; "")"", 
                     INDEX(R234:R249, MATCH(REGEXEXTRACT(E234:E965, ""("" &amp; TEXTJOIN(""|"", TRUE, FILTER(Q234:Q249, Q234:Q249&lt;&gt;"""")) &amp; "")""), Q"&amp;"234:Q249, 0)))), E234)"),"😊")</f>
        <v>😊</v>
      </c>
      <c r="G234" s="6" t="str">
        <f>IFERROR(__xludf.DUMMYFUNCTION("GOOGLETRANSLATE(F234, ""id"", ""de"")
"),"😊")</f>
        <v>😊</v>
      </c>
      <c r="H234" s="6" t="str">
        <f>IFERROR(__xludf.DUMMYFUNCTION("GOOGLETRANSLATE(G234, ""de"", ""id"")"),"😊")</f>
        <v>😊</v>
      </c>
      <c r="I234" s="6" t="str">
        <f>IFERROR(__xludf.DUMMYFUNCTION("GOOGLETRANSLATE(G234, ""de"", ""en"")"),"😊")</f>
        <v>😊</v>
      </c>
      <c r="J234" s="6" t="str">
        <f>IFERROR(__xludf.DUMMYFUNCTION("GOOGLETRANSLATE(I234, ""en"", ""id"")"),"😊")</f>
        <v>😊</v>
      </c>
      <c r="K234" s="6" t="str">
        <f>IFERROR(__xludf.DUMMYFUNCTION("GOOGLETRANSLATE(F234, ""id"", ""en"")"),"😊")</f>
        <v>😊</v>
      </c>
      <c r="L234" s="6" t="s">
        <v>747</v>
      </c>
      <c r="M234" s="6" t="str">
        <f>IFERROR(__xludf.DUMMYFUNCTION("GOOGLETRANSLATE(L234, ""en"", ""de"")"),"😊")</f>
        <v>😊</v>
      </c>
      <c r="N234" s="6" t="s">
        <v>747</v>
      </c>
      <c r="O234" s="6" t="str">
        <f>IFERROR(__xludf.DUMMYFUNCTION("GOOGLETRANSLATE(N234, ""de"", ""id"")"),"😊")</f>
        <v>😊</v>
      </c>
    </row>
    <row r="235">
      <c r="A235" s="1" t="s">
        <v>17</v>
      </c>
      <c r="B235" s="1" t="s">
        <v>613</v>
      </c>
      <c r="C235" s="1" t="s">
        <v>704</v>
      </c>
      <c r="D235" s="4" t="s">
        <v>746</v>
      </c>
      <c r="E235" s="1" t="s">
        <v>748</v>
      </c>
      <c r="F235" s="6" t="str">
        <f>IFERROR(__xludf.DUMMYFUNCTION("IFERROR(ARRAYFORMULA(REGEXREPLACE(E235, ""("" &amp; TEXTJOIN(""|"", TRUE, FILTER(Q235:Q250, E:E&lt;&gt;"""")) &amp; "")"", 
                     INDEX(R235:R250, MATCH(REGEXEXTRACT(E235:E965, ""("" &amp; TEXTJOIN(""|"", TRUE, FILTER(Q235:Q250, Q235:Q250&lt;&gt;"""")) &amp; "")""), Q"&amp;"235:Q250, 0)))), E235)"),"@vhytaadam cieeee sampe merah pipinya @dk_wck @willy_photograph @syidiqabubakar , BODO AMAAAT 🤣")</f>
        <v>@vhytaadam cieeee sampe merah pipinya @dk_wck @willy_photograph @syidiqabubakar , BODO AMAAAT 🤣</v>
      </c>
      <c r="G235" s="6" t="str">
        <f>IFERROR(__xludf.DUMMYFUNCTION("GOOGLETRANSLATE(F235, ""id"", ""de"")
"),"@vhytaadam cieeee bis ihre Wangen rot sind @dk_wck @willy_photograph @syidiqabubakar , AMAAAT DUMM 🤣")</f>
        <v>@vhytaadam cieeee bis ihre Wangen rot sind @dk_wck @willy_photograph @syidiqabubakar , AMAAAT DUMM 🤣</v>
      </c>
      <c r="H235" s="6" t="str">
        <f>IFERROR(__xludf.DUMMYFUNCTION("GOOGLETRANSLATE(G235, ""de"", ""id"")"),"@vhytaadam cieeee sampai pipinya merah @dk_wck @willy_photograph @syidiqabubakar , AMAAAT BODOH 🤣")</f>
        <v>@vhytaadam cieeee sampai pipinya merah @dk_wck @willy_photograph @syidiqabubakar , AMAAAT BODOH 🤣</v>
      </c>
      <c r="I235" s="6" t="str">
        <f>IFERROR(__xludf.DUMMYFUNCTION("GOOGLETRANSLATE(G235, ""de"", ""en"")"),"@vhytaadam cieeee until her cheeks are red @dk_wck @willy_photograph @syidiqabubakar , AMAAAT STUPID 🤣")</f>
        <v>@vhytaadam cieeee until her cheeks are red @dk_wck @willy_photograph @syidiqabubakar , AMAAAT STUPID 🤣</v>
      </c>
      <c r="J235" s="6" t="str">
        <f>IFERROR(__xludf.DUMMYFUNCTION("GOOGLETRANSLATE(I235, ""en"", ""id"")"),"@vhytaadam cieeee sampai pipinya merah @dk_wck @willy_photograph @syidiqabubakar , AMAAAT BODOH 🤣")</f>
        <v>@vhytaadam cieeee sampai pipinya merah @dk_wck @willy_photograph @syidiqabubakar , AMAAAT BODOH 🤣</v>
      </c>
      <c r="K235" s="6" t="str">
        <f>IFERROR(__xludf.DUMMYFUNCTION("GOOGLETRANSLATE(F235, ""id"", ""en"")"),"@vhytaadam cieeee until her cheeks are red @dk_wck @willy_photograph @syidiqabubakar , AMAAAT STUPID 🤣")</f>
        <v>@vhytaadam cieeee until her cheeks are red @dk_wck @willy_photograph @syidiqabubakar , AMAAAT STUPID 🤣</v>
      </c>
      <c r="L235" s="6" t="s">
        <v>749</v>
      </c>
      <c r="M235" s="6" t="str">
        <f>IFERROR(__xludf.DUMMYFUNCTION("GOOGLETRANSLATE(L235, ""en"", ""de"")"),"@vhytaadam cieeee bis ihre Wangen rot sind @dk_wck @willy_photograph @syidiqabubakar , AMAAAT DUMM 🤣")</f>
        <v>@vhytaadam cieeee bis ihre Wangen rot sind @dk_wck @willy_photograph @syidiqabubakar , AMAAAT DUMM 🤣</v>
      </c>
      <c r="N235" s="6" t="s">
        <v>750</v>
      </c>
      <c r="O235" s="6" t="str">
        <f>IFERROR(__xludf.DUMMYFUNCTION("GOOGLETRANSLATE(N235, ""de"", ""id"")"),"@vhytaadam cieeee sampai pipinya merah @dk_wck @willy_photograph @syidiqabubakar , AMAAAT BODOH 🤣")</f>
        <v>@vhytaadam cieeee sampai pipinya merah @dk_wck @willy_photograph @syidiqabubakar , AMAAAT BODOH 🤣</v>
      </c>
    </row>
    <row r="236">
      <c r="A236" s="1" t="s">
        <v>17</v>
      </c>
      <c r="B236" s="1" t="s">
        <v>613</v>
      </c>
      <c r="C236" s="1" t="s">
        <v>745</v>
      </c>
      <c r="D236" s="4" t="s">
        <v>746</v>
      </c>
      <c r="E236" s="1" t="s">
        <v>751</v>
      </c>
      <c r="F236" s="6" t="str">
        <f>IFERROR(__xludf.DUMMYFUNCTION("IFERROR(ARRAYFORMULA(REGEXREPLACE(E236, ""("" &amp; TEXTJOIN(""|"", TRUE, FILTER(Q236:Q251, E:E&lt;&gt;"""")) &amp; "")"", 
                     INDEX(R236:R251, MATCH(REGEXEXTRACT(E236:E965, ""("" &amp; TEXTJOIN(""|"", TRUE, FILTER(Q236:Q251, Q236:Q251&lt;&gt;"""")) &amp; "")""), Q"&amp;"236:Q251, 0)))), E236)"),"@sineboy.art masih terngiang ngiang do amaaat")</f>
        <v>@sineboy.art masih terngiang ngiang do amaaat</v>
      </c>
      <c r="G236" s="6" t="str">
        <f>IFERROR(__xludf.DUMMYFUNCTION("GOOGLETRANSLATE(F236, ""id"", ""de"")
"),"@sineboy.art klingt immer noch in meinen Herzen")</f>
        <v>@sineboy.art klingt immer noch in meinen Herzen</v>
      </c>
      <c r="H236" s="6" t="str">
        <f>IFERROR(__xludf.DUMMYFUNCTION("GOOGLETRANSLATE(G236, ""de"", ""id"")"),"@ sineboy.art masih terngiang-ngiang di hatiku")</f>
        <v>@ sineboy.art masih terngiang-ngiang di hatiku</v>
      </c>
      <c r="I236" s="6" t="str">
        <f>IFERROR(__xludf.DUMMYFUNCTION("GOOGLETRANSLATE(G236, ""de"", ""en"")"),"@sineboy.art still rings in my heart")</f>
        <v>@sineboy.art still rings in my heart</v>
      </c>
      <c r="J236" s="6" t="str">
        <f>IFERROR(__xludf.DUMMYFUNCTION("GOOGLETRANSLATE(I236, ""en"", ""id"")"),"@ sineboy.art masih terngiang-ngiang di hatiku")</f>
        <v>@ sineboy.art masih terngiang-ngiang di hatiku</v>
      </c>
      <c r="K236" s="6" t="str">
        <f>IFERROR(__xludf.DUMMYFUNCTION("GOOGLETRANSLATE(F236, ""id"", ""en"")"),"@sineboy.art is still ringing in my hearts")</f>
        <v>@sineboy.art is still ringing in my hearts</v>
      </c>
      <c r="L236" s="6" t="s">
        <v>752</v>
      </c>
      <c r="M236" s="6" t="str">
        <f>IFERROR(__xludf.DUMMYFUNCTION("GOOGLETRANSLATE(L236, ""en"", ""de"")"),"@sineboy.art klingt immer noch in meinen Herzen")</f>
        <v>@sineboy.art klingt immer noch in meinen Herzen</v>
      </c>
      <c r="N236" s="6" t="s">
        <v>753</v>
      </c>
      <c r="O236" s="6" t="str">
        <f>IFERROR(__xludf.DUMMYFUNCTION("GOOGLETRANSLATE(N236, ""de"", ""id"")"),"@ sineboy.art masih terngiang-ngiang di hatiku")</f>
        <v>@ sineboy.art masih terngiang-ngiang di hatiku</v>
      </c>
    </row>
    <row r="237">
      <c r="A237" s="1" t="s">
        <v>17</v>
      </c>
      <c r="B237" s="1" t="s">
        <v>613</v>
      </c>
      <c r="C237" s="1" t="s">
        <v>754</v>
      </c>
      <c r="D237" s="4" t="s">
        <v>746</v>
      </c>
      <c r="E237" s="1" t="s">
        <v>755</v>
      </c>
      <c r="F237" s="6" t="str">
        <f>IFERROR(__xludf.DUMMYFUNCTION("IFERROR(ARRAYFORMULA(REGEXREPLACE(E237, ""("" &amp; TEXTJOIN(""|"", TRUE, FILTER(Q237:Q252, E:E&lt;&gt;"""")) &amp; "")"", 
                     INDEX(R237:R252, MATCH(REGEXEXTRACT(E237:E965, ""("" &amp; TEXTJOIN(""|"", TRUE, FILTER(Q237:Q252, Q237:Q252&lt;&gt;"""")) &amp; "")""), Q"&amp;"237:Q252, 0)))), E237)"),"@sineboy.art skrng d ruangannya lagi senyum” sndiri kayanya")</f>
        <v>@sineboy.art skrng d ruangannya lagi senyum” sndiri kayanya</v>
      </c>
      <c r="G237" s="6" t="str">
        <f>IFERROR(__xludf.DUMMYFUNCTION("GOOGLETRANSLATE(F237, ""id"", ""de"")
"),"@sineboy.art jetzt im Raum lächelt er, er scheint allein zu sein")</f>
        <v>@sineboy.art jetzt im Raum lächelt er, er scheint allein zu sein</v>
      </c>
      <c r="H237" s="6" t="str">
        <f>IFERROR(__xludf.DUMMYFUNCTION("GOOGLETRANSLATE(G237, ""de"", ""id"")"),"@sineboy.art sekarang di kamar dia tersenyum, sepertinya dia sendirian")</f>
        <v>@sineboy.art sekarang di kamar dia tersenyum, sepertinya dia sendirian</v>
      </c>
      <c r="I237" s="6" t="str">
        <f>IFERROR(__xludf.DUMMYFUNCTION("GOOGLETRANSLATE(G237, ""de"", ""en"")"),"@sineboy.art now in the room he is smiling, he seems to be alone")</f>
        <v>@sineboy.art now in the room he is smiling, he seems to be alone</v>
      </c>
      <c r="J237" s="6" t="str">
        <f>IFERROR(__xludf.DUMMYFUNCTION("GOOGLETRANSLATE(I237, ""en"", ""id"")"),"@sineboy.art sekarang di kamar dia tersenyum, sepertinya dia sendirian")</f>
        <v>@sineboy.art sekarang di kamar dia tersenyum, sepertinya dia sendirian</v>
      </c>
      <c r="K237" s="6" t="str">
        <f>IFERROR(__xludf.DUMMYFUNCTION("GOOGLETRANSLATE(F237, ""id"", ""en"")"),"@sineboy.art now in the room he's smiling, he seems to be alone")</f>
        <v>@sineboy.art now in the room he's smiling, he seems to be alone</v>
      </c>
      <c r="L237" s="6" t="s">
        <v>756</v>
      </c>
      <c r="M237" s="6" t="str">
        <f>IFERROR(__xludf.DUMMYFUNCTION("GOOGLETRANSLATE(L237, ""en"", ""de"")"),"@sineboy.art jetzt im Raum lächelt er, er scheint allein zu sein")</f>
        <v>@sineboy.art jetzt im Raum lächelt er, er scheint allein zu sein</v>
      </c>
      <c r="N237" s="6" t="s">
        <v>757</v>
      </c>
      <c r="O237" s="6" t="str">
        <f>IFERROR(__xludf.DUMMYFUNCTION("GOOGLETRANSLATE(N237, ""de"", ""id"")"),"@sineboy.art sekarang di kamar dia tersenyum, sepertinya dia sendirian")</f>
        <v>@sineboy.art sekarang di kamar dia tersenyum, sepertinya dia sendirian</v>
      </c>
    </row>
    <row r="238">
      <c r="A238" s="1" t="s">
        <v>17</v>
      </c>
      <c r="B238" s="1" t="s">
        <v>613</v>
      </c>
      <c r="C238" s="1" t="s">
        <v>726</v>
      </c>
      <c r="D238" s="4" t="s">
        <v>746</v>
      </c>
      <c r="E238" s="1" t="s">
        <v>758</v>
      </c>
      <c r="F238" s="6" t="str">
        <f>IFERROR(__xludf.DUMMYFUNCTION("IFERROR(ARRAYFORMULA(REGEXREPLACE(E238, ""("" &amp; TEXTJOIN(""|"", TRUE, FILTER(Q238:Q253, E:E&lt;&gt;"""")) &amp; "")"", 
                     INDEX(R238:R253, MATCH(REGEXEXTRACT(E238:E965, ""("" &amp; TEXTJOIN(""|"", TRUE, FILTER(Q238:Q253, Q238:Q253&lt;&gt;"""")) &amp; "")""), Q"&amp;"238:Q253, 0)))), E238)"),"@vhytaadam aww aww awwww merinding ehkk")</f>
        <v>@vhytaadam aww aww awwww merinding ehkk</v>
      </c>
      <c r="G238" s="6" t="str">
        <f>IFERROR(__xludf.DUMMYFUNCTION("GOOGLETRANSLATE(F238, ""id"", ""de"")
"),"@vhytaadam Aww aww awww Gänsehaut ehkk")</f>
        <v>@vhytaadam Aww aww awww Gänsehaut ehkk</v>
      </c>
      <c r="H238" s="6" t="str">
        <f>IFERROR(__xludf.DUMMYFUNCTION("GOOGLETRANSLATE(G238, ""de"", ""id"")"),"@vhytaadam Aww aww awww merinding ehkk")</f>
        <v>@vhytaadam Aww aww awww merinding ehkk</v>
      </c>
      <c r="I238" s="6" t="str">
        <f>IFERROR(__xludf.DUMMYFUNCTION("GOOGLETRANSLATE(G238, ""de"", ""en"")"),"@vhytaadam Aww aww awww goosebumps ehkk")</f>
        <v>@vhytaadam Aww aww awww goosebumps ehkk</v>
      </c>
      <c r="J238" s="6" t="str">
        <f>IFERROR(__xludf.DUMMYFUNCTION("GOOGLETRANSLATE(I238, ""en"", ""id"")"),"@vhytaadam Aww aww awww merinding ehkk")</f>
        <v>@vhytaadam Aww aww awww merinding ehkk</v>
      </c>
      <c r="K238" s="6" t="str">
        <f>IFERROR(__xludf.DUMMYFUNCTION("GOOGLETRANSLATE(F238, ""id"", ""en"")"),"@vhytaadam aww aww awwww goosebumps ehkk")</f>
        <v>@vhytaadam aww aww awwww goosebumps ehkk</v>
      </c>
      <c r="L238" s="6" t="s">
        <v>759</v>
      </c>
      <c r="M238" s="6" t="str">
        <f>IFERROR(__xludf.DUMMYFUNCTION("GOOGLETRANSLATE(L238, ""en"", ""de"")"),"@vhytaadam aww aww awwww ich bekomme eine Gänsehaut, ehkk")</f>
        <v>@vhytaadam aww aww awwww ich bekomme eine Gänsehaut, ehkk</v>
      </c>
      <c r="N238" s="6" t="s">
        <v>760</v>
      </c>
      <c r="O238" s="6" t="str">
        <f>IFERROR(__xludf.DUMMYFUNCTION("GOOGLETRANSLATE(N238, ""de"", ""id"")"),"@vhytaadam aww aww awwww merinding, ehkk")</f>
        <v>@vhytaadam aww aww awwww merinding, ehkk</v>
      </c>
    </row>
    <row r="239">
      <c r="A239" s="1" t="s">
        <v>17</v>
      </c>
      <c r="B239" s="1" t="s">
        <v>613</v>
      </c>
      <c r="C239" s="1" t="s">
        <v>704</v>
      </c>
      <c r="D239" s="4" t="s">
        <v>746</v>
      </c>
      <c r="E239" s="1" t="s">
        <v>761</v>
      </c>
      <c r="F239" s="6" t="str">
        <f>IFERROR(__xludf.DUMMYFUNCTION("IFERROR(ARRAYFORMULA(REGEXREPLACE(E239, ""("" &amp; TEXTJOIN(""|"", TRUE, FILTER(Q239:Q254, E:E&lt;&gt;"""")) &amp; "")"", 
                     INDEX(R239:R254, MATCH(REGEXEXTRACT(E239:E965, ""("" &amp; TEXTJOIN(""|"", TRUE, FILTER(Q239:Q254, Q239:Q254&lt;&gt;"""")) &amp; "")""), Q"&amp;"239:Q254, 0)))), E239)"),"@vhytaadam do amat ini, Bodo amat apa Valdo amat? Wkwkwk")</f>
        <v>@vhytaadam do amat ini, Bodo amat apa Valdo amat? Wkwkwk</v>
      </c>
      <c r="G239" s="6" t="str">
        <f>IFERROR(__xludf.DUMMYFUNCTION("GOOGLETRANSLATE(F239, ""id"", ""de"")
"),"@vhytaadam machst du das wirklich, bist du wirklich dumm oder Valdo wirklich? hahaha")</f>
        <v>@vhytaadam machst du das wirklich, bist du wirklich dumm oder Valdo wirklich? hahaha</v>
      </c>
      <c r="H239" s="6" t="str">
        <f>IFERROR(__xludf.DUMMYFUNCTION("GOOGLETRANSLATE(G239, ""de"", ""id"")"),"@vhytaadam apakah kamu benar-benar melakukan ini, apakah kamu benar-benar bodoh atau benarkah Valdo? ha ha ha")</f>
        <v>@vhytaadam apakah kamu benar-benar melakukan ini, apakah kamu benar-benar bodoh atau benarkah Valdo? ha ha ha</v>
      </c>
      <c r="I239" s="6" t="str">
        <f>IFERROR(__xludf.DUMMYFUNCTION("GOOGLETRANSLATE(G239, ""de"", ""en"")"),"@vhytaadam are you really doing this, are you really stupid or Valdo really? hahaha")</f>
        <v>@vhytaadam are you really doing this, are you really stupid or Valdo really? hahaha</v>
      </c>
      <c r="J239" s="6" t="str">
        <f>IFERROR(__xludf.DUMMYFUNCTION("GOOGLETRANSLATE(I239, ""en"", ""id"")"),"@vhytaadam apakah kamu benar-benar melakukan ini, apakah kamu benar-benar bodoh atau benarkah Valdo? ha ha ha")</f>
        <v>@vhytaadam apakah kamu benar-benar melakukan ini, apakah kamu benar-benar bodoh atau benarkah Valdo? ha ha ha</v>
      </c>
      <c r="K239" s="6" t="str">
        <f>IFERROR(__xludf.DUMMYFUNCTION("GOOGLETRANSLATE(F239, ""id"", ""en"")"),"@vhytaadam do you really do this, do you really stupid or Valdo really? Hahaha")</f>
        <v>@vhytaadam do you really do this, do you really stupid or Valdo really? Hahaha</v>
      </c>
      <c r="L239" s="6" t="s">
        <v>762</v>
      </c>
      <c r="M239" s="6" t="str">
        <f>IFERROR(__xludf.DUMMYFUNCTION("GOOGLETRANSLATE(L239, ""en"", ""de"")"),"@vhytaadam machst du das wirklich, bist du wirklich dumm oder Valdo wirklich? hahaha")</f>
        <v>@vhytaadam machst du das wirklich, bist du wirklich dumm oder Valdo wirklich? hahaha</v>
      </c>
      <c r="N239" s="6" t="s">
        <v>763</v>
      </c>
      <c r="O239" s="6" t="str">
        <f>IFERROR(__xludf.DUMMYFUNCTION("GOOGLETRANSLATE(N239, ""de"", ""id"")"),"@vhytaadam apakah kamu benar-benar melakukan ini, apakah kamu benar-benar bodoh atau benarkah Valdo? ha ha ha")</f>
        <v>@vhytaadam apakah kamu benar-benar melakukan ini, apakah kamu benar-benar bodoh atau benarkah Valdo? ha ha ha</v>
      </c>
    </row>
    <row r="240">
      <c r="A240" s="1" t="s">
        <v>17</v>
      </c>
      <c r="B240" s="1" t="s">
        <v>613</v>
      </c>
      <c r="C240" s="1" t="s">
        <v>764</v>
      </c>
      <c r="D240" s="4" t="s">
        <v>746</v>
      </c>
      <c r="E240" s="1" t="s">
        <v>765</v>
      </c>
      <c r="F240" s="6" t="str">
        <f>IFERROR(__xludf.DUMMYFUNCTION("IFERROR(ARRAYFORMULA(REGEXREPLACE(E240, ""("" &amp; TEXTJOIN(""|"", TRUE, FILTER(Q240:Q255, E:E&lt;&gt;"""")) &amp; "")"", 
                     INDEX(R240:R255, MATCH(REGEXEXTRACT(E240:E965, ""("" &amp; TEXTJOIN(""|"", TRUE, FILTER(Q240:Q255, Q240:Q255&lt;&gt;"""")) &amp; "")""), Q"&amp;"240:Q255, 0)))), E240)"),"@vhytaadam Nekat kooomeenn di lapak ini 😂")</f>
        <v>@vhytaadam Nekat kooomeenn di lapak ini 😂</v>
      </c>
      <c r="G240" s="6" t="str">
        <f>IFERROR(__xludf.DUMMYFUNCTION("GOOGLETRANSLATE(F240, ""id"", ""de"")
"),"@vhytaadam Reckless kooomeenn an diesem Stand 😂")</f>
        <v>@vhytaadam Reckless kooomeenn an diesem Stand 😂</v>
      </c>
      <c r="H240" s="6" t="str">
        <f>IFERROR(__xludf.DUMMYFUNCTION("GOOGLETRANSLATE(G240, ""de"", ""id"")"),"@vhytaadam Kooomeenn yang ceroboh di stand ini 😂")</f>
        <v>@vhytaadam Kooomeenn yang ceroboh di stand ini 😂</v>
      </c>
      <c r="I240" s="6" t="str">
        <f>IFERROR(__xludf.DUMMYFUNCTION("GOOGLETRANSLATE(G240, ""de"", ""en"")"),"@vhytaadam Reckless kooomeenn at this stand 😂")</f>
        <v>@vhytaadam Reckless kooomeenn at this stand 😂</v>
      </c>
      <c r="J240" s="6" t="str">
        <f>IFERROR(__xludf.DUMMYFUNCTION("GOOGLETRANSLATE(I240, ""en"", ""id"")"),"@vhytaadam Kooomeenn yang ceroboh di stand ini 😂")</f>
        <v>@vhytaadam Kooomeenn yang ceroboh di stand ini 😂</v>
      </c>
      <c r="K240" s="6" t="str">
        <f>IFERROR(__xludf.DUMMYFUNCTION("GOOGLETRANSLATE(F240, ""id"", ""en"")"),"@vhytaadam Reckless kooomeenn at this stall 😂")</f>
        <v>@vhytaadam Reckless kooomeenn at this stall 😂</v>
      </c>
      <c r="L240" s="6" t="s">
        <v>766</v>
      </c>
      <c r="M240" s="6" t="str">
        <f>IFERROR(__xludf.DUMMYFUNCTION("GOOGLETRANSLATE(L240, ""en"", ""de"")"),"@vhytaadam Reckless kooomeenn an diesem Stand 😂")</f>
        <v>@vhytaadam Reckless kooomeenn an diesem Stand 😂</v>
      </c>
      <c r="N240" s="6" t="s">
        <v>767</v>
      </c>
      <c r="O240" s="6" t="str">
        <f>IFERROR(__xludf.DUMMYFUNCTION("GOOGLETRANSLATE(N240, ""de"", ""id"")"),"@vhytaadam Kooomeenn yang ceroboh di stand ini 😂")</f>
        <v>@vhytaadam Kooomeenn yang ceroboh di stand ini 😂</v>
      </c>
    </row>
    <row r="241">
      <c r="A241" s="1" t="s">
        <v>17</v>
      </c>
      <c r="B241" s="1" t="s">
        <v>613</v>
      </c>
      <c r="C241" s="1" t="s">
        <v>768</v>
      </c>
      <c r="D241" s="4" t="s">
        <v>746</v>
      </c>
      <c r="E241" s="1" t="s">
        <v>769</v>
      </c>
      <c r="F241" s="6" t="str">
        <f>IFERROR(__xludf.DUMMYFUNCTION("IFERROR(ARRAYFORMULA(REGEXREPLACE(E241, ""("" &amp; TEXTJOIN(""|"", TRUE, FILTER(Q241:Q256, E:E&lt;&gt;"""")) &amp; "")"", 
                     INDEX(R241:R256, MATCH(REGEXEXTRACT(E241:E965, ""("" &amp; TEXTJOIN(""|"", TRUE, FILTER(Q241:Q256, Q241:Q256&lt;&gt;"""")) &amp; "")""), Q"&amp;"241:Q256, 0)))), E241)"),"@sineboy.art si dodo amat kyk nya gus")</f>
        <v>@sineboy.art si dodo amat kyk nya gus</v>
      </c>
      <c r="G241" s="6" t="str">
        <f>IFERROR(__xludf.DUMMYFUNCTION("GOOGLETRANSLATE(F241, ""id"", ""de"")
"),"@sineboy.art der Dodo sieht wirklich so aus")</f>
        <v>@sineboy.art der Dodo sieht wirklich so aus</v>
      </c>
      <c r="H241" s="6" t="str">
        <f>IFERROR(__xludf.DUMMYFUNCTION("GOOGLETRANSLATE(G241, ""de"", ""id"")"),"@ sineboy.art dodonya memang terlihat seperti itu")</f>
        <v>@ sineboy.art dodonya memang terlihat seperti itu</v>
      </c>
      <c r="I241" s="6" t="str">
        <f>IFERROR(__xludf.DUMMYFUNCTION("GOOGLETRANSLATE(G241, ""de"", ""en"")"),"@sineboy.art the dodo really looks like that")</f>
        <v>@sineboy.art the dodo really looks like that</v>
      </c>
      <c r="J241" s="6" t="str">
        <f>IFERROR(__xludf.DUMMYFUNCTION("GOOGLETRANSLATE(I241, ""en"", ""id"")"),"@ sineboy.art dodonya memang terlihat seperti itu")</f>
        <v>@ sineboy.art dodonya memang terlihat seperti itu</v>
      </c>
      <c r="K241" s="6" t="str">
        <f>IFERROR(__xludf.DUMMYFUNCTION("GOOGLETRANSLATE(F241, ""id"", ""en"")"),"@sineboy.art the dodo really looks like that")</f>
        <v>@sineboy.art the dodo really looks like that</v>
      </c>
      <c r="L241" s="6" t="s">
        <v>770</v>
      </c>
      <c r="M241" s="6" t="str">
        <f>IFERROR(__xludf.DUMMYFUNCTION("GOOGLETRANSLATE(L241, ""en"", ""de"")"),"@sineboy.art der Dodo sieht wirklich so aus")</f>
        <v>@sineboy.art der Dodo sieht wirklich so aus</v>
      </c>
      <c r="N241" s="6" t="s">
        <v>771</v>
      </c>
      <c r="O241" s="6" t="str">
        <f>IFERROR(__xludf.DUMMYFUNCTION("GOOGLETRANSLATE(N241, ""de"", ""id"")"),"@ sineboy.art dodonya memang terlihat seperti itu")</f>
        <v>@ sineboy.art dodonya memang terlihat seperti itu</v>
      </c>
    </row>
    <row r="242">
      <c r="A242" s="1" t="s">
        <v>17</v>
      </c>
      <c r="B242" s="1" t="s">
        <v>613</v>
      </c>
      <c r="C242" s="1" t="s">
        <v>695</v>
      </c>
      <c r="D242" s="4" t="s">
        <v>746</v>
      </c>
      <c r="E242" s="1" t="s">
        <v>772</v>
      </c>
      <c r="F242" s="6" t="str">
        <f>IFERROR(__xludf.DUMMYFUNCTION("IFERROR(ARRAYFORMULA(REGEXREPLACE(E242, ""("" &amp; TEXTJOIN(""|"", TRUE, FILTER(Q242:Q257, E:E&lt;&gt;"""")) &amp; "")"", 
                     INDEX(R242:R257, MATCH(REGEXEXTRACT(E242:E965, ""("" &amp; TEXTJOIN(""|"", TRUE, FILTER(Q242:Q257, Q242:Q257&lt;&gt;"""")) &amp; "")""), Q"&amp;"242:Q257, 0)))), E242)"),"@vhytaadam ibih so jago berenang e")</f>
        <v>@vhytaadam ibih so jago berenang e</v>
      </c>
      <c r="G242" s="6" t="str">
        <f>IFERROR(__xludf.DUMMYFUNCTION("GOOGLETRANSLATE(F242, ""id"", ""de"")
"),"@vhytaadam ibih so gut im Schwimmen e")</f>
        <v>@vhytaadam ibih so gut im Schwimmen e</v>
      </c>
      <c r="H242" s="6" t="str">
        <f>IFERROR(__xludf.DUMMYFUNCTION("GOOGLETRANSLATE(G242, ""de"", ""id"")"),"@vhytaadam Ibih pandai berenang e")</f>
        <v>@vhytaadam Ibih pandai berenang e</v>
      </c>
      <c r="I242" s="6" t="str">
        <f>IFERROR(__xludf.DUMMYFUNCTION("GOOGLETRANSLATE(G242, ""de"", ""en"")"),"@vhytaadam Ibih so good at swimming e")</f>
        <v>@vhytaadam Ibih so good at swimming e</v>
      </c>
      <c r="J242" s="6" t="str">
        <f>IFERROR(__xludf.DUMMYFUNCTION("GOOGLETRANSLATE(I242, ""en"", ""id"")"),"@vhytaadam Ibih pandai berenang e")</f>
        <v>@vhytaadam Ibih pandai berenang e</v>
      </c>
      <c r="K242" s="6" t="str">
        <f>IFERROR(__xludf.DUMMYFUNCTION("GOOGLETRANSLATE(F242, ""id"", ""en"")"),"@vhytaadam ibih so good at swimming e")</f>
        <v>@vhytaadam ibih so good at swimming e</v>
      </c>
      <c r="L242" s="6" t="s">
        <v>773</v>
      </c>
      <c r="M242" s="6" t="str">
        <f>IFERROR(__xludf.DUMMYFUNCTION("GOOGLETRANSLATE(L242, ""en"", ""de"")"),"@vhytaadam ibih so gut im Schwimmen e")</f>
        <v>@vhytaadam ibih so gut im Schwimmen e</v>
      </c>
      <c r="N242" s="6" t="s">
        <v>774</v>
      </c>
      <c r="O242" s="6" t="str">
        <f>IFERROR(__xludf.DUMMYFUNCTION("GOOGLETRANSLATE(N242, ""de"", ""id"")"),"@vhytaadam Ibih pandai berenang e")</f>
        <v>@vhytaadam Ibih pandai berenang e</v>
      </c>
    </row>
    <row r="243">
      <c r="A243" s="1" t="s">
        <v>17</v>
      </c>
      <c r="B243" s="1" t="s">
        <v>613</v>
      </c>
      <c r="C243" s="1" t="s">
        <v>775</v>
      </c>
      <c r="D243" s="4" t="s">
        <v>746</v>
      </c>
      <c r="E243" s="1" t="s">
        <v>776</v>
      </c>
      <c r="F243" s="6" t="str">
        <f>IFERROR(__xludf.DUMMYFUNCTION("IFERROR(ARRAYFORMULA(REGEXREPLACE(E243, ""("" &amp; TEXTJOIN(""|"", TRUE, FILTER(Q243:Q258, E:E&lt;&gt;"""")) &amp; "")"", 
                     INDEX(R243:R258, MATCH(REGEXEXTRACT(E243:E965, ""("" &amp; TEXTJOIN(""|"", TRUE, FILTER(Q243:Q258, Q243:Q258&lt;&gt;"""")) &amp; "")""), Q"&amp;"243:Q258, 0)))), E243)"),"Ini dalamnya sekitar berapa meter?")</f>
        <v>Ini dalamnya sekitar berapa meter?</v>
      </c>
      <c r="G243" s="6" t="str">
        <f>IFERROR(__xludf.DUMMYFUNCTION("GOOGLETRANSLATE(F243, ""id"", ""de"")
"),"Wie viele Meter tief ist das?")</f>
        <v>Wie viele Meter tief ist das?</v>
      </c>
      <c r="H243" s="6" t="str">
        <f>IFERROR(__xludf.DUMMYFUNCTION("GOOGLETRANSLATE(G243, ""de"", ""id"")"),"Berapa meter kedalamannya?")</f>
        <v>Berapa meter kedalamannya?</v>
      </c>
      <c r="I243" s="6" t="str">
        <f>IFERROR(__xludf.DUMMYFUNCTION("GOOGLETRANSLATE(G243, ""de"", ""en"")"),"How many meters deep is that?")</f>
        <v>How many meters deep is that?</v>
      </c>
      <c r="J243" s="6" t="str">
        <f>IFERROR(__xludf.DUMMYFUNCTION("GOOGLETRANSLATE(I243, ""en"", ""id"")"),"Berapa meter kedalamannya?")</f>
        <v>Berapa meter kedalamannya?</v>
      </c>
      <c r="K243" s="6" t="str">
        <f>IFERROR(__xludf.DUMMYFUNCTION("GOOGLETRANSLATE(F243, ""id"", ""en"")"),"How many meters deep is this?")</f>
        <v>How many meters deep is this?</v>
      </c>
      <c r="L243" s="6" t="s">
        <v>777</v>
      </c>
      <c r="M243" s="6" t="str">
        <f>IFERROR(__xludf.DUMMYFUNCTION("GOOGLETRANSLATE(L243, ""en"", ""de"")"),"Wie viele Meter tief ist das?")</f>
        <v>Wie viele Meter tief ist das?</v>
      </c>
      <c r="N243" s="6" t="s">
        <v>778</v>
      </c>
      <c r="O243" s="6" t="str">
        <f>IFERROR(__xludf.DUMMYFUNCTION("GOOGLETRANSLATE(N243, ""de"", ""id"")"),"Berapa meter kedalamannya?")</f>
        <v>Berapa meter kedalamannya?</v>
      </c>
    </row>
    <row r="244">
      <c r="A244" s="1" t="s">
        <v>17</v>
      </c>
      <c r="B244" s="1" t="s">
        <v>613</v>
      </c>
      <c r="C244" s="1" t="s">
        <v>695</v>
      </c>
      <c r="D244" s="4" t="s">
        <v>746</v>
      </c>
      <c r="E244" s="1" t="s">
        <v>779</v>
      </c>
      <c r="F244" s="6" t="str">
        <f>IFERROR(__xludf.DUMMYFUNCTION("IFERROR(ARRAYFORMULA(REGEXREPLACE(E244, ""("" &amp; TEXTJOIN(""|"", TRUE, FILTER(Q244:Q259, E:E&lt;&gt;"""")) &amp; "")"", 
                     INDEX(R244:R259, MATCH(REGEXEXTRACT(E244:E965, ""("" &amp; TEXTJOIN(""|"", TRUE, FILTER(Q244:Q259, Q244:Q259&lt;&gt;"""")) &amp; "")""), Q"&amp;"244:Q259, 0)))), E244)"),"@allandferdinand ,, paling dalem kemarin berapa meter kira kira om @sineboy.art ?")</f>
        <v>@allandferdinand ,, paling dalem kemarin berapa meter kira kira om @sineboy.art ?</v>
      </c>
      <c r="G244" s="6" t="str">
        <f>IFERROR(__xludf.DUMMYFUNCTION("GOOGLETRANSLATE(F244, ""id"", ""de"")
"),"@allandferdinand, wie viele Meter waren es gestern, Onkel @sineboy.art?")</f>
        <v>@allandferdinand, wie viele Meter waren es gestern, Onkel @sineboy.art?</v>
      </c>
      <c r="H244" s="6" t="str">
        <f>IFERROR(__xludf.DUMMYFUNCTION("GOOGLETRANSLATE(G244, ""de"", ""id"")"),"@allandferdinand kemarin berapa meter om @sineboy.art?")</f>
        <v>@allandferdinand kemarin berapa meter om @sineboy.art?</v>
      </c>
      <c r="I244" s="6" t="str">
        <f>IFERROR(__xludf.DUMMYFUNCTION("GOOGLETRANSLATE(G244, ""de"", ""en"")"),"@allandferdinand, how many meters was it yesterday, uncle @sineboy.art?")</f>
        <v>@allandferdinand, how many meters was it yesterday, uncle @sineboy.art?</v>
      </c>
      <c r="J244" s="6" t="str">
        <f>IFERROR(__xludf.DUMMYFUNCTION("GOOGLETRANSLATE(I244, ""en"", ""id"")"),"@allandferdinand kemarin berapa meter om @sineboy.art?")</f>
        <v>@allandferdinand kemarin berapa meter om @sineboy.art?</v>
      </c>
      <c r="K244" s="6" t="str">
        <f>IFERROR(__xludf.DUMMYFUNCTION("GOOGLETRANSLATE(F244, ""id"", ""en"")"),"@allandferdinand, how many meters was there yesterday, uncle @sineboy.art?")</f>
        <v>@allandferdinand, how many meters was there yesterday, uncle @sineboy.art?</v>
      </c>
      <c r="L244" s="6" t="s">
        <v>780</v>
      </c>
      <c r="M244" s="6" t="str">
        <f>IFERROR(__xludf.DUMMYFUNCTION("GOOGLETRANSLATE(L244, ""en"", ""de"")"),"@allandferdinand, wie viele Meter waren es gestern, Onkel @sineboy.art?")</f>
        <v>@allandferdinand, wie viele Meter waren es gestern, Onkel @sineboy.art?</v>
      </c>
      <c r="N244" s="6" t="s">
        <v>781</v>
      </c>
      <c r="O244" s="6" t="str">
        <f>IFERROR(__xludf.DUMMYFUNCTION("GOOGLETRANSLATE(N244, ""de"", ""id"")"),"@allandferdinand kemarin berapa meter om @sineboy.art?")</f>
        <v>@allandferdinand kemarin berapa meter om @sineboy.art?</v>
      </c>
    </row>
    <row r="245">
      <c r="A245" s="1" t="s">
        <v>17</v>
      </c>
      <c r="B245" s="1" t="s">
        <v>613</v>
      </c>
      <c r="C245" s="1" t="s">
        <v>704</v>
      </c>
      <c r="D245" s="4" t="s">
        <v>746</v>
      </c>
      <c r="E245" s="1" t="s">
        <v>782</v>
      </c>
      <c r="F245" s="6" t="str">
        <f>IFERROR(__xludf.DUMMYFUNCTION("IFERROR(ARRAYFORMULA(REGEXREPLACE(E245, ""("" &amp; TEXTJOIN(""|"", TRUE, FILTER(Q245:Q260, E:E&lt;&gt;"""")) &amp; "")"", 
                     INDEX(R245:R260, MATCH(REGEXEXTRACT(E245:E965, ""("" &amp; TEXTJOIN(""|"", TRUE, FILTER(Q245:Q260, Q245:Q260&lt;&gt;"""")) &amp; "")""), Q"&amp;"245:Q260, 0)))), E245)"),"@roeang.kelana 2 meteran kayanya bang, kalo gak 2m ya 2km lah kira2 🤣")</f>
        <v>@roeang.kelana 2 meteran kayanya bang, kalo gak 2m ya 2km lah kira2 🤣</v>
      </c>
      <c r="G245" s="6" t="str">
        <f>IFERROR(__xludf.DUMMYFUNCTION("GOOGLETRANSLATE(F245, ""id"", ""de"")
"),"@roeang.kelana sieht aus wie 2 Meter, Bruder, wenn nicht 2 m, dann vielleicht 2 km 🤣")</f>
        <v>@roeang.kelana sieht aus wie 2 Meter, Bruder, wenn nicht 2 m, dann vielleicht 2 km 🤣</v>
      </c>
      <c r="H245" s="6" t="str">
        <f>IFERROR(__xludf.DUMMYFUNCTION("GOOGLETRANSLATE(G245, ""de"", ""id"")"),"@roeang.kelana kelihatannya 2 meter gan, kalau bukan 2m mungkin 2km 🤣")</f>
        <v>@roeang.kelana kelihatannya 2 meter gan, kalau bukan 2m mungkin 2km 🤣</v>
      </c>
      <c r="I245" s="6" t="str">
        <f>IFERROR(__xludf.DUMMYFUNCTION("GOOGLETRANSLATE(G245, ""de"", ""en"")"),"@roeang.kelana looks like 2 meters bro, if not 2m then maybe 2km 🤣")</f>
        <v>@roeang.kelana looks like 2 meters bro, if not 2m then maybe 2km 🤣</v>
      </c>
      <c r="J245" s="6" t="str">
        <f>IFERROR(__xludf.DUMMYFUNCTION("GOOGLETRANSLATE(I245, ""en"", ""id"")"),"@roeang.kelana kelihatannya 2 meter gan, kalau bukan 2m mungkin 2km 🤣")</f>
        <v>@roeang.kelana kelihatannya 2 meter gan, kalau bukan 2m mungkin 2km 🤣</v>
      </c>
      <c r="K245" s="6" t="str">
        <f>IFERROR(__xludf.DUMMYFUNCTION("GOOGLETRANSLATE(F245, ""id"", ""en"")"),"@roeang.kelana looks like 2 meters, bro, if not 2m, maybe 2km 🤣")</f>
        <v>@roeang.kelana looks like 2 meters, bro, if not 2m, maybe 2km 🤣</v>
      </c>
      <c r="L245" s="6" t="s">
        <v>783</v>
      </c>
      <c r="M245" s="6" t="str">
        <f>IFERROR(__xludf.DUMMYFUNCTION("GOOGLETRANSLATE(L245, ""en"", ""de"")"),"@roeang.kelana sieht aus wie 2 Meter, Bruder, wenn nicht 2 m, dann vielleicht 2 km 🤣")</f>
        <v>@roeang.kelana sieht aus wie 2 Meter, Bruder, wenn nicht 2 m, dann vielleicht 2 km 🤣</v>
      </c>
      <c r="N245" s="6" t="s">
        <v>784</v>
      </c>
      <c r="O245" s="6" t="str">
        <f>IFERROR(__xludf.DUMMYFUNCTION("GOOGLETRANSLATE(N245, ""de"", ""id"")"),"@roeang.kelana kelihatannya 2 meter gan, kalau bukan 2m mungkin 2km 🤣")</f>
        <v>@roeang.kelana kelihatannya 2 meter gan, kalau bukan 2m mungkin 2km 🤣</v>
      </c>
    </row>
    <row r="246">
      <c r="A246" s="1" t="s">
        <v>17</v>
      </c>
      <c r="B246" s="1" t="s">
        <v>613</v>
      </c>
      <c r="C246" s="1" t="s">
        <v>764</v>
      </c>
      <c r="D246" s="4" t="s">
        <v>746</v>
      </c>
      <c r="E246" s="1" t="s">
        <v>785</v>
      </c>
      <c r="F246" s="6" t="str">
        <f>IFERROR(__xludf.DUMMYFUNCTION("IFERROR(ARRAYFORMULA(REGEXREPLACE(E246, ""("" &amp; TEXTJOIN(""|"", TRUE, FILTER(Q246:Q261, E:E&lt;&gt;"""")) &amp; "")"", 
                     INDEX(R246:R261, MATCH(REGEXEXTRACT(E246:E965, ""("" &amp; TEXTJOIN(""|"", TRUE, FILTER(Q246:Q261, Q246:Q261&lt;&gt;"""")) &amp; "")""), Q"&amp;"246:Q261, 0)))), E246)"),"Yooo’ bisa yooo’ bisa balik")</f>
        <v>Yooo’ bisa yooo’ bisa balik</v>
      </c>
      <c r="G246" s="6" t="str">
        <f>IFERROR(__xludf.DUMMYFUNCTION("GOOGLETRANSLATE(F246, ""id"", ""de"")
"),"Yooo kann yooo kann zurückkommen")</f>
        <v>Yooo kann yooo kann zurückkommen</v>
      </c>
      <c r="H246" s="6" t="str">
        <f>IFERROR(__xludf.DUMMYFUNCTION("GOOGLETRANSLATE(G246, ""de"", ""id"")"),"Yooo bisakah yooo kembali")</f>
        <v>Yooo bisakah yooo kembali</v>
      </c>
      <c r="I246" s="6" t="str">
        <f>IFERROR(__xludf.DUMMYFUNCTION("GOOGLETRANSLATE(G246, ""de"", ""en"")"),"Yooo can yooo can come back")</f>
        <v>Yooo can yooo can come back</v>
      </c>
      <c r="J246" s="6" t="str">
        <f>IFERROR(__xludf.DUMMYFUNCTION("GOOGLETRANSLATE(I246, ""en"", ""id"")"),"Yooo bisakah yooo kembali")</f>
        <v>Yooo bisakah yooo kembali</v>
      </c>
      <c r="K246" s="6" t="str">
        <f>IFERROR(__xludf.DUMMYFUNCTION("GOOGLETRANSLATE(F246, ""id"", ""en"")"),"Yooo' can yooo' can come back")</f>
        <v>Yooo' can yooo' can come back</v>
      </c>
      <c r="L246" s="6" t="s">
        <v>786</v>
      </c>
      <c r="M246" s="6" t="str">
        <f>IFERROR(__xludf.DUMMYFUNCTION("GOOGLETRANSLATE(L246, ""en"", ""de"")"),"Yooo kann yooo kann zurückkommen")</f>
        <v>Yooo kann yooo kann zurückkommen</v>
      </c>
      <c r="N246" s="6" t="s">
        <v>787</v>
      </c>
      <c r="O246" s="6" t="str">
        <f>IFERROR(__xludf.DUMMYFUNCTION("GOOGLETRANSLATE(N246, ""de"", ""id"")"),"Yooo bisakah yooo kembali")</f>
        <v>Yooo bisakah yooo kembali</v>
      </c>
    </row>
    <row r="247">
      <c r="A247" s="1" t="s">
        <v>17</v>
      </c>
      <c r="B247" s="1" t="s">
        <v>613</v>
      </c>
      <c r="C247" s="1" t="s">
        <v>768</v>
      </c>
      <c r="D247" s="4" t="s">
        <v>746</v>
      </c>
      <c r="E247" s="1" t="s">
        <v>788</v>
      </c>
      <c r="F247" s="6" t="str">
        <f>IFERROR(__xludf.DUMMYFUNCTION("IFERROR(ARRAYFORMULA(REGEXREPLACE(E247, ""("" &amp; TEXTJOIN(""|"", TRUE, FILTER(Q247:Q262, E:E&lt;&gt;"""")) &amp; "")"", 
                     INDEX(R247:R262, MATCH(REGEXEXTRACT(E247:E965, ""("" &amp; TEXTJOIN(""|"", TRUE, FILTER(Q247:Q262, Q247:Q262&lt;&gt;"""")) &amp; "")""), Q"&amp;"247:Q262, 0)))), E247)"),"@ra_fitry km kangen sama valdo ya?😂")</f>
        <v>@ra_fitry km kangen sama valdo ya?😂</v>
      </c>
      <c r="G247" s="6" t="str">
        <f>IFERROR(__xludf.DUMMYFUNCTION("GOOGLETRANSLATE(F247, ""id"", ""de"")
"),"@ra_fitry, vermisst du Valdo?😂")</f>
        <v>@ra_fitry, vermisst du Valdo?😂</v>
      </c>
      <c r="H247" s="6" t="str">
        <f>IFERROR(__xludf.DUMMYFUNCTION("GOOGLETRANSLATE(G247, ""de"", ""id"")"),"@ra_fitry, kangen Valdo?😂")</f>
        <v>@ra_fitry, kangen Valdo?😂</v>
      </c>
      <c r="I247" s="6" t="str">
        <f>IFERROR(__xludf.DUMMYFUNCTION("GOOGLETRANSLATE(G247, ""de"", ""en"")"),"@ra_fitry, do you miss Valdo?😂")</f>
        <v>@ra_fitry, do you miss Valdo?😂</v>
      </c>
      <c r="J247" s="6" t="str">
        <f>IFERROR(__xludf.DUMMYFUNCTION("GOOGLETRANSLATE(I247, ""en"", ""id"")"),"@ra_fitry, kangen Valdo?😂")</f>
        <v>@ra_fitry, kangen Valdo?😂</v>
      </c>
      <c r="K247" s="6" t="str">
        <f>IFERROR(__xludf.DUMMYFUNCTION("GOOGLETRANSLATE(F247, ""id"", ""en"")"),"@ra_fitry do you miss Valdo?😂")</f>
        <v>@ra_fitry do you miss Valdo?😂</v>
      </c>
      <c r="L247" s="6" t="s">
        <v>789</v>
      </c>
      <c r="M247" s="6" t="str">
        <f>IFERROR(__xludf.DUMMYFUNCTION("GOOGLETRANSLATE(L247, ""en"", ""de"")"),"@ra_fitry vermisst du Valdo? 😂")</f>
        <v>@ra_fitry vermisst du Valdo? 😂</v>
      </c>
      <c r="N247" s="6" t="s">
        <v>790</v>
      </c>
      <c r="O247" s="6" t="str">
        <f>IFERROR(__xludf.DUMMYFUNCTION("GOOGLETRANSLATE(N247, ""de"", ""id"")"),"@ra_fitry apakah kamu rindu Valdo? 😂")</f>
        <v>@ra_fitry apakah kamu rindu Valdo? 😂</v>
      </c>
    </row>
    <row r="248">
      <c r="A248" s="1" t="s">
        <v>17</v>
      </c>
      <c r="B248" s="1" t="s">
        <v>613</v>
      </c>
      <c r="C248" s="1" t="s">
        <v>791</v>
      </c>
      <c r="D248" s="4" t="s">
        <v>746</v>
      </c>
      <c r="E248" s="1" t="s">
        <v>792</v>
      </c>
      <c r="F248" s="6" t="str">
        <f>IFERROR(__xludf.DUMMYFUNCTION("IFERROR(ARRAYFORMULA(REGEXREPLACE(E248, ""("" &amp; TEXTJOIN(""|"", TRUE, FILTER(Q248:Q263, E:E&lt;&gt;"""")) &amp; "")"", 
                     INDEX(R248:R263, MATCH(REGEXEXTRACT(E248:E965, ""("" &amp; TEXTJOIN(""|"", TRUE, FILTER(Q248:Q263, Q248:Q263&lt;&gt;"""")) &amp; "")""), Q"&amp;"248:Q263, 0)))), E248)"),"Seindah ituu😍")</f>
        <v>Seindah ituu😍</v>
      </c>
      <c r="G248" s="6" t="str">
        <f>IFERROR(__xludf.DUMMYFUNCTION("GOOGLETRANSLATE(F248, ""id"", ""de"")
"),"Es ist so schön😍")</f>
        <v>Es ist so schön😍</v>
      </c>
      <c r="H248" s="6" t="str">
        <f>IFERROR(__xludf.DUMMYFUNCTION("GOOGLETRANSLATE(G248, ""de"", ""id"")"),"Cantik sekali😍")</f>
        <v>Cantik sekali😍</v>
      </c>
      <c r="I248" s="6" t="str">
        <f>IFERROR(__xludf.DUMMYFUNCTION("GOOGLETRANSLATE(G248, ""de"", ""en"")"),"It's so beautiful😍")</f>
        <v>It's so beautiful😍</v>
      </c>
      <c r="J248" s="6" t="str">
        <f>IFERROR(__xludf.DUMMYFUNCTION("GOOGLETRANSLATE(I248, ""en"", ""id"")"),"Cantik sekali😍")</f>
        <v>Cantik sekali😍</v>
      </c>
      <c r="K248" s="6" t="str">
        <f>IFERROR(__xludf.DUMMYFUNCTION("GOOGLETRANSLATE(F248, ""id"", ""en"")"),"It's that beautiful😍")</f>
        <v>It's that beautiful😍</v>
      </c>
      <c r="L248" s="6" t="s">
        <v>793</v>
      </c>
      <c r="M248" s="6" t="str">
        <f>IFERROR(__xludf.DUMMYFUNCTION("GOOGLETRANSLATE(L248, ""en"", ""de"")"),"Es ist so schön😍")</f>
        <v>Es ist so schön😍</v>
      </c>
      <c r="N248" s="6" t="s">
        <v>794</v>
      </c>
      <c r="O248" s="6" t="str">
        <f>IFERROR(__xludf.DUMMYFUNCTION("GOOGLETRANSLATE(N248, ""de"", ""id"")"),"Cantik sekali😍")</f>
        <v>Cantik sekali😍</v>
      </c>
    </row>
    <row r="249">
      <c r="A249" s="1" t="s">
        <v>17</v>
      </c>
      <c r="B249" s="1" t="s">
        <v>613</v>
      </c>
      <c r="C249" s="1" t="s">
        <v>695</v>
      </c>
      <c r="D249" s="4" t="s">
        <v>746</v>
      </c>
      <c r="E249" s="1" t="s">
        <v>795</v>
      </c>
      <c r="F249" s="6" t="str">
        <f>IFERROR(__xludf.DUMMYFUNCTION("IFERROR(ARRAYFORMULA(REGEXREPLACE(E249, ""("" &amp; TEXTJOIN(""|"", TRUE, FILTER(Q249:Q264, E:E&lt;&gt;"""")) &amp; "")"", 
                     INDEX(R249:R264, MATCH(REGEXEXTRACT(E249:E965, ""("" &amp; TEXTJOIN(""|"", TRUE, FILTER(Q249:Q264, Q249:Q264&lt;&gt;"""")) &amp; "")""), Q"&amp;"249:Q264, 0)))), E249)"),"@hens4m hayu kang.. kudu kadieuu")</f>
        <v>@hens4m hayu kang.. kudu kadieuu</v>
      </c>
      <c r="G249" s="6" t="str">
        <f>IFERROR(__xludf.DUMMYFUNCTION("GOOGLETRANSLATE(F249, ""id"", ""de"")
"),"@hens4m komm schon, Kudu kadieuu")</f>
        <v>@hens4m komm schon, Kudu kadieuu</v>
      </c>
      <c r="H249" s="6" t="str">
        <f>IFERROR(__xludf.DUMMYFUNCTION("GOOGLETRANSLATE(G249, ""de"", ""id"")"),"@hens4m ayolah, kudu kadieuu")</f>
        <v>@hens4m ayolah, kudu kadieuu</v>
      </c>
      <c r="I249" s="6" t="str">
        <f>IFERROR(__xludf.DUMMYFUNCTION("GOOGLETRANSLATE(G249, ""de"", ""en"")"),"@hens4m come on, kudu kadieuu")</f>
        <v>@hens4m come on, kudu kadieuu</v>
      </c>
      <c r="J249" s="6" t="str">
        <f>IFERROR(__xludf.DUMMYFUNCTION("GOOGLETRANSLATE(I249, ""en"", ""id"")"),"@hens4m ayolah, kudu kadieuu")</f>
        <v>@hens4m ayolah, kudu kadieuu</v>
      </c>
      <c r="K249" s="6" t="str">
        <f>IFERROR(__xludf.DUMMYFUNCTION("GOOGLETRANSLATE(F249, ""id"", ""en"")"),"@hens4m come on bro.. kudu kadieuu")</f>
        <v>@hens4m come on bro.. kudu kadieuu</v>
      </c>
      <c r="L249" s="6" t="s">
        <v>796</v>
      </c>
      <c r="M249" s="6" t="str">
        <f>IFERROR(__xludf.DUMMYFUNCTION("GOOGLETRANSLATE(L249, ""en"", ""de"")"),"@hens4m komm schon, Kudu kadieuu")</f>
        <v>@hens4m komm schon, Kudu kadieuu</v>
      </c>
      <c r="N249" s="6" t="s">
        <v>797</v>
      </c>
      <c r="O249" s="6" t="str">
        <f>IFERROR(__xludf.DUMMYFUNCTION("GOOGLETRANSLATE(N249, ""de"", ""id"")"),"@hens4m ayolah, kudu kadieuu")</f>
        <v>@hens4m ayolah, kudu kadieuu</v>
      </c>
    </row>
    <row r="250">
      <c r="A250" s="1" t="s">
        <v>17</v>
      </c>
      <c r="B250" s="1" t="s">
        <v>613</v>
      </c>
      <c r="C250" s="1" t="s">
        <v>798</v>
      </c>
      <c r="D250" s="4" t="s">
        <v>746</v>
      </c>
      <c r="E250" s="1" t="s">
        <v>799</v>
      </c>
      <c r="F250" s="6" t="str">
        <f>IFERROR(__xludf.DUMMYFUNCTION("IFERROR(ARRAYFORMULA(REGEXREPLACE(E250, ""("" &amp; TEXTJOIN(""|"", TRUE, FILTER(Q250:Q265, E:E&lt;&gt;"""")) &amp; "")"", 
                     INDEX(R250:R265, MATCH(REGEXEXTRACT(E250:E965, ""("" &amp; TEXTJOIN(""|"", TRUE, FILTER(Q250:Q265, Q250:Q265&lt;&gt;"""")) &amp; "")""), Q"&amp;"250:Q265, 0)))), E250)"),"Cakep landscape nya, next hrs kesini")</f>
        <v>Cakep landscape nya, next hrs kesini</v>
      </c>
      <c r="G250" s="6" t="str">
        <f>IFERROR(__xludf.DUMMYFUNCTION("GOOGLETRANSLATE(F250, ""id"", ""de"")
"),"Die Landschaft ist wunderschön, das nächste Mal müssen Sie hierher kommen")</f>
        <v>Die Landschaft ist wunderschön, das nächste Mal müssen Sie hierher kommen</v>
      </c>
      <c r="H250" s="6" t="str">
        <f>IFERROR(__xludf.DUMMYFUNCTION("GOOGLETRANSLATE(G250, ""de"", ""id"")"),"Pemandangannya indah, lain kali wajib kesini")</f>
        <v>Pemandangannya indah, lain kali wajib kesini</v>
      </c>
      <c r="I250" s="6" t="str">
        <f>IFERROR(__xludf.DUMMYFUNCTION("GOOGLETRANSLATE(G250, ""de"", ""en"")"),"The scenery is beautiful, you must come here next time")</f>
        <v>The scenery is beautiful, you must come here next time</v>
      </c>
      <c r="J250" s="6" t="str">
        <f>IFERROR(__xludf.DUMMYFUNCTION("GOOGLETRANSLATE(I250, ""en"", ""id"")"),"Pemandangannya indah, lain kali wajib kesini")</f>
        <v>Pemandangannya indah, lain kali wajib kesini</v>
      </c>
      <c r="K250" s="6" t="str">
        <f>IFERROR(__xludf.DUMMYFUNCTION("GOOGLETRANSLATE(F250, ""id"", ""en"")"),"The landscape is beautiful, next time you have to come here")</f>
        <v>The landscape is beautiful, next time you have to come here</v>
      </c>
      <c r="L250" s="6" t="s">
        <v>800</v>
      </c>
      <c r="M250" s="6" t="str">
        <f>IFERROR(__xludf.DUMMYFUNCTION("GOOGLETRANSLATE(L250, ""en"", ""de"")"),"Die Landschaft ist wunderschön, das nächste Mal müssen Sie hierher kommen")</f>
        <v>Die Landschaft ist wunderschön, das nächste Mal müssen Sie hierher kommen</v>
      </c>
      <c r="N250" s="6" t="s">
        <v>801</v>
      </c>
      <c r="O250" s="6" t="str">
        <f>IFERROR(__xludf.DUMMYFUNCTION("GOOGLETRANSLATE(N250, ""de"", ""id"")"),"Pemandangannya indah, lain kali wajib kesini")</f>
        <v>Pemandangannya indah, lain kali wajib kesini</v>
      </c>
    </row>
    <row r="251">
      <c r="A251" s="1" t="s">
        <v>17</v>
      </c>
      <c r="B251" s="1" t="s">
        <v>613</v>
      </c>
      <c r="C251" s="1" t="s">
        <v>802</v>
      </c>
      <c r="D251" s="4" t="s">
        <v>746</v>
      </c>
      <c r="E251" s="1" t="s">
        <v>803</v>
      </c>
      <c r="F251" s="6" t="str">
        <f>IFERROR(__xludf.DUMMYFUNCTION("IFERROR(ARRAYFORMULA(REGEXREPLACE(E251, ""("" &amp; TEXTJOIN(""|"", TRUE, FILTER(Q251:Q266, E:E&lt;&gt;"""")) &amp; "")"", 
                     INDEX(R251:R266, MATCH(REGEXEXTRACT(E251:E965, ""("" &amp; TEXTJOIN(""|"", TRUE, FILTER(Q251:Q266, Q251:Q266&lt;&gt;"""")) &amp; "")""), Q"&amp;"251:Q266, 0)))), E251)"),"Surga tersembunyi 😍😍😍😍")</f>
        <v>Surga tersembunyi 😍😍😍😍</v>
      </c>
      <c r="G251" s="6" t="str">
        <f>IFERROR(__xludf.DUMMYFUNCTION("GOOGLETRANSLATE(F251, ""id"", ""de"")
"),"Verstecktes Paradies 😍😍😍😍")</f>
        <v>Verstecktes Paradies 😍😍😍😍</v>
      </c>
      <c r="H251" s="6" t="str">
        <f>IFERROR(__xludf.DUMMYFUNCTION("GOOGLETRANSLATE(G251, ""de"", ""id"")"),"Surga yang tersembunyi 😍😍😍😍")</f>
        <v>Surga yang tersembunyi 😍😍😍😍</v>
      </c>
      <c r="I251" s="6" t="str">
        <f>IFERROR(__xludf.DUMMYFUNCTION("GOOGLETRANSLATE(G251, ""de"", ""en"")"),"Hidden paradise 😍😍😍😍")</f>
        <v>Hidden paradise 😍😍😍😍</v>
      </c>
      <c r="J251" s="6" t="str">
        <f>IFERROR(__xludf.DUMMYFUNCTION("GOOGLETRANSLATE(I251, ""en"", ""id"")"),"Surga yang tersembunyi 😍😍😍😍")</f>
        <v>Surga yang tersembunyi 😍😍😍😍</v>
      </c>
      <c r="K251" s="6" t="str">
        <f>IFERROR(__xludf.DUMMYFUNCTION("GOOGLETRANSLATE(F251, ""id"", ""en"")"),"Hidden paradise 😍😍😍😍")</f>
        <v>Hidden paradise 😍😍😍😍</v>
      </c>
      <c r="L251" s="6" t="s">
        <v>804</v>
      </c>
      <c r="M251" s="6" t="str">
        <f>IFERROR(__xludf.DUMMYFUNCTION("GOOGLETRANSLATE(L251, ""en"", ""de"")"),"Verstecktes Paradies 😍😍😍😍")</f>
        <v>Verstecktes Paradies 😍😍😍😍</v>
      </c>
      <c r="N251" s="6" t="s">
        <v>805</v>
      </c>
      <c r="O251" s="6" t="str">
        <f>IFERROR(__xludf.DUMMYFUNCTION("GOOGLETRANSLATE(N251, ""de"", ""id"")"),"Surga yang tersembunyi 😍😍😍😍")</f>
        <v>Surga yang tersembunyi 😍😍😍😍</v>
      </c>
    </row>
    <row r="252">
      <c r="A252" s="1" t="s">
        <v>17</v>
      </c>
      <c r="B252" s="1" t="s">
        <v>613</v>
      </c>
      <c r="C252" s="1" t="s">
        <v>695</v>
      </c>
      <c r="D252" s="4" t="s">
        <v>746</v>
      </c>
      <c r="E252" s="1" t="s">
        <v>806</v>
      </c>
      <c r="F252" s="6" t="str">
        <f>IFERROR(__xludf.DUMMYFUNCTION("IFERROR(ARRAYFORMULA(REGEXREPLACE(E252, ""("" &amp; TEXTJOIN(""|"", TRUE, FILTER(Q252:Q267, E:E&lt;&gt;"""")) &amp; "")"", 
                     INDEX(R252:R267, MATCH(REGEXEXTRACT(E252:E965, ""("" &amp; TEXTJOIN(""|"", TRUE, FILTER(Q252:Q267, Q252:Q267&lt;&gt;"""")) &amp; "")""), Q"&amp;"252:Q267, 0)))), E252)"),"@adultamar betul sekali om")</f>
        <v>@adultamar betul sekali om</v>
      </c>
      <c r="G252" s="6" t="str">
        <f>IFERROR(__xludf.DUMMYFUNCTION("GOOGLETRANSLATE(F252, ""id"", ""de"")
"),"@adultamar das stimmt, Onkel")</f>
        <v>@adultamar das stimmt, Onkel</v>
      </c>
      <c r="H252" s="6" t="str">
        <f>IFERROR(__xludf.DUMMYFUNCTION("GOOGLETRANSLATE(G252, ""de"", ""id"")"),"@adultamar betul sekali om")</f>
        <v>@adultamar betul sekali om</v>
      </c>
      <c r="I252" s="6" t="str">
        <f>IFERROR(__xludf.DUMMYFUNCTION("GOOGLETRANSLATE(G252, ""de"", ""en"")"),"@adultamar that's true, uncle")</f>
        <v>@adultamar that's true, uncle</v>
      </c>
      <c r="J252" s="6" t="str">
        <f>IFERROR(__xludf.DUMMYFUNCTION("GOOGLETRANSLATE(I252, ""en"", ""id"")"),"@adultamar betul sekali om")</f>
        <v>@adultamar betul sekali om</v>
      </c>
      <c r="K252" s="6" t="str">
        <f>IFERROR(__xludf.DUMMYFUNCTION("GOOGLETRANSLATE(F252, ""id"", ""en"")"),"@adultamar that's right, uncle")</f>
        <v>@adultamar that's right, uncle</v>
      </c>
      <c r="L252" s="6" t="s">
        <v>807</v>
      </c>
      <c r="M252" s="6" t="str">
        <f>IFERROR(__xludf.DUMMYFUNCTION("GOOGLETRANSLATE(L252, ""en"", ""de"")"),"@adultamar das stimmt, Onkel")</f>
        <v>@adultamar das stimmt, Onkel</v>
      </c>
      <c r="N252" s="6" t="s">
        <v>808</v>
      </c>
      <c r="O252" s="6" t="str">
        <f>IFERROR(__xludf.DUMMYFUNCTION("GOOGLETRANSLATE(N252, ""de"", ""id"")"),"@adultamar betul sekali om")</f>
        <v>@adultamar betul sekali om</v>
      </c>
    </row>
    <row r="253">
      <c r="A253" s="1" t="s">
        <v>17</v>
      </c>
      <c r="B253" s="1" t="s">
        <v>613</v>
      </c>
      <c r="C253" s="1" t="s">
        <v>809</v>
      </c>
      <c r="D253" s="4" t="s">
        <v>746</v>
      </c>
      <c r="E253" s="1" t="s">
        <v>810</v>
      </c>
      <c r="F253" s="6" t="str">
        <f>IFERROR(__xludf.DUMMYFUNCTION("IFERROR(ARRAYFORMULA(REGEXREPLACE(E253, ""("" &amp; TEXTJOIN(""|"", TRUE, FILTER(Q253:Q268, E:E&lt;&gt;"""")) &amp; "")"", 
                     INDEX(R253:R268, MATCH(REGEXEXTRACT(E253:E965, ""("" &amp; TEXTJOIN(""|"", TRUE, FILTER(Q253:Q268, Q253:Q268&lt;&gt;"""")) &amp; "")""), Q"&amp;"253:Q268, 0)))), E253)"),"Do baliiik doooooo")</f>
        <v>Do baliiik doooooo</v>
      </c>
      <c r="G253" s="6" t="str">
        <f>IFERROR(__xludf.DUMMYFUNCTION("GOOGLETRANSLATE(F253, ""id"", ""de"")
"),"Komm zurück, dooooo")</f>
        <v>Komm zurück, dooooo</v>
      </c>
      <c r="H253" s="6" t="str">
        <f>IFERROR(__xludf.DUMMYFUNCTION("GOOGLETRANSLATE(G253, ""de"", ""id"")"),"Kembalilah, dooooo")</f>
        <v>Kembalilah, dooooo</v>
      </c>
      <c r="I253" s="6" t="str">
        <f>IFERROR(__xludf.DUMMYFUNCTION("GOOGLETRANSLATE(G253, ""de"", ""en"")"),"Come back, dooooo")</f>
        <v>Come back, dooooo</v>
      </c>
      <c r="J253" s="6" t="str">
        <f>IFERROR(__xludf.DUMMYFUNCTION("GOOGLETRANSLATE(I253, ""en"", ""id"")"),"Kembalilah, dooooo")</f>
        <v>Kembalilah, dooooo</v>
      </c>
      <c r="K253" s="6" t="str">
        <f>IFERROR(__xludf.DUMMYFUNCTION("GOOGLETRANSLATE(F253, ""id"", ""en"")"),"Come back dooooo")</f>
        <v>Come back dooooo</v>
      </c>
      <c r="L253" s="6" t="s">
        <v>811</v>
      </c>
      <c r="M253" s="6" t="str">
        <f>IFERROR(__xludf.DUMMYFUNCTION("GOOGLETRANSLATE(L253, ""en"", ""de"")"),"Komm zurück, dooooo")</f>
        <v>Komm zurück, dooooo</v>
      </c>
      <c r="N253" s="6" t="s">
        <v>812</v>
      </c>
      <c r="O253" s="6" t="str">
        <f>IFERROR(__xludf.DUMMYFUNCTION("GOOGLETRANSLATE(N253, ""de"", ""id"")"),"Kembalilah, dooooo")</f>
        <v>Kembalilah, dooooo</v>
      </c>
    </row>
    <row r="254">
      <c r="A254" s="1" t="s">
        <v>17</v>
      </c>
      <c r="B254" s="1" t="s">
        <v>613</v>
      </c>
      <c r="C254" s="1" t="s">
        <v>695</v>
      </c>
      <c r="D254" s="4" t="s">
        <v>746</v>
      </c>
      <c r="E254" s="1" t="s">
        <v>813</v>
      </c>
      <c r="F254" s="6" t="str">
        <f>IFERROR(__xludf.DUMMYFUNCTION("IFERROR(ARRAYFORMULA(REGEXREPLACE(E254, ""("" &amp; TEXTJOIN(""|"", TRUE, FILTER(Q254:Q269, E:E&lt;&gt;"""")) &amp; "")"", 
                     INDEX(R254:R269, MATCH(REGEXEXTRACT(E254:E965, ""("" &amp; TEXTJOIN(""|"", TRUE, FILTER(Q254:Q269, Q254:Q269&lt;&gt;"""")) &amp; "")""), Q"&amp;"254:Q269, 0)))), E254)"),"@willy_photograph lusaaaa nya bah 😅")</f>
        <v>@willy_photograph lusaaaa nya bah 😅</v>
      </c>
      <c r="G254" s="6" t="str">
        <f>IFERROR(__xludf.DUMMYFUNCTION("GOOGLETRANSLATE(F254, ""id"", ""de"")
"),"@willy_photograph übermorgen eh 😅")</f>
        <v>@willy_photograph übermorgen eh 😅</v>
      </c>
      <c r="H254" s="6" t="str">
        <f>IFERROR(__xludf.DUMMYFUNCTION("GOOGLETRANSLATE(G254, ""de"", ""id"")"),"@willy_photograph lusa sih 😅")</f>
        <v>@willy_photograph lusa sih 😅</v>
      </c>
      <c r="I254" s="6" t="str">
        <f>IFERROR(__xludf.DUMMYFUNCTION("GOOGLETRANSLATE(G254, ""de"", ""en"")"),"@willy_photograph the day after tomorrow anyway 😅")</f>
        <v>@willy_photograph the day after tomorrow anyway 😅</v>
      </c>
      <c r="J254" s="6" t="str">
        <f>IFERROR(__xludf.DUMMYFUNCTION("GOOGLETRANSLATE(I254, ""en"", ""id"")"),"@willy_photograph lusa sih 😅")</f>
        <v>@willy_photograph lusa sih 😅</v>
      </c>
      <c r="K254" s="6" t="str">
        <f>IFERROR(__xludf.DUMMYFUNCTION("GOOGLETRANSLATE(F254, ""id"", ""en"")"),"@willy_photograph the day after tomorrow eh 😅")</f>
        <v>@willy_photograph the day after tomorrow eh 😅</v>
      </c>
      <c r="L254" s="6" t="s">
        <v>814</v>
      </c>
      <c r="M254" s="6" t="str">
        <f>IFERROR(__xludf.DUMMYFUNCTION("GOOGLETRANSLATE(L254, ""en"", ""de"")"),"@willy_photograph übermorgen eh 😅")</f>
        <v>@willy_photograph übermorgen eh 😅</v>
      </c>
      <c r="N254" s="6" t="s">
        <v>815</v>
      </c>
      <c r="O254" s="6" t="str">
        <f>IFERROR(__xludf.DUMMYFUNCTION("GOOGLETRANSLATE(N254, ""de"", ""id"")"),"@willy_photograph lusa sih 😅")</f>
        <v>@willy_photograph lusa sih 😅</v>
      </c>
    </row>
    <row r="255">
      <c r="A255" s="1" t="s">
        <v>17</v>
      </c>
      <c r="B255" s="1" t="s">
        <v>613</v>
      </c>
      <c r="C255" s="1" t="s">
        <v>816</v>
      </c>
      <c r="D255" s="4" t="s">
        <v>746</v>
      </c>
      <c r="E255" s="1" t="s">
        <v>817</v>
      </c>
      <c r="F255" s="6" t="str">
        <f>IFERROR(__xludf.DUMMYFUNCTION("IFERROR(ARRAYFORMULA(REGEXREPLACE(E255, ""("" &amp; TEXTJOIN(""|"", TRUE, FILTER(Q255:Q270, E:E&lt;&gt;"""")) &amp; "")"", 
                     INDEX(R255:R270, MATCH(REGEXEXTRACT(E255:E965, ""("" &amp; TEXTJOIN(""|"", TRUE, FILTER(Q255:Q270, Q255:Q270&lt;&gt;"""")) &amp; "")""), Q"&amp;"255:Q270, 0)))), E255)"),"Sejam setengah Dari rumah, tpi seumur umur Blum pernah ksana😂")</f>
        <v>Sejam setengah Dari rumah, tpi seumur umur Blum pernah ksana😂</v>
      </c>
      <c r="G255" s="6" t="str">
        <f>IFERROR(__xludf.DUMMYFUNCTION("GOOGLETRANSLATE(F255, ""id"", ""de"")
"),"Anderthalb Stunden von zu Hause entfernt, aber ich war noch nie in meinem Leben dort😂")</f>
        <v>Anderthalb Stunden von zu Hause entfernt, aber ich war noch nie in meinem Leben dort😂</v>
      </c>
      <c r="H255" s="6" t="str">
        <f>IFERROR(__xludf.DUMMYFUNCTION("GOOGLETRANSLATE(G255, ""de"", ""id"")"),"Satu setengah jam dari rumah, tapi seumur hidup saya belum pernah ke sana😂")</f>
        <v>Satu setengah jam dari rumah, tapi seumur hidup saya belum pernah ke sana😂</v>
      </c>
      <c r="I255" s="6" t="str">
        <f>IFERROR(__xludf.DUMMYFUNCTION("GOOGLETRANSLATE(G255, ""de"", ""en"")"),"An hour and a half from home, but I've never been there in my life😂")</f>
        <v>An hour and a half from home, but I've never been there in my life😂</v>
      </c>
      <c r="J255" s="6" t="str">
        <f>IFERROR(__xludf.DUMMYFUNCTION("GOOGLETRANSLATE(I255, ""en"", ""id"")"),"Satu setengah jam dari rumah, tapi seumur hidup saya belum pernah ke sana😂")</f>
        <v>Satu setengah jam dari rumah, tapi seumur hidup saya belum pernah ke sana😂</v>
      </c>
      <c r="K255" s="6" t="str">
        <f>IFERROR(__xludf.DUMMYFUNCTION("GOOGLETRANSLATE(F255, ""id"", ""en"")"),"An hour and a half from home, but I've never been there in my life😂")</f>
        <v>An hour and a half from home, but I've never been there in my life😂</v>
      </c>
      <c r="L255" s="6" t="s">
        <v>818</v>
      </c>
      <c r="M255" s="6" t="str">
        <f>IFERROR(__xludf.DUMMYFUNCTION("GOOGLETRANSLATE(L255, ""en"", ""de"")"),"Anderthalb Stunden von zu Hause entfernt, aber ich war noch nie in meinem Leben dort😂")</f>
        <v>Anderthalb Stunden von zu Hause entfernt, aber ich war noch nie in meinem Leben dort😂</v>
      </c>
      <c r="N255" s="6" t="s">
        <v>819</v>
      </c>
      <c r="O255" s="6" t="str">
        <f>IFERROR(__xludf.DUMMYFUNCTION("GOOGLETRANSLATE(N255, ""de"", ""id"")"),"Satu setengah jam dari rumah, tapi seumur hidup saya belum pernah ke sana😂")</f>
        <v>Satu setengah jam dari rumah, tapi seumur hidup saya belum pernah ke sana😂</v>
      </c>
    </row>
    <row r="256">
      <c r="A256" s="1" t="s">
        <v>17</v>
      </c>
      <c r="B256" s="1" t="s">
        <v>613</v>
      </c>
      <c r="C256" s="1" t="s">
        <v>704</v>
      </c>
      <c r="D256" s="4" t="s">
        <v>746</v>
      </c>
      <c r="E256" s="1" t="s">
        <v>820</v>
      </c>
      <c r="F256" s="6" t="str">
        <f>IFERROR(__xludf.DUMMYFUNCTION("IFERROR(ARRAYFORMULA(REGEXREPLACE(E256, ""("" &amp; TEXTJOIN(""|"", TRUE, FILTER(Q256:Q271, E:E&lt;&gt;"""")) &amp; "")"", 
                     INDEX(R256:R271, MATCH(REGEXEXTRACT(E256:E965, ""("" &amp; TEXTJOIN(""|"", TRUE, FILTER(Q256:Q271, Q256:Q271&lt;&gt;"""")) &amp; "")""), Q"&amp;"256:Q271, 0)))), E256)"),"🥲, ga tau mau komen apa")</f>
        <v>🥲, ga tau mau komen apa</v>
      </c>
      <c r="G256" s="6" t="str">
        <f>IFERROR(__xludf.DUMMYFUNCTION("GOOGLETRANSLATE(F256, ""id"", ""de"")
"),"🥲, ich weiß nicht, was ich kommentieren soll")</f>
        <v>🥲, ich weiß nicht, was ich kommentieren soll</v>
      </c>
      <c r="H256" s="6" t="str">
        <f>IFERROR(__xludf.DUMMYFUNCTION("GOOGLETRANSLATE(G256, ""de"", ""id"")"),"🥲, saya tidak tahu harus berkomentar apa")</f>
        <v>🥲, saya tidak tahu harus berkomentar apa</v>
      </c>
      <c r="I256" s="6" t="str">
        <f>IFERROR(__xludf.DUMMYFUNCTION("GOOGLETRANSLATE(G256, ""de"", ""en"")"),"🥲, I don't know what to comment")</f>
        <v>🥲, I don't know what to comment</v>
      </c>
      <c r="J256" s="6" t="str">
        <f>IFERROR(__xludf.DUMMYFUNCTION("GOOGLETRANSLATE(I256, ""en"", ""id"")"),"🥲, saya tidak tahu harus berkomentar apa")</f>
        <v>🥲, saya tidak tahu harus berkomentar apa</v>
      </c>
      <c r="K256" s="6" t="str">
        <f>IFERROR(__xludf.DUMMYFUNCTION("GOOGLETRANSLATE(F256, ""id"", ""en"")"),"🥲, I don't know what to comment")</f>
        <v>🥲, I don't know what to comment</v>
      </c>
      <c r="L256" s="6" t="s">
        <v>821</v>
      </c>
      <c r="M256" s="6" t="str">
        <f>IFERROR(__xludf.DUMMYFUNCTION("GOOGLETRANSLATE(L256, ""en"", ""de"")"),"🥲, ich weiß nicht, was ich kommentieren soll")</f>
        <v>🥲, ich weiß nicht, was ich kommentieren soll</v>
      </c>
      <c r="N256" s="6" t="s">
        <v>822</v>
      </c>
      <c r="O256" s="6" t="str">
        <f>IFERROR(__xludf.DUMMYFUNCTION("GOOGLETRANSLATE(N256, ""de"", ""id"")"),"🥲, saya tidak tahu harus berkomentar apa")</f>
        <v>🥲, saya tidak tahu harus berkomentar apa</v>
      </c>
    </row>
    <row r="257">
      <c r="A257" s="1" t="s">
        <v>17</v>
      </c>
      <c r="B257" s="1" t="s">
        <v>613</v>
      </c>
      <c r="C257" s="1" t="s">
        <v>768</v>
      </c>
      <c r="D257" s="4" t="s">
        <v>746</v>
      </c>
      <c r="E257" s="1" t="s">
        <v>823</v>
      </c>
      <c r="F257" s="6" t="str">
        <f>IFERROR(__xludf.DUMMYFUNCTION("IFERROR(ARRAYFORMULA(REGEXREPLACE(E257, ""("" &amp; TEXTJOIN(""|"", TRUE, FILTER(Q257:Q272, E:E&lt;&gt;"""")) &amp; "")"", 
                     INDEX(R257:R272, MATCH(REGEXEXTRACT(E257:E965, ""("" &amp; TEXTJOIN(""|"", TRUE, FILTER(Q257:Q272, Q257:Q272&lt;&gt;"""")) &amp; "")""), Q"&amp;"257:Q272, 0)))), E257)"),"Balik cuk ke luwuk, klo sdh balik, Nanti aku yg balik kerumah.")</f>
        <v>Balik cuk ke luwuk, klo sdh balik, Nanti aku yg balik kerumah.</v>
      </c>
      <c r="G257" s="6" t="str">
        <f>IFERROR(__xludf.DUMMYFUNCTION("GOOGLETRANSLATE(F257, ""id"", ""de"")
"),"Geh zurück nach Luwuk. Wenn du zurück bist, werde ich derjenige sein, der nach Hause zurückkehrt.")</f>
        <v>Geh zurück nach Luwuk. Wenn du zurück bist, werde ich derjenige sein, der nach Hause zurückkehrt.</v>
      </c>
      <c r="H257" s="6" t="str">
        <f>IFERROR(__xludf.DUMMYFUNCTION("GOOGLETRANSLATE(G257, ""de"", ""id"")"),"Kembali ke Luwuk. Ketika kamu kembali, akulah yang akan kembali ke rumah.")</f>
        <v>Kembali ke Luwuk. Ketika kamu kembali, akulah yang akan kembali ke rumah.</v>
      </c>
      <c r="I257" s="6" t="str">
        <f>IFERROR(__xludf.DUMMYFUNCTION("GOOGLETRANSLATE(G257, ""de"", ""en"")"),"Go back to Luwuk. When you're back, I'll be the one to return home.")</f>
        <v>Go back to Luwuk. When you're back, I'll be the one to return home.</v>
      </c>
      <c r="J257" s="6" t="str">
        <f>IFERROR(__xludf.DUMMYFUNCTION("GOOGLETRANSLATE(I257, ""en"", ""id"")"),"Kembali ke Luwuk. Ketika kamu kembali, akulah yang akan kembali ke rumah.")</f>
        <v>Kembali ke Luwuk. Ketika kamu kembali, akulah yang akan kembali ke rumah.</v>
      </c>
      <c r="K257" s="6" t="str">
        <f>IFERROR(__xludf.DUMMYFUNCTION("GOOGLETRANSLATE(F257, ""id"", ""en"")"),"Go back to Luwuk, when you're back, I'll be the one to go back home.")</f>
        <v>Go back to Luwuk, when you're back, I'll be the one to go back home.</v>
      </c>
      <c r="L257" s="6" t="s">
        <v>824</v>
      </c>
      <c r="M257" s="6" t="str">
        <f>IFERROR(__xludf.DUMMYFUNCTION("GOOGLETRANSLATE(L257, ""en"", ""de"")"),"Geh zurück nach Luwuk. Wenn du zurück bist, werde ich derjenige sein, der nach Hause zurückkehrt.")</f>
        <v>Geh zurück nach Luwuk. Wenn du zurück bist, werde ich derjenige sein, der nach Hause zurückkehrt.</v>
      </c>
      <c r="N257" s="6" t="s">
        <v>825</v>
      </c>
      <c r="O257" s="6" t="str">
        <f>IFERROR(__xludf.DUMMYFUNCTION("GOOGLETRANSLATE(N257, ""de"", ""id"")"),"Kembali ke Luwuk. Ketika kamu kembali, akulah yang akan kembali ke rumah.")</f>
        <v>Kembali ke Luwuk. Ketika kamu kembali, akulah yang akan kembali ke rumah.</v>
      </c>
    </row>
    <row r="258">
      <c r="A258" s="1" t="s">
        <v>17</v>
      </c>
      <c r="B258" s="1" t="s">
        <v>613</v>
      </c>
      <c r="C258" s="1" t="s">
        <v>695</v>
      </c>
      <c r="D258" s="4" t="s">
        <v>746</v>
      </c>
      <c r="E258" s="1" t="s">
        <v>826</v>
      </c>
      <c r="F258" s="6" t="str">
        <f>IFERROR(__xludf.DUMMYFUNCTION("IFERROR(ARRAYFORMULA(REGEXREPLACE(E258, ""("" &amp; TEXTJOIN(""|"", TRUE, FILTER(Q258:Q273, E:E&lt;&gt;"""")) &amp; "")"", 
                     INDEX(R258:R273, MATCH(REGEXEXTRACT(E258:E965, ""("" &amp; TEXTJOIN(""|"", TRUE, FILTER(Q258:Q273, Q258:Q273&lt;&gt;"""")) &amp; "")""), Q"&amp;"258:Q273, 0)))), E258)"),"@hendrahermawan49 ahhh malass sudah wkkwk")</f>
        <v>@hendrahermawan49 ahhh malass sudah wkkwk</v>
      </c>
      <c r="G258" s="6" t="str">
        <f>IFERROR(__xludf.DUMMYFUNCTION("GOOGLETRANSLATE(F258, ""id"", ""de"")
"),"@hendrahermawan49 ahhh, ich bin faul, hahaha")</f>
        <v>@hendrahermawan49 ahhh, ich bin faul, hahaha</v>
      </c>
      <c r="H258" s="6" t="str">
        <f>IFERROR(__xludf.DUMMYFUNCTION("GOOGLETRANSLATE(G258, ""de"", ""id"")"),"@hendrahermawan49 ahhh malas hahaha")</f>
        <v>@hendrahermawan49 ahhh malas hahaha</v>
      </c>
      <c r="I258" s="6" t="str">
        <f>IFERROR(__xludf.DUMMYFUNCTION("GOOGLETRANSLATE(G258, ""de"", ""en"")"),"@hendrahermawan49 ahhh, I'm lazy hahaha")</f>
        <v>@hendrahermawan49 ahhh, I'm lazy hahaha</v>
      </c>
      <c r="J258" s="6" t="str">
        <f>IFERROR(__xludf.DUMMYFUNCTION("GOOGLETRANSLATE(I258, ""en"", ""id"")"),"@hendrahermawan49 ahhh malas hahaha")</f>
        <v>@hendrahermawan49 ahhh malas hahaha</v>
      </c>
      <c r="K258" s="6" t="str">
        <f>IFERROR(__xludf.DUMMYFUNCTION("GOOGLETRANSLATE(F258, ""id"", ""en"")"),"@hendrahermawan49 ahhh I'm lazy hahaha")</f>
        <v>@hendrahermawan49 ahhh I'm lazy hahaha</v>
      </c>
      <c r="L258" s="6" t="s">
        <v>827</v>
      </c>
      <c r="M258" s="6" t="str">
        <f>IFERROR(__xludf.DUMMYFUNCTION("GOOGLETRANSLATE(L258, ""en"", ""de"")"),"@hendrahermawan49 ahhh, ich bin faul, hahaha")</f>
        <v>@hendrahermawan49 ahhh, ich bin faul, hahaha</v>
      </c>
      <c r="N258" s="6" t="s">
        <v>828</v>
      </c>
      <c r="O258" s="6" t="str">
        <f>IFERROR(__xludf.DUMMYFUNCTION("GOOGLETRANSLATE(N258, ""de"", ""id"")"),"@hendrahermawan49 ahhh malas hahaha")</f>
        <v>@hendrahermawan49 ahhh malas hahaha</v>
      </c>
    </row>
    <row r="259">
      <c r="A259" s="1" t="s">
        <v>17</v>
      </c>
      <c r="B259" s="1" t="s">
        <v>613</v>
      </c>
      <c r="C259" s="1" t="s">
        <v>726</v>
      </c>
      <c r="D259" s="4" t="s">
        <v>746</v>
      </c>
      <c r="E259" s="1" t="s">
        <v>829</v>
      </c>
      <c r="F259" s="6" t="str">
        <f>IFERROR(__xludf.DUMMYFUNCTION("IFERROR(ARRAYFORMULA(REGEXREPLACE(E259, ""("" &amp; TEXTJOIN(""|"", TRUE, FILTER(Q259:Q274, E:E&lt;&gt;"""")) &amp; "")"", 
                     INDEX(R259:R274, MATCH(REGEXEXTRACT(E259:E965, ""("" &amp; TEXTJOIN(""|"", TRUE, FILTER(Q259:Q274, Q259:Q274&lt;&gt;"""")) &amp; "")""), Q"&amp;"259:Q274, 0)))), E259)"),"Ayokk dooo....")</f>
        <v>Ayokk dooo....</v>
      </c>
      <c r="G259" s="6" t="str">
        <f>IFERROR(__xludf.DUMMYFUNCTION("GOOGLETRANSLATE(F259, ""id"", ""de"")
"),"Aufleuchten...")</f>
        <v>Aufleuchten...</v>
      </c>
      <c r="H259" s="6" t="str">
        <f>IFERROR(__xludf.DUMMYFUNCTION("GOOGLETRANSLATE(G259, ""de"", ""id"")"),"Menyalakan...")</f>
        <v>Menyalakan...</v>
      </c>
      <c r="I259" s="6" t="str">
        <f>IFERROR(__xludf.DUMMYFUNCTION("GOOGLETRANSLATE(G259, ""de"", ""en"")"),"Light up...")</f>
        <v>Light up...</v>
      </c>
      <c r="J259" s="6" t="str">
        <f>IFERROR(__xludf.DUMMYFUNCTION("GOOGLETRANSLATE(I259, ""en"", ""id"")"),"Menyalakan...")</f>
        <v>Menyalakan...</v>
      </c>
      <c r="K259" s="6" t="str">
        <f>IFERROR(__xludf.DUMMYFUNCTION("GOOGLETRANSLATE(F259, ""id"", ""en"")"),"Come on...")</f>
        <v>Come on...</v>
      </c>
      <c r="L259" s="6" t="s">
        <v>830</v>
      </c>
      <c r="M259" s="6" t="str">
        <f>IFERROR(__xludf.DUMMYFUNCTION("GOOGLETRANSLATE(L259, ""en"", ""de"")"),"Komm schon....")</f>
        <v>Komm schon....</v>
      </c>
      <c r="N259" s="6" t="s">
        <v>831</v>
      </c>
      <c r="O259" s="6" t="str">
        <f>IFERROR(__xludf.DUMMYFUNCTION("GOOGLETRANSLATE(N259, ""de"", ""id"")"),"Ayo....")</f>
        <v>Ayo....</v>
      </c>
    </row>
    <row r="260">
      <c r="A260" s="1" t="s">
        <v>17</v>
      </c>
      <c r="B260" s="1" t="s">
        <v>613</v>
      </c>
      <c r="C260" s="1" t="s">
        <v>695</v>
      </c>
      <c r="D260" s="4" t="s">
        <v>746</v>
      </c>
      <c r="E260" s="1" t="s">
        <v>832</v>
      </c>
      <c r="F260" s="6" t="str">
        <f>IFERROR(__xludf.DUMMYFUNCTION("IFERROR(ARRAYFORMULA(REGEXREPLACE(E260, ""("" &amp; TEXTJOIN(""|"", TRUE, FILTER(Q260:Q275, E:E&lt;&gt;"""")) &amp; "")"", 
                     INDEX(R260:R275, MATCH(REGEXEXTRACT(E260:E965, ""("" &amp; TEXTJOIN(""|"", TRUE, FILTER(Q260:Q275, Q260:Q275&lt;&gt;"""")) &amp; "")""), Q"&amp;"260:Q275, 0)))), E260)"),"@dk_wck gas keunn")</f>
        <v>@dk_wck gas keunn</v>
      </c>
      <c r="G260" s="6" t="str">
        <f>IFERROR(__xludf.DUMMYFUNCTION("GOOGLETRANSLATE(F260, ""id"", ""de"")
"),"@dk_wck Gas Keunn")</f>
        <v>@dk_wck Gas Keunn</v>
      </c>
      <c r="H260" s="6" t="str">
        <f>IFERROR(__xludf.DUMMYFUNCTION("GOOGLETRANSLATE(G260, ""de"", ""id"")"),"@dk_wck Gas Keunn")</f>
        <v>@dk_wck Gas Keunn</v>
      </c>
      <c r="I260" s="6" t="str">
        <f>IFERROR(__xludf.DUMMYFUNCTION("GOOGLETRANSLATE(G260, ""de"", ""en"")"),"@dk_wck Gas Keunn")</f>
        <v>@dk_wck Gas Keunn</v>
      </c>
      <c r="J260" s="6" t="str">
        <f>IFERROR(__xludf.DUMMYFUNCTION("GOOGLETRANSLATE(I260, ""en"", ""id"")"),"@dk_wck Gas Keunn")</f>
        <v>@dk_wck Gas Keunn</v>
      </c>
      <c r="K260" s="6" t="str">
        <f>IFERROR(__xludf.DUMMYFUNCTION("GOOGLETRANSLATE(F260, ""id"", ""en"")"),"@dk_wck gas keunn")</f>
        <v>@dk_wck gas keunn</v>
      </c>
      <c r="L260" s="6" t="s">
        <v>832</v>
      </c>
      <c r="M260" s="6" t="str">
        <f>IFERROR(__xludf.DUMMYFUNCTION("GOOGLETRANSLATE(L260, ""en"", ""de"")"),"@dk_wck Gas Keunn")</f>
        <v>@dk_wck Gas Keunn</v>
      </c>
      <c r="N260" s="6" t="s">
        <v>833</v>
      </c>
      <c r="O260" s="6" t="str">
        <f>IFERROR(__xludf.DUMMYFUNCTION("GOOGLETRANSLATE(N260, ""de"", ""id"")"),"@dk_wck Gas Keunn")</f>
        <v>@dk_wck Gas Keunn</v>
      </c>
    </row>
    <row r="261">
      <c r="A261" s="1" t="s">
        <v>17</v>
      </c>
      <c r="B261" s="1" t="s">
        <v>613</v>
      </c>
      <c r="C261" s="1" t="s">
        <v>834</v>
      </c>
      <c r="D261" s="4" t="s">
        <v>746</v>
      </c>
      <c r="E261" s="1" t="s">
        <v>835</v>
      </c>
      <c r="F261" s="6" t="str">
        <f>IFERROR(__xludf.DUMMYFUNCTION("IFERROR(ARRAYFORMULA(REGEXREPLACE(E261, ""("" &amp; TEXTJOIN(""|"", TRUE, FILTER(Q261:Q276, E:E&lt;&gt;"""")) &amp; "")"", 
                     INDEX(R261:R276, MATCH(REGEXEXTRACT(E261:E965, ""("" &amp; TEXTJOIN(""|"", TRUE, FILTER(Q261:Q276, Q261:Q276&lt;&gt;"""")) &amp; "")""), Q"&amp;"261:Q276, 0)))), E261)"),"🔥🔥🔥 ngga ada lawan😂")</f>
        <v>🔥🔥🔥 ngga ada lawan😂</v>
      </c>
      <c r="G261" s="6" t="str">
        <f>IFERROR(__xludf.DUMMYFUNCTION("GOOGLETRANSLATE(F261, ""id"", ""de"")
"),"🔥🔥🔥es gibt keinen Gegner😂")</f>
        <v>🔥🔥🔥es gibt keinen Gegner😂</v>
      </c>
      <c r="H261" s="6" t="str">
        <f>IFERROR(__xludf.DUMMYFUNCTION("GOOGLETRANSLATE(G261, ""de"", ""id"")"),"🔥🔥🔥tidak ada lawan😂")</f>
        <v>🔥🔥🔥tidak ada lawan😂</v>
      </c>
      <c r="I261" s="6" t="str">
        <f>IFERROR(__xludf.DUMMYFUNCTION("GOOGLETRANSLATE(G261, ""de"", ""en"")"),"🔥🔥🔥there is no opponent😂")</f>
        <v>🔥🔥🔥there is no opponent😂</v>
      </c>
      <c r="J261" s="6" t="str">
        <f>IFERROR(__xludf.DUMMYFUNCTION("GOOGLETRANSLATE(I261, ""en"", ""id"")"),"🔥🔥🔥tidak ada lawan😂")</f>
        <v>🔥🔥🔥tidak ada lawan😂</v>
      </c>
      <c r="K261" s="6" t="str">
        <f>IFERROR(__xludf.DUMMYFUNCTION("GOOGLETRANSLATE(F261, ""id"", ""en"")"),"🔥🔥🔥 there is no opponent😂")</f>
        <v>🔥🔥🔥 there is no opponent😂</v>
      </c>
      <c r="L261" s="6" t="s">
        <v>836</v>
      </c>
      <c r="M261" s="6" t="str">
        <f>IFERROR(__xludf.DUMMYFUNCTION("GOOGLETRANSLATE(L261, ""en"", ""de"")"),"🔥🔥🔥es gibt keinen Gegner😂")</f>
        <v>🔥🔥🔥es gibt keinen Gegner😂</v>
      </c>
      <c r="N261" s="6" t="s">
        <v>837</v>
      </c>
      <c r="O261" s="6" t="str">
        <f>IFERROR(__xludf.DUMMYFUNCTION("GOOGLETRANSLATE(N261, ""de"", ""id"")"),"🔥🔥🔥tidak ada lawan😂")</f>
        <v>🔥🔥🔥tidak ada lawan😂</v>
      </c>
    </row>
    <row r="262">
      <c r="A262" s="1" t="s">
        <v>17</v>
      </c>
      <c r="B262" s="1" t="s">
        <v>613</v>
      </c>
      <c r="C262" s="1" t="s">
        <v>838</v>
      </c>
      <c r="D262" s="4" t="s">
        <v>746</v>
      </c>
      <c r="E262" s="1" t="s">
        <v>839</v>
      </c>
      <c r="F262" s="6" t="str">
        <f>IFERROR(__xludf.DUMMYFUNCTION("IFERROR(ARRAYFORMULA(REGEXREPLACE(E262, ""("" &amp; TEXTJOIN(""|"", TRUE, FILTER(Q262:Q277, E:E&lt;&gt;"""")) &amp; "")"", 
                     INDEX(R262:R277, MATCH(REGEXEXTRACT(E262:E965, ""("" &amp; TEXTJOIN(""|"", TRUE, FILTER(Q262:Q277, Q262:Q277&lt;&gt;"""")) &amp; "")""), Q"&amp;"262:Q277, 0)))), E262)"),"Kereeeen ❤️")</f>
        <v>Kereeeen ❤️</v>
      </c>
      <c r="G262" s="6" t="str">
        <f>IFERROR(__xludf.DUMMYFUNCTION("GOOGLETRANSLATE(F262, ""id"", ""de"")
"),"Kereeeen ❤️")</f>
        <v>Kereeeen ❤️</v>
      </c>
      <c r="H262" s="6" t="str">
        <f>IFERROR(__xludf.DUMMYFUNCTION("GOOGLETRANSLATE(G262, ""de"", ""id"")"),"Kereeeen ❤️")</f>
        <v>Kereeeen ❤️</v>
      </c>
      <c r="I262" s="6" t="str">
        <f>IFERROR(__xludf.DUMMYFUNCTION("GOOGLETRANSLATE(G262, ""de"", ""en"")"),"Kereeeen ❤️")</f>
        <v>Kereeeen ❤️</v>
      </c>
      <c r="J262" s="6" t="str">
        <f>IFERROR(__xludf.DUMMYFUNCTION("GOOGLETRANSLATE(I262, ""en"", ""id"")"),"Kereeeen ❤️")</f>
        <v>Kereeeen ❤️</v>
      </c>
      <c r="K262" s="6" t="str">
        <f>IFERROR(__xludf.DUMMYFUNCTION("GOOGLETRANSLATE(F262, ""id"", ""en"")"),"Kereeeen ❤️")</f>
        <v>Kereeeen ❤️</v>
      </c>
      <c r="L262" s="6" t="s">
        <v>839</v>
      </c>
      <c r="M262" s="6" t="str">
        <f>IFERROR(__xludf.DUMMYFUNCTION("GOOGLETRANSLATE(L262, ""en"", ""de"")"),"Kereeeen ❤️")</f>
        <v>Kereeeen ❤️</v>
      </c>
      <c r="N262" s="6" t="s">
        <v>839</v>
      </c>
      <c r="O262" s="6" t="str">
        <f>IFERROR(__xludf.DUMMYFUNCTION("GOOGLETRANSLATE(N262, ""de"", ""id"")"),"Kereeeen ❤️")</f>
        <v>Kereeeen ❤️</v>
      </c>
    </row>
    <row r="263" ht="17.25" customHeight="1">
      <c r="A263" s="1" t="s">
        <v>17</v>
      </c>
      <c r="B263" s="1" t="s">
        <v>613</v>
      </c>
      <c r="C263" s="1" t="s">
        <v>840</v>
      </c>
      <c r="D263" s="4" t="s">
        <v>841</v>
      </c>
      <c r="E263" s="1" t="s">
        <v>842</v>
      </c>
      <c r="F263" s="6" t="str">
        <f>IFERROR(__xludf.DUMMYFUNCTION("IFERROR(ARRAYFORMULA(REGEXREPLACE(E263, ""("" &amp; TEXTJOIN(""|"", TRUE, FILTER(Q263:Q278, E:E&lt;&gt;"""")) &amp; "")"", 
                     INDEX(R263:R278, MATCH(REGEXEXTRACT(E263:E965, ""("" &amp; TEXTJOIN(""|"", TRUE, FILTER(Q263:Q278, Q263:Q278&lt;&gt;"""")) &amp; "")""), Q"&amp;"263:Q278, 0)))), E263)"),"Part 2 deal or no deal?")</f>
        <v>Part 2 deal or no deal?</v>
      </c>
      <c r="G263" s="6" t="str">
        <f>IFERROR(__xludf.DUMMYFUNCTION("GOOGLETRANSLATE(F263, ""id"", ""de"")
"),"Teil 2 Deal oder kein Deal?")</f>
        <v>Teil 2 Deal oder kein Deal?</v>
      </c>
      <c r="H263" s="6" t="str">
        <f>IFERROR(__xludf.DUMMYFUNCTION("GOOGLETRANSLATE(G263, ""de"", ""id"")"),"Bagian 2 Kesepakatan atau tidak kesepakatan?")</f>
        <v>Bagian 2 Kesepakatan atau tidak kesepakatan?</v>
      </c>
      <c r="I263" s="6" t="str">
        <f>IFERROR(__xludf.DUMMYFUNCTION("GOOGLETRANSLATE(G263, ""de"", ""en"")"),"Part 2 Deal or no deal?")</f>
        <v>Part 2 Deal or no deal?</v>
      </c>
      <c r="J263" s="6" t="str">
        <f>IFERROR(__xludf.DUMMYFUNCTION("GOOGLETRANSLATE(I263, ""en"", ""id"")"),"Bagian 2 Kesepakatan atau tidak kesepakatan?")</f>
        <v>Bagian 2 Kesepakatan atau tidak kesepakatan?</v>
      </c>
      <c r="K263" s="6" t="str">
        <f>IFERROR(__xludf.DUMMYFUNCTION("GOOGLETRANSLATE(F263, ""id"", ""en"")"),"Part 2 deal or no deal?")</f>
        <v>Part 2 deal or no deal?</v>
      </c>
      <c r="L263" s="6" t="s">
        <v>842</v>
      </c>
      <c r="M263" s="6" t="str">
        <f>IFERROR(__xludf.DUMMYFUNCTION("GOOGLETRANSLATE(L263, ""en"", ""de"")"),"Teil 2 Deal oder kein Deal?")</f>
        <v>Teil 2 Deal oder kein Deal?</v>
      </c>
      <c r="N263" s="6" t="s">
        <v>843</v>
      </c>
      <c r="O263" s="6" t="str">
        <f>IFERROR(__xludf.DUMMYFUNCTION("GOOGLETRANSLATE(N263, ""de"", ""id"")"),"Bagian 2 Kesepakatan atau tidak kesepakatan?")</f>
        <v>Bagian 2 Kesepakatan atau tidak kesepakatan?</v>
      </c>
    </row>
    <row r="264">
      <c r="A264" s="1" t="s">
        <v>17</v>
      </c>
      <c r="B264" s="1" t="s">
        <v>613</v>
      </c>
      <c r="C264" s="1" t="s">
        <v>619</v>
      </c>
      <c r="D264" s="4" t="s">
        <v>841</v>
      </c>
      <c r="E264" s="1" t="s">
        <v>844</v>
      </c>
      <c r="F264" s="6" t="str">
        <f>IFERROR(__xludf.DUMMYFUNCTION("IFERROR(ARRAYFORMULA(REGEXREPLACE(E264, ""("" &amp; TEXTJOIN(""|"", TRUE, FILTER(Q264:Q279, E:E&lt;&gt;"""")) &amp; "")"", 
                     INDEX(R264:R279, MATCH(REGEXEXTRACT(E264:E965, ""("" &amp; TEXTJOIN(""|"", TRUE, FILTER(Q264:Q279, Q264:Q279&lt;&gt;"""")) &amp; "")""), Q"&amp;"264:Q279, 0)))), E264)"),"@coconude___ deal😄🫶🏻")</f>
        <v>@coconude___ deal😄🫶🏻</v>
      </c>
      <c r="G264" s="6" t="str">
        <f>IFERROR(__xludf.DUMMYFUNCTION("GOOGLETRANSLATE(F264, ""id"", ""de"")
"),"@coconude___ Deal😄🫶🏻")</f>
        <v>@coconude___ Deal😄🫶🏻</v>
      </c>
      <c r="H264" s="6" t="str">
        <f>IFERROR(__xludf.DUMMYFUNCTION("GOOGLETRANSLATE(G264, ""de"", ""id"")"),"@coconude___ Kesepakatan😄🫶🏻")</f>
        <v>@coconude___ Kesepakatan😄🫶🏻</v>
      </c>
      <c r="I264" s="6" t="str">
        <f>IFERROR(__xludf.DUMMYFUNCTION("GOOGLETRANSLATE(G264, ""de"", ""en"")"),"@coconude___ Deal😄🫶🏻")</f>
        <v>@coconude___ Deal😄🫶🏻</v>
      </c>
      <c r="J264" s="6" t="str">
        <f>IFERROR(__xludf.DUMMYFUNCTION("GOOGLETRANSLATE(I264, ""en"", ""id"")"),"@coconude___ Kesepakatan😄🫶🏻")</f>
        <v>@coconude___ Kesepakatan😄🫶🏻</v>
      </c>
      <c r="K264" s="6" t="str">
        <f>IFERROR(__xludf.DUMMYFUNCTION("GOOGLETRANSLATE(F264, ""id"", ""en"")"),"@coconude___ deal😄🫶🏻")</f>
        <v>@coconude___ deal😄🫶🏻</v>
      </c>
      <c r="L264" s="6" t="s">
        <v>844</v>
      </c>
      <c r="M264" s="6" t="str">
        <f>IFERROR(__xludf.DUMMYFUNCTION("GOOGLETRANSLATE(L264, ""en"", ""de"")"),"@coconude___ Deal😄🫶🏻")</f>
        <v>@coconude___ Deal😄🫶🏻</v>
      </c>
      <c r="N264" s="6" t="s">
        <v>845</v>
      </c>
      <c r="O264" s="6" t="str">
        <f>IFERROR(__xludf.DUMMYFUNCTION("GOOGLETRANSLATE(N264, ""de"", ""id"")"),"@coconude___ Kesepakatan😄🫶🏻")</f>
        <v>@coconude___ Kesepakatan😄🫶🏻</v>
      </c>
    </row>
    <row r="265">
      <c r="A265" s="1" t="s">
        <v>17</v>
      </c>
      <c r="B265" s="1" t="s">
        <v>613</v>
      </c>
      <c r="C265" s="1" t="s">
        <v>679</v>
      </c>
      <c r="D265" s="4" t="s">
        <v>841</v>
      </c>
      <c r="E265" s="1" t="s">
        <v>846</v>
      </c>
      <c r="F265" s="6" t="str">
        <f>IFERROR(__xludf.DUMMYFUNCTION("IFERROR(ARRAYFORMULA(REGEXREPLACE(E265, ""("" &amp; TEXTJOIN(""|"", TRUE, FILTER(Q265:Q280, E:E&lt;&gt;"""")) &amp; "")"", 
                     INDEX(R265:R280, MATCH(REGEXEXTRACT(E265:E965, ""("" &amp; TEXTJOIN(""|"", TRUE, FILTER(Q265:Q280, Q265:Q280&lt;&gt;"""")) &amp; "")""), Q"&amp;"265:Q280, 0)))), E265)"),"Harus balik lagi 😁😁😁")</f>
        <v>Harus balik lagi 😁😁😁</v>
      </c>
      <c r="G265" s="6" t="str">
        <f>IFERROR(__xludf.DUMMYFUNCTION("GOOGLETRANSLATE(F265, ""id"", ""de"")
"),"Muss wiederkommen 😁😁😁")</f>
        <v>Muss wiederkommen 😁😁😁</v>
      </c>
      <c r="H265" s="6" t="str">
        <f>IFERROR(__xludf.DUMMYFUNCTION("GOOGLETRANSLATE(G265, ""de"", ""id"")"),"Harus kembali 😁😁😁")</f>
        <v>Harus kembali 😁😁😁</v>
      </c>
      <c r="I265" s="6" t="str">
        <f>IFERROR(__xludf.DUMMYFUNCTION("GOOGLETRANSLATE(G265, ""de"", ""en"")"),"Must come back 😁😁😁")</f>
        <v>Must come back 😁😁😁</v>
      </c>
      <c r="J265" s="6" t="str">
        <f>IFERROR(__xludf.DUMMYFUNCTION("GOOGLETRANSLATE(I265, ""en"", ""id"")"),"Harus kembali 😁😁😁")</f>
        <v>Harus kembali 😁😁😁</v>
      </c>
      <c r="K265" s="6" t="str">
        <f>IFERROR(__xludf.DUMMYFUNCTION("GOOGLETRANSLATE(F265, ""id"", ""en"")"),"Have to come back again 😁😁😁")</f>
        <v>Have to come back again 😁😁😁</v>
      </c>
      <c r="L265" s="6" t="s">
        <v>847</v>
      </c>
      <c r="M265" s="6" t="str">
        <f>IFERROR(__xludf.DUMMYFUNCTION("GOOGLETRANSLATE(L265, ""en"", ""de"")"),"Muss wiederkommen 😁😁😁")</f>
        <v>Muss wiederkommen 😁😁😁</v>
      </c>
      <c r="N265" s="6" t="s">
        <v>848</v>
      </c>
      <c r="O265" s="6" t="str">
        <f>IFERROR(__xludf.DUMMYFUNCTION("GOOGLETRANSLATE(N265, ""de"", ""id"")"),"Harus kembali 😁😁😁")</f>
        <v>Harus kembali 😁😁😁</v>
      </c>
    </row>
    <row r="266">
      <c r="A266" s="1" t="s">
        <v>17</v>
      </c>
      <c r="B266" s="1" t="s">
        <v>613</v>
      </c>
      <c r="C266" s="1" t="s">
        <v>619</v>
      </c>
      <c r="D266" s="4" t="s">
        <v>841</v>
      </c>
      <c r="E266" s="1" t="s">
        <v>849</v>
      </c>
      <c r="F266" s="6" t="str">
        <f>IFERROR(__xludf.DUMMYFUNCTION("IFERROR(ARRAYFORMULA(REGEXREPLACE(E266, ""("" &amp; TEXTJOIN(""|"", TRUE, FILTER(Q266:Q281, E:E&lt;&gt;"""")) &amp; "")"", 
                     INDEX(R266:R281, MATCH(REGEXEXTRACT(E266:E965, ""("" &amp; TEXTJOIN(""|"", TRUE, FILTER(Q266:Q281, Q266:Q281&lt;&gt;"""")) &amp; "")""), Q"&amp;"266:Q281, 0)))), E266)"),"@ckusumanarwasti haruss😎")</f>
        <v>@ckusumanarwasti haruss😎</v>
      </c>
      <c r="G266" s="6" t="str">
        <f>IFERROR(__xludf.DUMMYFUNCTION("GOOGLETRANSLATE(F266, ""id"", ""de"")
"),"@ckusumanarwasti muss😎")</f>
        <v>@ckusumanarwasti muss😎</v>
      </c>
      <c r="H266" s="6" t="str">
        <f>IFERROR(__xludf.DUMMYFUNCTION("GOOGLETRANSLATE(G266, ""de"", ""id"")"),"@ckusumanarwasti harus😎")</f>
        <v>@ckusumanarwasti harus😎</v>
      </c>
      <c r="I266" s="6" t="str">
        <f>IFERROR(__xludf.DUMMYFUNCTION("GOOGLETRANSLATE(G266, ""de"", ""en"")"),"@ckusumanarwasti must😎")</f>
        <v>@ckusumanarwasti must😎</v>
      </c>
      <c r="J266" s="6" t="str">
        <f>IFERROR(__xludf.DUMMYFUNCTION("GOOGLETRANSLATE(I266, ""en"", ""id"")"),"@ckusumanarwasti harus😎")</f>
        <v>@ckusumanarwasti harus😎</v>
      </c>
      <c r="K266" s="6" t="str">
        <f>IFERROR(__xludf.DUMMYFUNCTION("GOOGLETRANSLATE(F266, ""id"", ""en"")"),"@ckusumanarwasti must😎")</f>
        <v>@ckusumanarwasti must😎</v>
      </c>
      <c r="L266" s="6" t="s">
        <v>850</v>
      </c>
      <c r="M266" s="6" t="str">
        <f>IFERROR(__xludf.DUMMYFUNCTION("GOOGLETRANSLATE(L266, ""en"", ""de"")"),"@ckusumanarwasti muss😎")</f>
        <v>@ckusumanarwasti muss😎</v>
      </c>
      <c r="N266" s="6" t="s">
        <v>851</v>
      </c>
      <c r="O266" s="6" t="str">
        <f>IFERROR(__xludf.DUMMYFUNCTION("GOOGLETRANSLATE(N266, ""de"", ""id"")"),"@ckusumanarwasti harus😎")</f>
        <v>@ckusumanarwasti harus😎</v>
      </c>
    </row>
    <row r="267">
      <c r="A267" s="1" t="s">
        <v>17</v>
      </c>
      <c r="B267" s="1" t="s">
        <v>613</v>
      </c>
      <c r="C267" s="1" t="s">
        <v>852</v>
      </c>
      <c r="D267" s="4" t="s">
        <v>841</v>
      </c>
      <c r="E267" s="1" t="s">
        <v>135</v>
      </c>
      <c r="F267" s="6" t="str">
        <f>IFERROR(__xludf.DUMMYFUNCTION("IFERROR(ARRAYFORMULA(REGEXREPLACE(E267, ""("" &amp; TEXTJOIN(""|"", TRUE, FILTER(Q267:Q282, E:E&lt;&gt;"""")) &amp; "")"", 
                     INDEX(R267:R282, MATCH(REGEXEXTRACT(E267:E965, ""("" &amp; TEXTJOIN(""|"", TRUE, FILTER(Q267:Q282, Q267:Q282&lt;&gt;"""")) &amp; "")""), Q"&amp;"267:Q282, 0)))), E267)"),"🔥🔥🔥")</f>
        <v>🔥🔥🔥</v>
      </c>
      <c r="G267" s="6" t="str">
        <f>IFERROR(__xludf.DUMMYFUNCTION("GOOGLETRANSLATE(F267, ""id"", ""de"")
"),"🔥🔥🔥")</f>
        <v>🔥🔥🔥</v>
      </c>
      <c r="H267" s="6" t="str">
        <f>IFERROR(__xludf.DUMMYFUNCTION("GOOGLETRANSLATE(G267, ""de"", ""id"")"),"🔥🔥🔥")</f>
        <v>🔥🔥🔥</v>
      </c>
      <c r="I267" s="6" t="str">
        <f>IFERROR(__xludf.DUMMYFUNCTION("GOOGLETRANSLATE(G267, ""de"", ""en"")"),"🔥🔥🔥")</f>
        <v>🔥🔥🔥</v>
      </c>
      <c r="J267" s="6" t="str">
        <f>IFERROR(__xludf.DUMMYFUNCTION("GOOGLETRANSLATE(I267, ""en"", ""id"")"),"🔥🔥🔥")</f>
        <v>🔥🔥🔥</v>
      </c>
      <c r="K267" s="6" t="str">
        <f>IFERROR(__xludf.DUMMYFUNCTION("GOOGLETRANSLATE(F267, ""id"", ""en"")"),"🔥🔥🔥")</f>
        <v>🔥🔥🔥</v>
      </c>
      <c r="L267" s="6" t="s">
        <v>135</v>
      </c>
      <c r="M267" s="6" t="str">
        <f>IFERROR(__xludf.DUMMYFUNCTION("GOOGLETRANSLATE(L267, ""en"", ""de"")"),"🔥🔥🔥")</f>
        <v>🔥🔥🔥</v>
      </c>
      <c r="N267" s="6" t="s">
        <v>135</v>
      </c>
      <c r="O267" s="6" t="str">
        <f>IFERROR(__xludf.DUMMYFUNCTION("GOOGLETRANSLATE(N267, ""de"", ""id"")"),"🔥🔥🔥")</f>
        <v>🔥🔥🔥</v>
      </c>
    </row>
    <row r="268">
      <c r="A268" s="1" t="s">
        <v>17</v>
      </c>
      <c r="B268" s="1" t="s">
        <v>613</v>
      </c>
      <c r="C268" s="1" t="s">
        <v>619</v>
      </c>
      <c r="D268" s="4" t="s">
        <v>841</v>
      </c>
      <c r="E268" s="1" t="s">
        <v>853</v>
      </c>
      <c r="F268" s="6" t="str">
        <f>IFERROR(__xludf.DUMMYFUNCTION("IFERROR(ARRAYFORMULA(REGEXREPLACE(E268, ""("" &amp; TEXTJOIN(""|"", TRUE, FILTER(Q268:Q283, E:E&lt;&gt;"""")) &amp; "")"", 
                     INDEX(R268:R283, MATCH(REGEXEXTRACT(E268:E965, ""("" &amp; TEXTJOIN(""|"", TRUE, FILTER(Q268:Q283, Q268:Q283&lt;&gt;"""")) &amp; "")""), Q"&amp;"268:Q283, 0)))), E268)"),"@azniarmc ❤️❤️")</f>
        <v>@azniarmc ❤️❤️</v>
      </c>
      <c r="G268" s="6" t="str">
        <f>IFERROR(__xludf.DUMMYFUNCTION("GOOGLETRANSLATE(F268, ""id"", ""de"")
"),"@azniarc ❤️❤️")</f>
        <v>@azniarc ❤️❤️</v>
      </c>
      <c r="H268" s="6" t="str">
        <f>IFERROR(__xludf.DUMMYFUNCTION("GOOGLETRANSLATE(G268, ""de"", ""id"")"),"@azniarc ❤️❤️")</f>
        <v>@azniarc ❤️❤️</v>
      </c>
      <c r="I268" s="6" t="str">
        <f>IFERROR(__xludf.DUMMYFUNCTION("GOOGLETRANSLATE(G268, ""de"", ""en"")"),"@azniarc ❤️❤️")</f>
        <v>@azniarc ❤️❤️</v>
      </c>
      <c r="J268" s="6" t="str">
        <f>IFERROR(__xludf.DUMMYFUNCTION("GOOGLETRANSLATE(I268, ""en"", ""id"")"),"@azniarc ❤️❤️")</f>
        <v>@azniarc ❤️❤️</v>
      </c>
      <c r="K268" s="6" t="str">
        <f>IFERROR(__xludf.DUMMYFUNCTION("GOOGLETRANSLATE(F268, ""id"", ""en"")"),"@azniarc ❤️❤️")</f>
        <v>@azniarc ❤️❤️</v>
      </c>
      <c r="L268" s="6" t="s">
        <v>854</v>
      </c>
      <c r="M268" s="6" t="str">
        <f>IFERROR(__xludf.DUMMYFUNCTION("GOOGLETRANSLATE(L268, ""en"", ""de"")"),"@azniarc ❤️❤️")</f>
        <v>@azniarc ❤️❤️</v>
      </c>
      <c r="N268" s="6" t="s">
        <v>854</v>
      </c>
      <c r="O268" s="6" t="str">
        <f>IFERROR(__xludf.DUMMYFUNCTION("GOOGLETRANSLATE(N268, ""de"", ""id"")"),"@azniarc ❤️❤️")</f>
        <v>@azniarc ❤️❤️</v>
      </c>
    </row>
    <row r="269">
      <c r="A269" s="1" t="s">
        <v>17</v>
      </c>
      <c r="B269" s="1" t="s">
        <v>613</v>
      </c>
      <c r="C269" s="1" t="s">
        <v>855</v>
      </c>
      <c r="D269" s="4" t="s">
        <v>841</v>
      </c>
      <c r="E269" s="1" t="s">
        <v>121</v>
      </c>
      <c r="F269" s="6" t="str">
        <f>IFERROR(__xludf.DUMMYFUNCTION("IFERROR(ARRAYFORMULA(REGEXREPLACE(E269, ""("" &amp; TEXTJOIN(""|"", TRUE, FILTER(Q269:Q284, E:E&lt;&gt;"""")) &amp; "")"", 
                     INDEX(R269:R284, MATCH(REGEXEXTRACT(E269:E965, ""("" &amp; TEXTJOIN(""|"", TRUE, FILTER(Q269:Q284, Q269:Q284&lt;&gt;"""")) &amp; "")""), Q"&amp;"269:Q284, 0)))), E269)"),"😍😍")</f>
        <v>😍😍</v>
      </c>
      <c r="G269" s="6" t="str">
        <f>IFERROR(__xludf.DUMMYFUNCTION("GOOGLETRANSLATE(F269, ""id"", ""de"")
"),"😍😍")</f>
        <v>😍😍</v>
      </c>
      <c r="H269" s="6" t="str">
        <f>IFERROR(__xludf.DUMMYFUNCTION("GOOGLETRANSLATE(G269, ""de"", ""id"")"),"😍😍")</f>
        <v>😍😍</v>
      </c>
      <c r="I269" s="6" t="str">
        <f>IFERROR(__xludf.DUMMYFUNCTION("GOOGLETRANSLATE(G269, ""de"", ""en"")"),"😍😍")</f>
        <v>😍😍</v>
      </c>
      <c r="J269" s="6" t="str">
        <f>IFERROR(__xludf.DUMMYFUNCTION("GOOGLETRANSLATE(I269, ""en"", ""id"")"),"😍😍")</f>
        <v>😍😍</v>
      </c>
      <c r="K269" s="6" t="str">
        <f>IFERROR(__xludf.DUMMYFUNCTION("GOOGLETRANSLATE(F269, ""id"", ""en"")"),"😍😍")</f>
        <v>😍😍</v>
      </c>
      <c r="L269" s="6" t="s">
        <v>121</v>
      </c>
      <c r="M269" s="6" t="str">
        <f>IFERROR(__xludf.DUMMYFUNCTION("GOOGLETRANSLATE(L269, ""en"", ""de"")"),"😍😍")</f>
        <v>😍😍</v>
      </c>
      <c r="N269" s="6" t="s">
        <v>121</v>
      </c>
      <c r="O269" s="6" t="str">
        <f>IFERROR(__xludf.DUMMYFUNCTION("GOOGLETRANSLATE(N269, ""de"", ""id"")"),"😍😍")</f>
        <v>😍😍</v>
      </c>
    </row>
    <row r="270">
      <c r="A270" s="1" t="s">
        <v>17</v>
      </c>
      <c r="B270" s="1" t="s">
        <v>613</v>
      </c>
      <c r="C270" s="1" t="s">
        <v>619</v>
      </c>
      <c r="D270" s="4" t="s">
        <v>841</v>
      </c>
      <c r="E270" s="1" t="s">
        <v>856</v>
      </c>
      <c r="F270" s="6" t="str">
        <f>IFERROR(__xludf.DUMMYFUNCTION("IFERROR(ARRAYFORMULA(REGEXREPLACE(E270, ""("" &amp; TEXTJOIN(""|"", TRUE, FILTER(Q270:Q285, E:E&lt;&gt;"""")) &amp; "")"", 
                     INDEX(R270:R285, MATCH(REGEXEXTRACT(E270:E965, ""("" &amp; TEXTJOIN(""|"", TRUE, FILTER(Q270:Q285, Q270:Q285&lt;&gt;"""")) &amp; "")""), Q"&amp;"270:Q285, 0)))), E270)"),"@mentariclara_ next time kita kesini y🥰")</f>
        <v>@mentariclara_ next time kita kesini y🥰</v>
      </c>
      <c r="G270" s="6" t="str">
        <f>IFERROR(__xludf.DUMMYFUNCTION("GOOGLETRANSLATE(F270, ""id"", ""de"")
"),"@mentariclara_ nächstes Mal kommen wir hierher, y🥰")</f>
        <v>@mentariclara_ nächstes Mal kommen wir hierher, y🥰</v>
      </c>
      <c r="H270" s="6" t="str">
        <f>IFERROR(__xludf.DUMMYFUNCTION("GOOGLETRANSLATE(G270, ""de"", ""id"")"),"@mentariclara_ lain kali kita ke sini y🥰")</f>
        <v>@mentariclara_ lain kali kita ke sini y🥰</v>
      </c>
      <c r="I270" s="6" t="str">
        <f>IFERROR(__xludf.DUMMYFUNCTION("GOOGLETRANSLATE(G270, ""de"", ""en"")"),"@mentariclara_ next time we come here, y🥰")</f>
        <v>@mentariclara_ next time we come here, y🥰</v>
      </c>
      <c r="J270" s="6" t="str">
        <f>IFERROR(__xludf.DUMMYFUNCTION("GOOGLETRANSLATE(I270, ""en"", ""id"")"),"@mentariclara_ lain kali kita ke sini y🥰")</f>
        <v>@mentariclara_ lain kali kita ke sini y🥰</v>
      </c>
      <c r="K270" s="6" t="str">
        <f>IFERROR(__xludf.DUMMYFUNCTION("GOOGLETRANSLATE(F270, ""id"", ""en"")"),"@mentariclara_ next time we'll come here y🥰")</f>
        <v>@mentariclara_ next time we'll come here y🥰</v>
      </c>
      <c r="L270" s="6" t="s">
        <v>857</v>
      </c>
      <c r="M270" s="6" t="str">
        <f>IFERROR(__xludf.DUMMYFUNCTION("GOOGLETRANSLATE(L270, ""en"", ""de"")"),"@mentariclara_ nächstes Mal kommen wir hierher, y🥰")</f>
        <v>@mentariclara_ nächstes Mal kommen wir hierher, y🥰</v>
      </c>
      <c r="N270" s="6" t="s">
        <v>858</v>
      </c>
      <c r="O270" s="6" t="str">
        <f>IFERROR(__xludf.DUMMYFUNCTION("GOOGLETRANSLATE(N270, ""de"", ""id"")"),"@mentariclara_ lain kali kita ke sini y🥰")</f>
        <v>@mentariclara_ lain kali kita ke sini y🥰</v>
      </c>
    </row>
  </sheetData>
  <hyperlinks>
    <hyperlink r:id="rId1" ref="D2"/>
    <hyperlink r:id="rId2" ref="D3"/>
    <hyperlink r:id="rId3" ref="D4"/>
    <hyperlink r:id="rId4" ref="D5"/>
    <hyperlink r:id="rId5" ref="E5"/>
    <hyperlink r:id="rId6" ref="D6"/>
    <hyperlink r:id="rId7" ref="D7"/>
    <hyperlink r:id="rId8" ref="D8"/>
    <hyperlink r:id="rId9" ref="D9"/>
    <hyperlink r:id="rId10" ref="D10"/>
    <hyperlink r:id="rId11" ref="D11"/>
    <hyperlink r:id="rId12" ref="D12"/>
    <hyperlink r:id="rId13" ref="D13"/>
    <hyperlink r:id="rId14" ref="E13"/>
    <hyperlink r:id="rId15" ref="D14"/>
    <hyperlink r:id="rId16" ref="D15"/>
    <hyperlink r:id="rId17" ref="D16"/>
    <hyperlink r:id="rId18" ref="D17"/>
    <hyperlink r:id="rId19" ref="D18"/>
    <hyperlink r:id="rId20" ref="D19"/>
    <hyperlink r:id="rId21" ref="D20"/>
    <hyperlink r:id="rId22" ref="D21"/>
    <hyperlink r:id="rId23" ref="D22"/>
    <hyperlink r:id="rId24" ref="D23"/>
    <hyperlink r:id="rId25" ref="D24"/>
    <hyperlink r:id="rId26" ref="D25"/>
    <hyperlink r:id="rId27" ref="D26"/>
    <hyperlink r:id="rId28" ref="D27"/>
    <hyperlink r:id="rId29" ref="D28"/>
    <hyperlink r:id="rId30" ref="D29"/>
    <hyperlink r:id="rId31" ref="D30"/>
    <hyperlink r:id="rId32" ref="D31"/>
    <hyperlink r:id="rId33" ref="D32"/>
    <hyperlink r:id="rId34" ref="D33"/>
    <hyperlink r:id="rId35" ref="D34"/>
    <hyperlink r:id="rId36" ref="D35"/>
    <hyperlink r:id="rId37" ref="D36"/>
    <hyperlink r:id="rId38" ref="D37"/>
    <hyperlink r:id="rId39" ref="D38"/>
    <hyperlink r:id="rId40" ref="D39"/>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E58"/>
    <hyperlink r:id="rId60" ref="D59"/>
    <hyperlink r:id="rId61" ref="D61"/>
    <hyperlink r:id="rId62" ref="D62"/>
    <hyperlink r:id="rId63" ref="D63"/>
    <hyperlink r:id="rId64" ref="D64"/>
    <hyperlink r:id="rId65" ref="D65"/>
    <hyperlink r:id="rId66" ref="D66"/>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s>
  <drawing r:id="rId2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859</v>
      </c>
      <c r="B1" s="6" t="s">
        <v>5</v>
      </c>
      <c r="C1" s="6" t="s">
        <v>6</v>
      </c>
      <c r="D1" s="6" t="s">
        <v>7</v>
      </c>
      <c r="E1" s="6" t="s">
        <v>8</v>
      </c>
      <c r="F1" s="6" t="s">
        <v>9</v>
      </c>
      <c r="G1" s="6" t="s">
        <v>10</v>
      </c>
      <c r="H1" s="1" t="s">
        <v>860</v>
      </c>
    </row>
    <row r="2">
      <c r="A2" s="1" t="s">
        <v>861</v>
      </c>
      <c r="B2" s="6" t="s">
        <v>21</v>
      </c>
      <c r="C2" s="6" t="s">
        <v>23</v>
      </c>
      <c r="D2" s="6" t="s">
        <v>862</v>
      </c>
      <c r="E2" s="6" t="s">
        <v>22</v>
      </c>
      <c r="F2" s="6" t="s">
        <v>862</v>
      </c>
      <c r="G2" s="6" t="s">
        <v>22</v>
      </c>
      <c r="H2" s="6" t="s">
        <v>862</v>
      </c>
    </row>
    <row r="3">
      <c r="A3" s="1" t="s">
        <v>863</v>
      </c>
      <c r="B3" s="6" t="s">
        <v>27</v>
      </c>
      <c r="C3" s="6" t="s">
        <v>29</v>
      </c>
      <c r="D3" s="6" t="s">
        <v>864</v>
      </c>
      <c r="E3" s="6" t="s">
        <v>865</v>
      </c>
      <c r="F3" s="6" t="s">
        <v>864</v>
      </c>
      <c r="G3" s="6" t="s">
        <v>28</v>
      </c>
      <c r="H3" s="6" t="s">
        <v>864</v>
      </c>
    </row>
    <row r="4">
      <c r="A4" s="1" t="s">
        <v>863</v>
      </c>
      <c r="B4" s="6" t="s">
        <v>33</v>
      </c>
      <c r="C4" s="6" t="s">
        <v>35</v>
      </c>
      <c r="D4" s="6" t="s">
        <v>866</v>
      </c>
      <c r="E4" s="6" t="s">
        <v>867</v>
      </c>
      <c r="F4" s="6" t="s">
        <v>866</v>
      </c>
      <c r="G4" s="6" t="s">
        <v>34</v>
      </c>
      <c r="H4" s="6" t="s">
        <v>866</v>
      </c>
    </row>
    <row r="5">
      <c r="A5" s="1" t="s">
        <v>863</v>
      </c>
      <c r="B5" s="6" t="s">
        <v>39</v>
      </c>
      <c r="C5" s="6" t="s">
        <v>41</v>
      </c>
      <c r="D5" s="6" t="s">
        <v>868</v>
      </c>
      <c r="E5" s="6" t="s">
        <v>869</v>
      </c>
      <c r="F5" s="6" t="s">
        <v>868</v>
      </c>
      <c r="G5" s="6" t="s">
        <v>40</v>
      </c>
      <c r="H5" s="6" t="s">
        <v>868</v>
      </c>
    </row>
    <row r="6">
      <c r="A6" s="1" t="s">
        <v>863</v>
      </c>
      <c r="B6" s="6" t="s">
        <v>45</v>
      </c>
      <c r="C6" s="6" t="s">
        <v>47</v>
      </c>
      <c r="D6" s="6" t="s">
        <v>870</v>
      </c>
      <c r="E6" s="6" t="s">
        <v>46</v>
      </c>
      <c r="F6" s="6" t="s">
        <v>870</v>
      </c>
      <c r="G6" s="6" t="s">
        <v>46</v>
      </c>
      <c r="H6" s="6" t="s">
        <v>870</v>
      </c>
    </row>
    <row r="7">
      <c r="A7" s="1" t="s">
        <v>871</v>
      </c>
      <c r="B7" s="6" t="s">
        <v>52</v>
      </c>
      <c r="C7" s="6" t="s">
        <v>54</v>
      </c>
      <c r="D7" s="6" t="s">
        <v>872</v>
      </c>
      <c r="E7" s="6" t="s">
        <v>873</v>
      </c>
      <c r="F7" s="6" t="s">
        <v>872</v>
      </c>
      <c r="G7" s="6" t="s">
        <v>53</v>
      </c>
      <c r="H7" s="6" t="s">
        <v>872</v>
      </c>
    </row>
    <row r="8">
      <c r="A8" s="1" t="s">
        <v>863</v>
      </c>
      <c r="B8" s="6" t="s">
        <v>58</v>
      </c>
      <c r="C8" s="6" t="s">
        <v>60</v>
      </c>
      <c r="D8" s="6" t="s">
        <v>874</v>
      </c>
      <c r="E8" s="6" t="s">
        <v>875</v>
      </c>
      <c r="F8" s="6" t="s">
        <v>874</v>
      </c>
      <c r="G8" s="6" t="s">
        <v>59</v>
      </c>
      <c r="H8" s="6" t="s">
        <v>874</v>
      </c>
    </row>
    <row r="9">
      <c r="A9" s="1" t="s">
        <v>871</v>
      </c>
      <c r="B9" s="6" t="s">
        <v>63</v>
      </c>
      <c r="C9" s="6" t="s">
        <v>65</v>
      </c>
      <c r="D9" s="6" t="s">
        <v>876</v>
      </c>
      <c r="E9" s="6" t="s">
        <v>877</v>
      </c>
      <c r="F9" s="6" t="s">
        <v>876</v>
      </c>
      <c r="G9" s="6" t="s">
        <v>64</v>
      </c>
      <c r="H9" s="6" t="s">
        <v>876</v>
      </c>
    </row>
    <row r="10">
      <c r="A10" s="1" t="s">
        <v>871</v>
      </c>
      <c r="B10" s="6" t="s">
        <v>70</v>
      </c>
      <c r="C10" s="6" t="s">
        <v>72</v>
      </c>
      <c r="D10" s="6" t="s">
        <v>878</v>
      </c>
      <c r="E10" s="6" t="s">
        <v>879</v>
      </c>
      <c r="F10" s="6" t="s">
        <v>878</v>
      </c>
      <c r="G10" s="6" t="s">
        <v>71</v>
      </c>
      <c r="H10" s="6" t="s">
        <v>878</v>
      </c>
    </row>
    <row r="11">
      <c r="A11" s="1" t="s">
        <v>871</v>
      </c>
      <c r="B11" s="6" t="s">
        <v>75</v>
      </c>
      <c r="C11" s="6" t="s">
        <v>77</v>
      </c>
      <c r="D11" s="6" t="s">
        <v>880</v>
      </c>
      <c r="E11" s="6" t="s">
        <v>881</v>
      </c>
      <c r="F11" s="6" t="s">
        <v>880</v>
      </c>
      <c r="G11" s="6" t="s">
        <v>76</v>
      </c>
      <c r="H11" s="6" t="s">
        <v>880</v>
      </c>
    </row>
    <row r="12">
      <c r="A12" s="1" t="s">
        <v>871</v>
      </c>
      <c r="B12" s="6" t="s">
        <v>81</v>
      </c>
      <c r="C12" s="6" t="s">
        <v>83</v>
      </c>
      <c r="D12" s="6" t="s">
        <v>81</v>
      </c>
      <c r="E12" s="6" t="s">
        <v>82</v>
      </c>
      <c r="F12" s="6" t="s">
        <v>81</v>
      </c>
      <c r="G12" s="6" t="s">
        <v>82</v>
      </c>
      <c r="H12" s="6" t="s">
        <v>81</v>
      </c>
    </row>
    <row r="13">
      <c r="A13" s="1" t="s">
        <v>863</v>
      </c>
      <c r="B13" s="6" t="s">
        <v>88</v>
      </c>
      <c r="C13" s="6" t="s">
        <v>90</v>
      </c>
      <c r="D13" s="6" t="s">
        <v>882</v>
      </c>
      <c r="E13" s="6" t="s">
        <v>883</v>
      </c>
      <c r="F13" s="6" t="s">
        <v>882</v>
      </c>
      <c r="G13" s="6" t="s">
        <v>89</v>
      </c>
      <c r="H13" s="6" t="s">
        <v>882</v>
      </c>
    </row>
    <row r="14">
      <c r="A14" s="1" t="s">
        <v>861</v>
      </c>
      <c r="B14" s="6" t="s">
        <v>93</v>
      </c>
      <c r="C14" s="6" t="s">
        <v>93</v>
      </c>
      <c r="D14" s="6" t="s">
        <v>93</v>
      </c>
      <c r="E14" s="6" t="s">
        <v>93</v>
      </c>
      <c r="F14" s="6" t="s">
        <v>93</v>
      </c>
      <c r="G14" s="6" t="s">
        <v>93</v>
      </c>
      <c r="H14" s="6" t="s">
        <v>93</v>
      </c>
    </row>
    <row r="15">
      <c r="A15" s="1" t="s">
        <v>871</v>
      </c>
      <c r="B15" s="6" t="s">
        <v>99</v>
      </c>
      <c r="C15" s="6" t="s">
        <v>101</v>
      </c>
      <c r="D15" s="6" t="s">
        <v>884</v>
      </c>
      <c r="E15" s="6" t="s">
        <v>885</v>
      </c>
      <c r="F15" s="6" t="s">
        <v>884</v>
      </c>
      <c r="G15" s="6" t="s">
        <v>100</v>
      </c>
      <c r="H15" s="6" t="s">
        <v>884</v>
      </c>
    </row>
    <row r="16">
      <c r="A16" s="1" t="s">
        <v>871</v>
      </c>
      <c r="B16" s="6" t="s">
        <v>105</v>
      </c>
      <c r="C16" s="6" t="s">
        <v>107</v>
      </c>
      <c r="D16" s="6" t="s">
        <v>886</v>
      </c>
      <c r="E16" s="6" t="s">
        <v>887</v>
      </c>
      <c r="F16" s="6" t="s">
        <v>886</v>
      </c>
      <c r="G16" s="6" t="s">
        <v>106</v>
      </c>
      <c r="H16" s="6" t="s">
        <v>886</v>
      </c>
    </row>
    <row r="17">
      <c r="A17" s="1" t="s">
        <v>871</v>
      </c>
      <c r="B17" s="6" t="s">
        <v>111</v>
      </c>
      <c r="C17" s="6" t="s">
        <v>112</v>
      </c>
      <c r="D17" s="6" t="s">
        <v>888</v>
      </c>
      <c r="E17" s="6" t="s">
        <v>112</v>
      </c>
      <c r="F17" s="6" t="s">
        <v>888</v>
      </c>
      <c r="G17" s="6" t="s">
        <v>112</v>
      </c>
      <c r="H17" s="6" t="s">
        <v>888</v>
      </c>
    </row>
    <row r="18">
      <c r="A18" s="1" t="s">
        <v>871</v>
      </c>
      <c r="B18" s="6" t="s">
        <v>115</v>
      </c>
      <c r="C18" s="6" t="s">
        <v>117</v>
      </c>
      <c r="D18" s="6" t="s">
        <v>889</v>
      </c>
      <c r="E18" s="6" t="s">
        <v>116</v>
      </c>
      <c r="F18" s="6" t="s">
        <v>889</v>
      </c>
      <c r="G18" s="6" t="s">
        <v>116</v>
      </c>
      <c r="H18" s="6" t="s">
        <v>889</v>
      </c>
      <c r="M18" s="1" t="s">
        <v>890</v>
      </c>
      <c r="N18" s="6" t="str">
        <f>COUNTIF(A2:, "positif")</f>
        <v>#ERROR!</v>
      </c>
    </row>
    <row r="19">
      <c r="A19" s="1" t="s">
        <v>871</v>
      </c>
      <c r="B19" s="6" t="s">
        <v>119</v>
      </c>
      <c r="C19" s="6" t="s">
        <v>119</v>
      </c>
      <c r="D19" s="6" t="s">
        <v>119</v>
      </c>
      <c r="E19" s="6" t="s">
        <v>119</v>
      </c>
      <c r="F19" s="6" t="s">
        <v>119</v>
      </c>
      <c r="G19" s="6" t="s">
        <v>119</v>
      </c>
      <c r="H19" s="6" t="s">
        <v>119</v>
      </c>
      <c r="M19" s="1" t="s">
        <v>891</v>
      </c>
      <c r="N19" s="6">
        <f>COUNTIF($B$2:$B$408, "netral")</f>
        <v>0</v>
      </c>
    </row>
    <row r="20">
      <c r="A20" s="1" t="s">
        <v>871</v>
      </c>
      <c r="B20" s="6" t="s">
        <v>121</v>
      </c>
      <c r="C20" s="6" t="s">
        <v>121</v>
      </c>
      <c r="D20" s="6" t="s">
        <v>121</v>
      </c>
      <c r="E20" s="6" t="s">
        <v>121</v>
      </c>
      <c r="F20" s="6" t="s">
        <v>121</v>
      </c>
      <c r="G20" s="6" t="s">
        <v>121</v>
      </c>
      <c r="H20" s="6" t="s">
        <v>121</v>
      </c>
      <c r="M20" s="1" t="s">
        <v>892</v>
      </c>
      <c r="N20" s="6">
        <f>COUNTIF($B$2:$B$408, "negatif")</f>
        <v>0</v>
      </c>
    </row>
    <row r="21">
      <c r="A21" s="1" t="s">
        <v>871</v>
      </c>
      <c r="B21" s="6" t="s">
        <v>123</v>
      </c>
      <c r="C21" s="6" t="s">
        <v>124</v>
      </c>
      <c r="D21" s="6" t="s">
        <v>893</v>
      </c>
      <c r="E21" s="6" t="s">
        <v>124</v>
      </c>
      <c r="F21" s="6" t="s">
        <v>893</v>
      </c>
      <c r="G21" s="6" t="s">
        <v>124</v>
      </c>
      <c r="H21" s="6" t="s">
        <v>893</v>
      </c>
    </row>
    <row r="22">
      <c r="A22" s="1" t="s">
        <v>871</v>
      </c>
      <c r="B22" s="6" t="s">
        <v>126</v>
      </c>
      <c r="C22" s="6" t="s">
        <v>127</v>
      </c>
      <c r="D22" s="6" t="s">
        <v>894</v>
      </c>
      <c r="E22" s="6" t="s">
        <v>895</v>
      </c>
      <c r="F22" s="6" t="s">
        <v>894</v>
      </c>
      <c r="G22" s="6" t="s">
        <v>126</v>
      </c>
      <c r="H22" s="6" t="s">
        <v>894</v>
      </c>
    </row>
    <row r="23">
      <c r="A23" s="1" t="s">
        <v>871</v>
      </c>
      <c r="B23" s="6" t="s">
        <v>129</v>
      </c>
      <c r="C23" s="6" t="s">
        <v>129</v>
      </c>
      <c r="D23" s="6" t="s">
        <v>129</v>
      </c>
      <c r="E23" s="6" t="s">
        <v>129</v>
      </c>
      <c r="F23" s="6" t="s">
        <v>129</v>
      </c>
      <c r="G23" s="6" t="s">
        <v>129</v>
      </c>
      <c r="H23" s="6" t="s">
        <v>129</v>
      </c>
    </row>
    <row r="24">
      <c r="A24" s="1" t="s">
        <v>871</v>
      </c>
      <c r="B24" s="6" t="s">
        <v>131</v>
      </c>
      <c r="C24" s="6" t="s">
        <v>133</v>
      </c>
      <c r="D24" s="6" t="s">
        <v>131</v>
      </c>
      <c r="E24" s="6" t="s">
        <v>896</v>
      </c>
      <c r="F24" s="6" t="s">
        <v>131</v>
      </c>
      <c r="G24" s="6" t="s">
        <v>132</v>
      </c>
      <c r="H24" s="6" t="s">
        <v>131</v>
      </c>
    </row>
    <row r="25">
      <c r="A25" s="1" t="s">
        <v>871</v>
      </c>
      <c r="B25" s="6" t="s">
        <v>135</v>
      </c>
      <c r="C25" s="6" t="s">
        <v>135</v>
      </c>
      <c r="D25" s="6" t="s">
        <v>135</v>
      </c>
      <c r="E25" s="6" t="s">
        <v>135</v>
      </c>
      <c r="F25" s="6" t="s">
        <v>135</v>
      </c>
      <c r="G25" s="6" t="s">
        <v>135</v>
      </c>
      <c r="H25" s="6" t="s">
        <v>135</v>
      </c>
    </row>
    <row r="26">
      <c r="A26" s="1" t="s">
        <v>871</v>
      </c>
      <c r="B26" s="6" t="s">
        <v>137</v>
      </c>
      <c r="C26" s="6" t="s">
        <v>139</v>
      </c>
      <c r="D26" s="6" t="s">
        <v>897</v>
      </c>
      <c r="E26" s="6" t="s">
        <v>138</v>
      </c>
      <c r="F26" s="6" t="s">
        <v>897</v>
      </c>
      <c r="G26" s="6" t="s">
        <v>138</v>
      </c>
      <c r="H26" s="6" t="s">
        <v>897</v>
      </c>
    </row>
    <row r="27">
      <c r="A27" s="1" t="s">
        <v>871</v>
      </c>
      <c r="B27" s="6" t="s">
        <v>141</v>
      </c>
      <c r="C27" s="6" t="s">
        <v>141</v>
      </c>
      <c r="D27" s="6" t="s">
        <v>141</v>
      </c>
      <c r="E27" s="6" t="s">
        <v>141</v>
      </c>
      <c r="F27" s="6" t="s">
        <v>141</v>
      </c>
      <c r="G27" s="6" t="s">
        <v>141</v>
      </c>
      <c r="H27" s="6" t="s">
        <v>141</v>
      </c>
    </row>
    <row r="28">
      <c r="A28" s="1" t="s">
        <v>871</v>
      </c>
      <c r="B28" s="6" t="s">
        <v>121</v>
      </c>
      <c r="C28" s="6" t="s">
        <v>121</v>
      </c>
      <c r="D28" s="6" t="s">
        <v>121</v>
      </c>
      <c r="E28" s="6" t="s">
        <v>121</v>
      </c>
      <c r="F28" s="6" t="s">
        <v>121</v>
      </c>
      <c r="G28" s="6" t="s">
        <v>121</v>
      </c>
      <c r="H28" s="6" t="s">
        <v>121</v>
      </c>
    </row>
    <row r="29">
      <c r="A29" s="1" t="s">
        <v>871</v>
      </c>
      <c r="B29" s="6" t="s">
        <v>144</v>
      </c>
      <c r="C29" s="6" t="s">
        <v>145</v>
      </c>
      <c r="D29" s="6" t="s">
        <v>898</v>
      </c>
      <c r="E29" s="6" t="s">
        <v>145</v>
      </c>
      <c r="F29" s="6" t="s">
        <v>898</v>
      </c>
      <c r="G29" s="6" t="s">
        <v>145</v>
      </c>
      <c r="H29" s="6" t="s">
        <v>898</v>
      </c>
    </row>
    <row r="30">
      <c r="A30" s="1" t="s">
        <v>871</v>
      </c>
      <c r="B30" s="6" t="s">
        <v>147</v>
      </c>
      <c r="C30" s="6" t="s">
        <v>148</v>
      </c>
      <c r="D30" s="6" t="s">
        <v>899</v>
      </c>
      <c r="E30" s="6" t="s">
        <v>148</v>
      </c>
      <c r="F30" s="6" t="s">
        <v>899</v>
      </c>
      <c r="G30" s="6" t="s">
        <v>148</v>
      </c>
      <c r="H30" s="6" t="s">
        <v>899</v>
      </c>
    </row>
    <row r="31">
      <c r="A31" s="1" t="s">
        <v>871</v>
      </c>
      <c r="B31" s="6" t="s">
        <v>151</v>
      </c>
      <c r="C31" s="6" t="s">
        <v>153</v>
      </c>
      <c r="D31" s="6" t="s">
        <v>900</v>
      </c>
      <c r="E31" s="6" t="s">
        <v>901</v>
      </c>
      <c r="F31" s="6" t="s">
        <v>900</v>
      </c>
      <c r="G31" s="6" t="s">
        <v>152</v>
      </c>
      <c r="H31" s="6" t="s">
        <v>900</v>
      </c>
    </row>
    <row r="32">
      <c r="A32" s="1" t="s">
        <v>861</v>
      </c>
      <c r="B32" s="6" t="s">
        <v>154</v>
      </c>
      <c r="C32" s="6" t="s">
        <v>156</v>
      </c>
      <c r="D32" s="6" t="s">
        <v>902</v>
      </c>
      <c r="E32" s="6" t="s">
        <v>155</v>
      </c>
      <c r="F32" s="6" t="s">
        <v>902</v>
      </c>
      <c r="G32" s="6" t="s">
        <v>155</v>
      </c>
      <c r="H32" s="6" t="s">
        <v>902</v>
      </c>
    </row>
    <row r="33">
      <c r="A33" s="1" t="s">
        <v>871</v>
      </c>
      <c r="B33" s="6" t="s">
        <v>158</v>
      </c>
      <c r="C33" s="6" t="s">
        <v>160</v>
      </c>
      <c r="D33" s="6" t="s">
        <v>903</v>
      </c>
      <c r="E33" s="6" t="s">
        <v>904</v>
      </c>
      <c r="F33" s="6" t="s">
        <v>903</v>
      </c>
      <c r="G33" s="6" t="s">
        <v>159</v>
      </c>
      <c r="H33" s="6" t="s">
        <v>903</v>
      </c>
    </row>
    <row r="34">
      <c r="A34" s="1" t="s">
        <v>861</v>
      </c>
      <c r="B34" s="6" t="s">
        <v>162</v>
      </c>
      <c r="C34" s="6" t="s">
        <v>164</v>
      </c>
      <c r="D34" s="6" t="s">
        <v>905</v>
      </c>
      <c r="E34" s="6" t="s">
        <v>163</v>
      </c>
      <c r="F34" s="6" t="s">
        <v>905</v>
      </c>
      <c r="G34" s="6" t="s">
        <v>163</v>
      </c>
      <c r="H34" s="6" t="s">
        <v>905</v>
      </c>
    </row>
    <row r="35">
      <c r="A35" s="1" t="s">
        <v>861</v>
      </c>
      <c r="B35" s="6" t="s">
        <v>166</v>
      </c>
      <c r="C35" s="6" t="s">
        <v>168</v>
      </c>
      <c r="D35" s="6" t="s">
        <v>906</v>
      </c>
      <c r="E35" s="6" t="s">
        <v>167</v>
      </c>
      <c r="F35" s="6" t="s">
        <v>906</v>
      </c>
      <c r="G35" s="6" t="s">
        <v>167</v>
      </c>
      <c r="H35" s="6" t="s">
        <v>906</v>
      </c>
    </row>
    <row r="36">
      <c r="A36" s="1" t="s">
        <v>861</v>
      </c>
      <c r="B36" s="6" t="s">
        <v>170</v>
      </c>
      <c r="C36" s="6" t="s">
        <v>170</v>
      </c>
      <c r="D36" s="6" t="s">
        <v>170</v>
      </c>
      <c r="E36" s="6" t="s">
        <v>170</v>
      </c>
      <c r="F36" s="6" t="s">
        <v>170</v>
      </c>
      <c r="G36" s="6" t="s">
        <v>170</v>
      </c>
      <c r="H36" s="6" t="s">
        <v>170</v>
      </c>
    </row>
    <row r="37">
      <c r="A37" s="1" t="s">
        <v>861</v>
      </c>
      <c r="B37" s="6" t="s">
        <v>172</v>
      </c>
      <c r="C37" s="6" t="s">
        <v>172</v>
      </c>
      <c r="D37" s="6" t="s">
        <v>172</v>
      </c>
      <c r="E37" s="6" t="s">
        <v>172</v>
      </c>
      <c r="F37" s="6" t="s">
        <v>172</v>
      </c>
      <c r="G37" s="6" t="s">
        <v>172</v>
      </c>
      <c r="H37" s="6" t="s">
        <v>172</v>
      </c>
    </row>
    <row r="38">
      <c r="A38" s="1" t="s">
        <v>861</v>
      </c>
      <c r="B38" s="6" t="s">
        <v>175</v>
      </c>
      <c r="C38" s="6" t="s">
        <v>175</v>
      </c>
      <c r="D38" s="6" t="s">
        <v>175</v>
      </c>
      <c r="E38" s="6" t="s">
        <v>175</v>
      </c>
      <c r="F38" s="6" t="s">
        <v>175</v>
      </c>
      <c r="G38" s="6" t="s">
        <v>175</v>
      </c>
      <c r="H38" s="6" t="s">
        <v>175</v>
      </c>
    </row>
    <row r="39">
      <c r="A39" s="1" t="s">
        <v>861</v>
      </c>
      <c r="B39" s="6" t="s">
        <v>177</v>
      </c>
      <c r="C39" s="6" t="s">
        <v>179</v>
      </c>
      <c r="D39" s="6" t="s">
        <v>907</v>
      </c>
      <c r="E39" s="6" t="s">
        <v>908</v>
      </c>
      <c r="F39" s="6" t="s">
        <v>907</v>
      </c>
      <c r="G39" s="6" t="s">
        <v>178</v>
      </c>
      <c r="H39" s="6" t="s">
        <v>907</v>
      </c>
    </row>
    <row r="40">
      <c r="A40" s="1" t="s">
        <v>871</v>
      </c>
      <c r="B40" s="6" t="s">
        <v>181</v>
      </c>
      <c r="C40" s="6" t="s">
        <v>181</v>
      </c>
      <c r="D40" s="6" t="s">
        <v>909</v>
      </c>
      <c r="E40" s="6" t="s">
        <v>181</v>
      </c>
      <c r="F40" s="6" t="s">
        <v>909</v>
      </c>
      <c r="G40" s="6" t="s">
        <v>181</v>
      </c>
      <c r="H40" s="6" t="s">
        <v>909</v>
      </c>
    </row>
    <row r="41">
      <c r="A41" s="1" t="s">
        <v>863</v>
      </c>
      <c r="B41" s="6" t="s">
        <v>183</v>
      </c>
      <c r="C41" s="6" t="s">
        <v>183</v>
      </c>
      <c r="D41" s="6" t="s">
        <v>183</v>
      </c>
      <c r="E41" s="6" t="s">
        <v>183</v>
      </c>
      <c r="F41" s="6" t="s">
        <v>183</v>
      </c>
      <c r="G41" s="6" t="s">
        <v>183</v>
      </c>
      <c r="H41" s="6" t="s">
        <v>183</v>
      </c>
    </row>
    <row r="42">
      <c r="A42" s="1" t="s">
        <v>871</v>
      </c>
      <c r="B42" s="6" t="s">
        <v>185</v>
      </c>
      <c r="C42" s="6" t="s">
        <v>185</v>
      </c>
      <c r="D42" s="6" t="s">
        <v>185</v>
      </c>
      <c r="E42" s="6" t="s">
        <v>185</v>
      </c>
      <c r="F42" s="6" t="s">
        <v>185</v>
      </c>
      <c r="G42" s="6" t="s">
        <v>185</v>
      </c>
      <c r="H42" s="6" t="s">
        <v>185</v>
      </c>
    </row>
    <row r="43">
      <c r="A43" s="1" t="s">
        <v>871</v>
      </c>
      <c r="B43" s="6" t="s">
        <v>187</v>
      </c>
      <c r="C43" s="6" t="s">
        <v>187</v>
      </c>
      <c r="D43" s="6" t="s">
        <v>187</v>
      </c>
      <c r="E43" s="6" t="s">
        <v>187</v>
      </c>
      <c r="F43" s="6" t="s">
        <v>187</v>
      </c>
      <c r="G43" s="6" t="s">
        <v>187</v>
      </c>
      <c r="H43" s="6" t="s">
        <v>187</v>
      </c>
    </row>
    <row r="44">
      <c r="A44" s="1" t="s">
        <v>871</v>
      </c>
      <c r="B44" s="6" t="s">
        <v>189</v>
      </c>
      <c r="C44" s="6" t="s">
        <v>189</v>
      </c>
      <c r="D44" s="6" t="s">
        <v>189</v>
      </c>
      <c r="E44" s="6" t="s">
        <v>189</v>
      </c>
      <c r="F44" s="6" t="s">
        <v>189</v>
      </c>
      <c r="G44" s="6" t="s">
        <v>189</v>
      </c>
      <c r="H44" s="6" t="s">
        <v>189</v>
      </c>
    </row>
    <row r="45">
      <c r="A45" s="1" t="s">
        <v>871</v>
      </c>
      <c r="B45" s="6" t="s">
        <v>191</v>
      </c>
      <c r="C45" s="6" t="s">
        <v>191</v>
      </c>
      <c r="D45" s="6" t="s">
        <v>191</v>
      </c>
      <c r="E45" s="6" t="s">
        <v>191</v>
      </c>
      <c r="F45" s="6" t="s">
        <v>191</v>
      </c>
      <c r="G45" s="6" t="s">
        <v>191</v>
      </c>
      <c r="H45" s="6" t="s">
        <v>191</v>
      </c>
    </row>
    <row r="46">
      <c r="A46" s="1" t="s">
        <v>871</v>
      </c>
      <c r="B46" s="6" t="s">
        <v>191</v>
      </c>
      <c r="C46" s="6" t="s">
        <v>191</v>
      </c>
      <c r="D46" s="6" t="s">
        <v>191</v>
      </c>
      <c r="E46" s="6" t="s">
        <v>191</v>
      </c>
      <c r="F46" s="6" t="s">
        <v>191</v>
      </c>
      <c r="G46" s="6" t="s">
        <v>191</v>
      </c>
      <c r="H46" s="6" t="s">
        <v>191</v>
      </c>
    </row>
    <row r="47">
      <c r="A47" s="1" t="s">
        <v>871</v>
      </c>
      <c r="B47" s="6" t="s">
        <v>194</v>
      </c>
      <c r="C47" s="6" t="s">
        <v>194</v>
      </c>
      <c r="D47" s="6" t="s">
        <v>194</v>
      </c>
      <c r="E47" s="6" t="s">
        <v>194</v>
      </c>
      <c r="F47" s="6" t="s">
        <v>194</v>
      </c>
      <c r="G47" s="6" t="s">
        <v>194</v>
      </c>
      <c r="H47" s="6" t="s">
        <v>194</v>
      </c>
    </row>
    <row r="48">
      <c r="A48" s="1" t="s">
        <v>871</v>
      </c>
      <c r="B48" s="6" t="s">
        <v>196</v>
      </c>
      <c r="C48" s="6" t="s">
        <v>196</v>
      </c>
      <c r="D48" s="6" t="s">
        <v>196</v>
      </c>
      <c r="E48" s="6" t="s">
        <v>196</v>
      </c>
      <c r="F48" s="6" t="s">
        <v>196</v>
      </c>
      <c r="G48" s="6" t="s">
        <v>196</v>
      </c>
      <c r="H48" s="6" t="s">
        <v>196</v>
      </c>
    </row>
    <row r="49">
      <c r="A49" s="1" t="s">
        <v>871</v>
      </c>
      <c r="B49" s="6" t="s">
        <v>198</v>
      </c>
      <c r="C49" s="6" t="s">
        <v>198</v>
      </c>
      <c r="D49" s="6" t="s">
        <v>198</v>
      </c>
      <c r="E49" s="6" t="s">
        <v>198</v>
      </c>
      <c r="F49" s="6" t="s">
        <v>198</v>
      </c>
      <c r="G49" s="6" t="s">
        <v>198</v>
      </c>
      <c r="H49" s="6" t="s">
        <v>198</v>
      </c>
    </row>
    <row r="50">
      <c r="A50" s="1" t="s">
        <v>861</v>
      </c>
      <c r="B50" s="6" t="s">
        <v>200</v>
      </c>
      <c r="C50" s="6" t="s">
        <v>202</v>
      </c>
      <c r="D50" s="6" t="s">
        <v>910</v>
      </c>
      <c r="E50" s="6" t="s">
        <v>911</v>
      </c>
      <c r="F50" s="6" t="s">
        <v>910</v>
      </c>
      <c r="G50" s="6" t="s">
        <v>201</v>
      </c>
      <c r="H50" s="6" t="s">
        <v>910</v>
      </c>
    </row>
    <row r="51">
      <c r="A51" s="1" t="s">
        <v>871</v>
      </c>
      <c r="B51" s="6" t="s">
        <v>204</v>
      </c>
      <c r="C51" s="6" t="s">
        <v>204</v>
      </c>
      <c r="D51" s="6" t="s">
        <v>204</v>
      </c>
      <c r="E51" s="6" t="s">
        <v>204</v>
      </c>
      <c r="F51" s="6" t="s">
        <v>204</v>
      </c>
      <c r="G51" s="6" t="s">
        <v>204</v>
      </c>
      <c r="H51" s="6" t="s">
        <v>204</v>
      </c>
    </row>
    <row r="52">
      <c r="A52" s="1" t="s">
        <v>871</v>
      </c>
      <c r="B52" s="6" t="s">
        <v>204</v>
      </c>
      <c r="C52" s="6" t="s">
        <v>204</v>
      </c>
      <c r="D52" s="6" t="s">
        <v>204</v>
      </c>
      <c r="E52" s="6" t="s">
        <v>204</v>
      </c>
      <c r="F52" s="6" t="s">
        <v>204</v>
      </c>
      <c r="G52" s="6" t="s">
        <v>204</v>
      </c>
      <c r="H52" s="6" t="s">
        <v>204</v>
      </c>
    </row>
    <row r="53">
      <c r="A53" s="1" t="s">
        <v>871</v>
      </c>
      <c r="B53" s="6" t="s">
        <v>185</v>
      </c>
      <c r="C53" s="6" t="s">
        <v>185</v>
      </c>
      <c r="D53" s="6" t="s">
        <v>185</v>
      </c>
      <c r="E53" s="6" t="s">
        <v>185</v>
      </c>
      <c r="F53" s="6" t="s">
        <v>185</v>
      </c>
      <c r="G53" s="6" t="s">
        <v>185</v>
      </c>
      <c r="H53" s="6" t="s">
        <v>185</v>
      </c>
    </row>
    <row r="54">
      <c r="A54" s="1" t="s">
        <v>871</v>
      </c>
      <c r="B54" s="6" t="s">
        <v>208</v>
      </c>
      <c r="C54" s="6" t="s">
        <v>208</v>
      </c>
      <c r="D54" s="6" t="s">
        <v>208</v>
      </c>
      <c r="E54" s="6" t="s">
        <v>208</v>
      </c>
      <c r="F54" s="6" t="s">
        <v>208</v>
      </c>
      <c r="G54" s="6" t="s">
        <v>208</v>
      </c>
      <c r="H54" s="6" t="s">
        <v>208</v>
      </c>
    </row>
    <row r="55">
      <c r="A55" s="1" t="s">
        <v>871</v>
      </c>
      <c r="B55" s="6" t="s">
        <v>210</v>
      </c>
      <c r="C55" s="6" t="s">
        <v>210</v>
      </c>
      <c r="D55" s="6" t="s">
        <v>210</v>
      </c>
      <c r="E55" s="6" t="s">
        <v>210</v>
      </c>
      <c r="F55" s="6" t="s">
        <v>210</v>
      </c>
      <c r="G55" s="6" t="s">
        <v>210</v>
      </c>
      <c r="H55" s="6" t="s">
        <v>210</v>
      </c>
    </row>
    <row r="56">
      <c r="A56" s="1" t="s">
        <v>871</v>
      </c>
      <c r="B56" s="6" t="s">
        <v>212</v>
      </c>
      <c r="C56" s="6" t="s">
        <v>212</v>
      </c>
      <c r="D56" s="6" t="s">
        <v>212</v>
      </c>
      <c r="E56" s="6" t="s">
        <v>212</v>
      </c>
      <c r="F56" s="6" t="s">
        <v>212</v>
      </c>
      <c r="G56" s="6" t="s">
        <v>212</v>
      </c>
      <c r="H56" s="6" t="s">
        <v>212</v>
      </c>
    </row>
    <row r="57">
      <c r="A57" s="1" t="s">
        <v>871</v>
      </c>
      <c r="B57" s="6" t="s">
        <v>214</v>
      </c>
      <c r="C57" s="6" t="s">
        <v>215</v>
      </c>
      <c r="D57" s="6" t="s">
        <v>214</v>
      </c>
      <c r="E57" s="6" t="s">
        <v>215</v>
      </c>
      <c r="F57" s="6" t="s">
        <v>214</v>
      </c>
      <c r="G57" s="6" t="s">
        <v>215</v>
      </c>
      <c r="H57" s="6" t="s">
        <v>214</v>
      </c>
    </row>
    <row r="58">
      <c r="A58" s="1" t="s">
        <v>871</v>
      </c>
      <c r="B58" s="6" t="s">
        <v>912</v>
      </c>
      <c r="C58" s="6" t="s">
        <v>219</v>
      </c>
      <c r="D58" s="6" t="s">
        <v>913</v>
      </c>
      <c r="E58" s="6" t="s">
        <v>914</v>
      </c>
      <c r="F58" s="6" t="s">
        <v>913</v>
      </c>
      <c r="G58" s="6" t="s">
        <v>218</v>
      </c>
      <c r="H58" s="6" t="s">
        <v>913</v>
      </c>
    </row>
    <row r="59">
      <c r="A59" s="1" t="s">
        <v>871</v>
      </c>
      <c r="B59" s="6" t="s">
        <v>221</v>
      </c>
      <c r="C59" s="6" t="s">
        <v>221</v>
      </c>
      <c r="D59" s="6" t="s">
        <v>221</v>
      </c>
      <c r="E59" s="6" t="s">
        <v>221</v>
      </c>
      <c r="F59" s="6" t="s">
        <v>221</v>
      </c>
      <c r="G59" s="6" t="s">
        <v>221</v>
      </c>
      <c r="H59" s="6" t="s">
        <v>221</v>
      </c>
    </row>
    <row r="60">
      <c r="A60" s="1" t="s">
        <v>871</v>
      </c>
      <c r="B60" s="6" t="s">
        <v>185</v>
      </c>
      <c r="C60" s="6" t="s">
        <v>185</v>
      </c>
      <c r="D60" s="6" t="s">
        <v>185</v>
      </c>
      <c r="E60" s="6" t="s">
        <v>185</v>
      </c>
      <c r="F60" s="6" t="s">
        <v>185</v>
      </c>
      <c r="G60" s="6" t="s">
        <v>185</v>
      </c>
      <c r="H60" s="6" t="s">
        <v>185</v>
      </c>
    </row>
    <row r="61">
      <c r="A61" s="1" t="s">
        <v>871</v>
      </c>
      <c r="B61" s="6" t="s">
        <v>185</v>
      </c>
      <c r="C61" s="6" t="s">
        <v>185</v>
      </c>
      <c r="D61" s="6" t="s">
        <v>185</v>
      </c>
      <c r="E61" s="6" t="s">
        <v>185</v>
      </c>
      <c r="F61" s="6" t="s">
        <v>185</v>
      </c>
      <c r="G61" s="6" t="s">
        <v>185</v>
      </c>
      <c r="H61" s="6" t="s">
        <v>185</v>
      </c>
    </row>
    <row r="62">
      <c r="A62" s="1" t="s">
        <v>871</v>
      </c>
      <c r="B62" s="6" t="s">
        <v>225</v>
      </c>
      <c r="C62" s="6" t="s">
        <v>225</v>
      </c>
      <c r="D62" s="6" t="s">
        <v>225</v>
      </c>
      <c r="E62" s="6" t="s">
        <v>225</v>
      </c>
      <c r="F62" s="6" t="s">
        <v>225</v>
      </c>
      <c r="G62" s="6" t="s">
        <v>225</v>
      </c>
      <c r="H62" s="6" t="s">
        <v>225</v>
      </c>
    </row>
    <row r="63">
      <c r="A63" s="1" t="s">
        <v>871</v>
      </c>
      <c r="B63" s="6" t="s">
        <v>227</v>
      </c>
      <c r="C63" s="6" t="s">
        <v>227</v>
      </c>
      <c r="D63" s="6" t="s">
        <v>227</v>
      </c>
      <c r="E63" s="6" t="s">
        <v>227</v>
      </c>
      <c r="F63" s="6" t="s">
        <v>227</v>
      </c>
      <c r="G63" s="6" t="s">
        <v>227</v>
      </c>
      <c r="H63" s="6" t="s">
        <v>227</v>
      </c>
    </row>
    <row r="64">
      <c r="A64" s="1" t="s">
        <v>871</v>
      </c>
      <c r="B64" s="6" t="s">
        <v>135</v>
      </c>
      <c r="C64" s="6" t="s">
        <v>135</v>
      </c>
      <c r="D64" s="6" t="s">
        <v>135</v>
      </c>
      <c r="E64" s="6" t="s">
        <v>135</v>
      </c>
      <c r="F64" s="6" t="s">
        <v>135</v>
      </c>
      <c r="G64" s="6" t="s">
        <v>135</v>
      </c>
      <c r="H64" s="6" t="s">
        <v>135</v>
      </c>
    </row>
    <row r="65">
      <c r="A65" s="1" t="s">
        <v>871</v>
      </c>
      <c r="B65" s="6" t="s">
        <v>230</v>
      </c>
      <c r="C65" s="6" t="s">
        <v>230</v>
      </c>
      <c r="D65" s="6" t="s">
        <v>230</v>
      </c>
      <c r="E65" s="6" t="s">
        <v>230</v>
      </c>
      <c r="F65" s="6" t="s">
        <v>230</v>
      </c>
      <c r="G65" s="6" t="s">
        <v>230</v>
      </c>
      <c r="H65" s="6" t="s">
        <v>230</v>
      </c>
    </row>
    <row r="66">
      <c r="A66" s="1" t="s">
        <v>871</v>
      </c>
      <c r="B66" s="6" t="s">
        <v>232</v>
      </c>
      <c r="C66" s="6" t="s">
        <v>232</v>
      </c>
      <c r="D66" s="6" t="s">
        <v>232</v>
      </c>
      <c r="E66" s="6" t="s">
        <v>232</v>
      </c>
      <c r="F66" s="6" t="s">
        <v>232</v>
      </c>
      <c r="G66" s="6" t="s">
        <v>232</v>
      </c>
      <c r="H66" s="6" t="s">
        <v>232</v>
      </c>
    </row>
    <row r="67">
      <c r="A67" s="1" t="s">
        <v>871</v>
      </c>
      <c r="B67" s="6" t="s">
        <v>185</v>
      </c>
      <c r="C67" s="6" t="s">
        <v>185</v>
      </c>
      <c r="D67" s="6" t="s">
        <v>185</v>
      </c>
      <c r="E67" s="6" t="s">
        <v>185</v>
      </c>
      <c r="F67" s="6" t="s">
        <v>185</v>
      </c>
      <c r="G67" s="6" t="s">
        <v>185</v>
      </c>
      <c r="H67" s="6" t="s">
        <v>185</v>
      </c>
    </row>
    <row r="68">
      <c r="A68" s="1" t="s">
        <v>871</v>
      </c>
      <c r="B68" s="6" t="s">
        <v>235</v>
      </c>
      <c r="C68" s="6" t="s">
        <v>237</v>
      </c>
      <c r="D68" s="6" t="s">
        <v>915</v>
      </c>
      <c r="E68" s="6" t="s">
        <v>916</v>
      </c>
      <c r="F68" s="6" t="s">
        <v>915</v>
      </c>
      <c r="G68" s="6" t="s">
        <v>236</v>
      </c>
      <c r="H68" s="6" t="s">
        <v>915</v>
      </c>
    </row>
    <row r="69">
      <c r="A69" s="1" t="s">
        <v>871</v>
      </c>
      <c r="B69" s="6" t="s">
        <v>238</v>
      </c>
      <c r="C69" s="6" t="s">
        <v>240</v>
      </c>
      <c r="D69" s="6" t="s">
        <v>917</v>
      </c>
      <c r="E69" s="6" t="s">
        <v>918</v>
      </c>
      <c r="F69" s="6" t="s">
        <v>917</v>
      </c>
      <c r="G69" s="6" t="s">
        <v>239</v>
      </c>
      <c r="H69" s="6" t="s">
        <v>917</v>
      </c>
    </row>
    <row r="70">
      <c r="A70" s="1" t="s">
        <v>871</v>
      </c>
      <c r="B70" s="6" t="s">
        <v>198</v>
      </c>
      <c r="C70" s="6" t="s">
        <v>198</v>
      </c>
      <c r="D70" s="6" t="s">
        <v>198</v>
      </c>
      <c r="E70" s="6" t="s">
        <v>198</v>
      </c>
      <c r="F70" s="6" t="s">
        <v>198</v>
      </c>
      <c r="G70" s="6" t="s">
        <v>198</v>
      </c>
      <c r="H70" s="6" t="s">
        <v>198</v>
      </c>
    </row>
    <row r="71">
      <c r="A71" s="1" t="s">
        <v>871</v>
      </c>
      <c r="B71" s="6" t="s">
        <v>243</v>
      </c>
      <c r="C71" s="6" t="s">
        <v>244</v>
      </c>
      <c r="D71" s="6" t="s">
        <v>919</v>
      </c>
      <c r="E71" s="6" t="s">
        <v>244</v>
      </c>
      <c r="F71" s="6" t="s">
        <v>919</v>
      </c>
      <c r="G71" s="6" t="s">
        <v>244</v>
      </c>
      <c r="H71" s="6" t="s">
        <v>919</v>
      </c>
    </row>
    <row r="72">
      <c r="A72" s="1" t="s">
        <v>871</v>
      </c>
      <c r="B72" s="6" t="s">
        <v>208</v>
      </c>
      <c r="C72" s="6" t="s">
        <v>208</v>
      </c>
      <c r="D72" s="6" t="s">
        <v>208</v>
      </c>
      <c r="E72" s="6" t="s">
        <v>208</v>
      </c>
      <c r="F72" s="6" t="s">
        <v>208</v>
      </c>
      <c r="G72" s="6" t="s">
        <v>208</v>
      </c>
      <c r="H72" s="6" t="s">
        <v>208</v>
      </c>
    </row>
    <row r="73">
      <c r="A73" s="1" t="s">
        <v>871</v>
      </c>
      <c r="B73" s="6" t="s">
        <v>225</v>
      </c>
      <c r="C73" s="6" t="s">
        <v>225</v>
      </c>
      <c r="D73" s="6" t="s">
        <v>225</v>
      </c>
      <c r="E73" s="6" t="s">
        <v>225</v>
      </c>
      <c r="F73" s="6" t="s">
        <v>225</v>
      </c>
      <c r="G73" s="6" t="s">
        <v>225</v>
      </c>
      <c r="H73" s="6" t="s">
        <v>225</v>
      </c>
    </row>
    <row r="74">
      <c r="A74" s="1" t="s">
        <v>871</v>
      </c>
      <c r="B74" s="6" t="s">
        <v>248</v>
      </c>
      <c r="C74" s="6" t="s">
        <v>250</v>
      </c>
      <c r="D74" s="6" t="s">
        <v>920</v>
      </c>
      <c r="E74" s="6" t="s">
        <v>249</v>
      </c>
      <c r="F74" s="6" t="s">
        <v>920</v>
      </c>
      <c r="G74" s="6" t="s">
        <v>249</v>
      </c>
      <c r="H74" s="6" t="s">
        <v>920</v>
      </c>
    </row>
    <row r="75">
      <c r="A75" s="1" t="s">
        <v>871</v>
      </c>
      <c r="B75" s="6" t="s">
        <v>252</v>
      </c>
      <c r="C75" s="6" t="s">
        <v>252</v>
      </c>
      <c r="D75" s="6" t="s">
        <v>252</v>
      </c>
      <c r="E75" s="6" t="s">
        <v>252</v>
      </c>
      <c r="F75" s="6" t="s">
        <v>252</v>
      </c>
      <c r="G75" s="6" t="s">
        <v>252</v>
      </c>
      <c r="H75" s="6" t="s">
        <v>252</v>
      </c>
    </row>
    <row r="76">
      <c r="A76" s="1" t="s">
        <v>871</v>
      </c>
      <c r="B76" s="6" t="s">
        <v>135</v>
      </c>
      <c r="C76" s="6" t="s">
        <v>135</v>
      </c>
      <c r="D76" s="6" t="s">
        <v>135</v>
      </c>
      <c r="E76" s="6" t="s">
        <v>135</v>
      </c>
      <c r="F76" s="6" t="s">
        <v>135</v>
      </c>
      <c r="G76" s="6" t="s">
        <v>135</v>
      </c>
      <c r="H76" s="6" t="s">
        <v>135</v>
      </c>
    </row>
    <row r="77">
      <c r="A77" s="1" t="s">
        <v>871</v>
      </c>
      <c r="B77" s="6" t="s">
        <v>254</v>
      </c>
      <c r="C77" s="6" t="s">
        <v>254</v>
      </c>
      <c r="D77" s="6" t="s">
        <v>254</v>
      </c>
      <c r="E77" s="6" t="s">
        <v>254</v>
      </c>
      <c r="F77" s="6" t="s">
        <v>254</v>
      </c>
      <c r="G77" s="6" t="s">
        <v>254</v>
      </c>
      <c r="H77" s="6" t="s">
        <v>254</v>
      </c>
    </row>
    <row r="78">
      <c r="A78" s="1" t="s">
        <v>871</v>
      </c>
      <c r="B78" s="6" t="s">
        <v>194</v>
      </c>
      <c r="C78" s="6" t="s">
        <v>194</v>
      </c>
      <c r="D78" s="6" t="s">
        <v>194</v>
      </c>
      <c r="E78" s="6" t="s">
        <v>194</v>
      </c>
      <c r="F78" s="6" t="s">
        <v>194</v>
      </c>
      <c r="G78" s="6" t="s">
        <v>194</v>
      </c>
      <c r="H78" s="6" t="s">
        <v>194</v>
      </c>
    </row>
    <row r="79">
      <c r="A79" s="1" t="s">
        <v>871</v>
      </c>
      <c r="B79" s="6" t="s">
        <v>257</v>
      </c>
      <c r="C79" s="6" t="s">
        <v>258</v>
      </c>
      <c r="D79" s="6" t="s">
        <v>921</v>
      </c>
      <c r="E79" s="6" t="s">
        <v>257</v>
      </c>
      <c r="F79" s="6" t="s">
        <v>921</v>
      </c>
      <c r="G79" s="6" t="s">
        <v>257</v>
      </c>
      <c r="H79" s="6" t="s">
        <v>921</v>
      </c>
    </row>
    <row r="80">
      <c r="A80" s="1" t="s">
        <v>871</v>
      </c>
      <c r="B80" s="6" t="s">
        <v>260</v>
      </c>
      <c r="C80" s="6" t="s">
        <v>260</v>
      </c>
      <c r="D80" s="6" t="s">
        <v>260</v>
      </c>
      <c r="E80" s="6" t="s">
        <v>260</v>
      </c>
      <c r="F80" s="6" t="s">
        <v>260</v>
      </c>
      <c r="G80" s="6" t="s">
        <v>260</v>
      </c>
      <c r="H80" s="6" t="s">
        <v>260</v>
      </c>
    </row>
    <row r="81">
      <c r="A81" s="1" t="s">
        <v>871</v>
      </c>
      <c r="B81" s="6" t="s">
        <v>204</v>
      </c>
      <c r="C81" s="6" t="s">
        <v>204</v>
      </c>
      <c r="D81" s="6" t="s">
        <v>204</v>
      </c>
      <c r="E81" s="6" t="s">
        <v>204</v>
      </c>
      <c r="F81" s="6" t="s">
        <v>204</v>
      </c>
      <c r="G81" s="6" t="s">
        <v>204</v>
      </c>
      <c r="H81" s="6" t="s">
        <v>204</v>
      </c>
    </row>
    <row r="82">
      <c r="A82" s="1" t="s">
        <v>871</v>
      </c>
      <c r="B82" s="6" t="s">
        <v>263</v>
      </c>
      <c r="C82" s="6" t="s">
        <v>265</v>
      </c>
      <c r="D82" s="6" t="s">
        <v>922</v>
      </c>
      <c r="E82" s="6" t="s">
        <v>923</v>
      </c>
      <c r="F82" s="6" t="s">
        <v>922</v>
      </c>
      <c r="G82" s="6" t="s">
        <v>264</v>
      </c>
      <c r="H82" s="6" t="s">
        <v>922</v>
      </c>
    </row>
    <row r="83">
      <c r="A83" s="1" t="s">
        <v>871</v>
      </c>
      <c r="B83" s="6" t="s">
        <v>267</v>
      </c>
      <c r="C83" s="6" t="s">
        <v>267</v>
      </c>
      <c r="D83" s="6" t="s">
        <v>267</v>
      </c>
      <c r="E83" s="6" t="s">
        <v>267</v>
      </c>
      <c r="F83" s="6" t="s">
        <v>267</v>
      </c>
      <c r="G83" s="6" t="s">
        <v>267</v>
      </c>
      <c r="H83" s="6" t="s">
        <v>267</v>
      </c>
    </row>
    <row r="84">
      <c r="A84" s="1" t="s">
        <v>871</v>
      </c>
      <c r="B84" s="6" t="s">
        <v>121</v>
      </c>
      <c r="C84" s="6" t="s">
        <v>121</v>
      </c>
      <c r="D84" s="6" t="s">
        <v>121</v>
      </c>
      <c r="E84" s="6" t="s">
        <v>121</v>
      </c>
      <c r="F84" s="6" t="s">
        <v>121</v>
      </c>
      <c r="G84" s="6" t="s">
        <v>121</v>
      </c>
      <c r="H84" s="6" t="s">
        <v>121</v>
      </c>
    </row>
    <row r="85">
      <c r="A85" s="1" t="s">
        <v>871</v>
      </c>
      <c r="B85" s="6" t="s">
        <v>269</v>
      </c>
      <c r="C85" s="6" t="s">
        <v>269</v>
      </c>
      <c r="D85" s="6" t="s">
        <v>269</v>
      </c>
      <c r="E85" s="6" t="s">
        <v>269</v>
      </c>
      <c r="F85" s="6" t="s">
        <v>269</v>
      </c>
      <c r="G85" s="6" t="s">
        <v>269</v>
      </c>
      <c r="H85" s="6" t="s">
        <v>269</v>
      </c>
    </row>
    <row r="86">
      <c r="A86" s="1" t="s">
        <v>871</v>
      </c>
      <c r="B86" s="6" t="s">
        <v>119</v>
      </c>
      <c r="C86" s="6" t="s">
        <v>119</v>
      </c>
      <c r="D86" s="6" t="s">
        <v>119</v>
      </c>
      <c r="E86" s="6" t="s">
        <v>119</v>
      </c>
      <c r="F86" s="6" t="s">
        <v>119</v>
      </c>
      <c r="G86" s="6" t="s">
        <v>119</v>
      </c>
      <c r="H86" s="6" t="s">
        <v>119</v>
      </c>
    </row>
    <row r="87">
      <c r="A87" s="1" t="s">
        <v>871</v>
      </c>
      <c r="B87" s="6" t="s">
        <v>198</v>
      </c>
      <c r="C87" s="6" t="s">
        <v>198</v>
      </c>
      <c r="D87" s="6" t="s">
        <v>198</v>
      </c>
      <c r="E87" s="6" t="s">
        <v>198</v>
      </c>
      <c r="F87" s="6" t="s">
        <v>198</v>
      </c>
      <c r="G87" s="6" t="s">
        <v>198</v>
      </c>
      <c r="H87" s="6" t="s">
        <v>198</v>
      </c>
    </row>
    <row r="88">
      <c r="A88" s="1" t="s">
        <v>871</v>
      </c>
      <c r="B88" s="6" t="s">
        <v>273</v>
      </c>
      <c r="C88" s="6" t="s">
        <v>275</v>
      </c>
      <c r="D88" s="6" t="s">
        <v>924</v>
      </c>
      <c r="E88" s="6" t="s">
        <v>925</v>
      </c>
      <c r="F88" s="6" t="s">
        <v>924</v>
      </c>
      <c r="G88" s="6" t="s">
        <v>274</v>
      </c>
      <c r="H88" s="6" t="s">
        <v>924</v>
      </c>
    </row>
    <row r="89">
      <c r="A89" s="1" t="s">
        <v>871</v>
      </c>
      <c r="B89" s="6" t="s">
        <v>277</v>
      </c>
      <c r="C89" s="6" t="s">
        <v>277</v>
      </c>
      <c r="D89" s="6" t="s">
        <v>277</v>
      </c>
      <c r="E89" s="6" t="s">
        <v>277</v>
      </c>
      <c r="F89" s="6" t="s">
        <v>277</v>
      </c>
      <c r="G89" s="6" t="s">
        <v>277</v>
      </c>
      <c r="H89" s="6" t="s">
        <v>277</v>
      </c>
    </row>
    <row r="90">
      <c r="A90" s="1" t="s">
        <v>871</v>
      </c>
      <c r="B90" s="6" t="s">
        <v>185</v>
      </c>
      <c r="C90" s="6" t="s">
        <v>185</v>
      </c>
      <c r="D90" s="6" t="s">
        <v>185</v>
      </c>
      <c r="E90" s="6" t="s">
        <v>185</v>
      </c>
      <c r="F90" s="6" t="s">
        <v>185</v>
      </c>
      <c r="G90" s="6" t="s">
        <v>185</v>
      </c>
      <c r="H90" s="6" t="s">
        <v>185</v>
      </c>
    </row>
    <row r="91">
      <c r="A91" s="1" t="s">
        <v>871</v>
      </c>
      <c r="B91" s="6" t="s">
        <v>204</v>
      </c>
      <c r="C91" s="6" t="s">
        <v>204</v>
      </c>
      <c r="D91" s="6" t="s">
        <v>204</v>
      </c>
      <c r="E91" s="6" t="s">
        <v>204</v>
      </c>
      <c r="F91" s="6" t="s">
        <v>204</v>
      </c>
      <c r="G91" s="6" t="s">
        <v>204</v>
      </c>
      <c r="H91" s="6" t="s">
        <v>204</v>
      </c>
    </row>
    <row r="92">
      <c r="A92" s="1" t="s">
        <v>871</v>
      </c>
      <c r="B92" s="6" t="s">
        <v>185</v>
      </c>
      <c r="C92" s="6" t="s">
        <v>185</v>
      </c>
      <c r="D92" s="6" t="s">
        <v>185</v>
      </c>
      <c r="E92" s="6" t="s">
        <v>185</v>
      </c>
      <c r="F92" s="6" t="s">
        <v>185</v>
      </c>
      <c r="G92" s="6" t="s">
        <v>185</v>
      </c>
      <c r="H92" s="6" t="s">
        <v>185</v>
      </c>
    </row>
    <row r="93">
      <c r="A93" s="1" t="s">
        <v>871</v>
      </c>
      <c r="B93" s="6" t="s">
        <v>185</v>
      </c>
      <c r="C93" s="6" t="s">
        <v>185</v>
      </c>
      <c r="D93" s="6" t="s">
        <v>185</v>
      </c>
      <c r="E93" s="6" t="s">
        <v>185</v>
      </c>
      <c r="F93" s="6" t="s">
        <v>185</v>
      </c>
      <c r="G93" s="6" t="s">
        <v>185</v>
      </c>
      <c r="H93" s="6" t="s">
        <v>185</v>
      </c>
    </row>
    <row r="94">
      <c r="A94" s="1" t="s">
        <v>871</v>
      </c>
      <c r="B94" s="6" t="s">
        <v>191</v>
      </c>
      <c r="C94" s="6" t="s">
        <v>191</v>
      </c>
      <c r="D94" s="6" t="s">
        <v>191</v>
      </c>
      <c r="E94" s="6" t="s">
        <v>191</v>
      </c>
      <c r="F94" s="6" t="s">
        <v>191</v>
      </c>
      <c r="G94" s="6" t="s">
        <v>191</v>
      </c>
      <c r="H94" s="6" t="s">
        <v>191</v>
      </c>
    </row>
    <row r="95">
      <c r="A95" s="1" t="s">
        <v>871</v>
      </c>
      <c r="B95" s="6" t="s">
        <v>204</v>
      </c>
      <c r="C95" s="6" t="s">
        <v>204</v>
      </c>
      <c r="D95" s="6" t="s">
        <v>204</v>
      </c>
      <c r="E95" s="6" t="s">
        <v>204</v>
      </c>
      <c r="F95" s="6" t="s">
        <v>204</v>
      </c>
      <c r="G95" s="6" t="s">
        <v>204</v>
      </c>
      <c r="H95" s="6" t="s">
        <v>204</v>
      </c>
    </row>
    <row r="96">
      <c r="A96" s="1" t="s">
        <v>871</v>
      </c>
      <c r="B96" s="6" t="s">
        <v>204</v>
      </c>
      <c r="C96" s="6" t="s">
        <v>204</v>
      </c>
      <c r="D96" s="6" t="s">
        <v>204</v>
      </c>
      <c r="E96" s="6" t="s">
        <v>204</v>
      </c>
      <c r="F96" s="6" t="s">
        <v>204</v>
      </c>
      <c r="G96" s="6" t="s">
        <v>204</v>
      </c>
      <c r="H96" s="6" t="s">
        <v>204</v>
      </c>
    </row>
    <row r="97">
      <c r="A97" s="1" t="s">
        <v>871</v>
      </c>
      <c r="B97" s="6" t="s">
        <v>286</v>
      </c>
      <c r="C97" s="6" t="s">
        <v>286</v>
      </c>
      <c r="D97" s="6" t="s">
        <v>286</v>
      </c>
      <c r="E97" s="6" t="s">
        <v>286</v>
      </c>
      <c r="F97" s="6" t="s">
        <v>286</v>
      </c>
      <c r="G97" s="6" t="s">
        <v>286</v>
      </c>
      <c r="H97" s="6" t="s">
        <v>286</v>
      </c>
    </row>
    <row r="98">
      <c r="A98" s="1" t="s">
        <v>871</v>
      </c>
      <c r="B98" s="6" t="s">
        <v>288</v>
      </c>
      <c r="C98" s="6" t="s">
        <v>288</v>
      </c>
      <c r="D98" s="6" t="s">
        <v>288</v>
      </c>
      <c r="E98" s="6" t="s">
        <v>288</v>
      </c>
      <c r="F98" s="6" t="s">
        <v>288</v>
      </c>
      <c r="G98" s="6" t="s">
        <v>288</v>
      </c>
      <c r="H98" s="6" t="s">
        <v>288</v>
      </c>
    </row>
    <row r="99">
      <c r="A99" s="1" t="s">
        <v>871</v>
      </c>
      <c r="B99" s="6" t="s">
        <v>290</v>
      </c>
      <c r="C99" s="6" t="s">
        <v>291</v>
      </c>
      <c r="D99" s="6" t="s">
        <v>290</v>
      </c>
      <c r="E99" s="6" t="s">
        <v>291</v>
      </c>
      <c r="F99" s="6" t="s">
        <v>290</v>
      </c>
      <c r="G99" s="6" t="s">
        <v>291</v>
      </c>
      <c r="H99" s="6" t="s">
        <v>290</v>
      </c>
    </row>
    <row r="100">
      <c r="A100" s="1" t="s">
        <v>871</v>
      </c>
      <c r="B100" s="6" t="s">
        <v>198</v>
      </c>
      <c r="C100" s="6" t="s">
        <v>198</v>
      </c>
      <c r="D100" s="6" t="s">
        <v>198</v>
      </c>
      <c r="E100" s="6" t="s">
        <v>198</v>
      </c>
      <c r="F100" s="6" t="s">
        <v>198</v>
      </c>
      <c r="G100" s="6" t="s">
        <v>198</v>
      </c>
      <c r="H100" s="6" t="s">
        <v>198</v>
      </c>
    </row>
    <row r="101">
      <c r="A101" s="1" t="s">
        <v>871</v>
      </c>
      <c r="B101" s="6" t="s">
        <v>294</v>
      </c>
      <c r="C101" s="6" t="s">
        <v>294</v>
      </c>
      <c r="D101" s="6" t="s">
        <v>294</v>
      </c>
      <c r="E101" s="6" t="s">
        <v>294</v>
      </c>
      <c r="F101" s="6" t="s">
        <v>294</v>
      </c>
      <c r="G101" s="6" t="s">
        <v>294</v>
      </c>
      <c r="H101" s="6" t="s">
        <v>294</v>
      </c>
    </row>
    <row r="102">
      <c r="A102" s="1" t="s">
        <v>871</v>
      </c>
      <c r="B102" s="6" t="s">
        <v>296</v>
      </c>
      <c r="C102" s="6" t="s">
        <v>296</v>
      </c>
      <c r="D102" s="6" t="s">
        <v>296</v>
      </c>
      <c r="E102" s="6" t="s">
        <v>296</v>
      </c>
      <c r="F102" s="6" t="s">
        <v>296</v>
      </c>
      <c r="G102" s="6" t="s">
        <v>296</v>
      </c>
      <c r="H102" s="6" t="s">
        <v>296</v>
      </c>
    </row>
    <row r="103">
      <c r="A103" s="1" t="s">
        <v>871</v>
      </c>
      <c r="B103" s="6" t="s">
        <v>194</v>
      </c>
      <c r="C103" s="6" t="s">
        <v>194</v>
      </c>
      <c r="D103" s="6" t="s">
        <v>194</v>
      </c>
      <c r="E103" s="6" t="s">
        <v>194</v>
      </c>
      <c r="F103" s="6" t="s">
        <v>194</v>
      </c>
      <c r="G103" s="6" t="s">
        <v>194</v>
      </c>
      <c r="H103" s="6" t="s">
        <v>194</v>
      </c>
    </row>
    <row r="104">
      <c r="A104" s="1" t="s">
        <v>871</v>
      </c>
      <c r="B104" s="6" t="s">
        <v>135</v>
      </c>
      <c r="C104" s="6" t="s">
        <v>135</v>
      </c>
      <c r="D104" s="6" t="s">
        <v>135</v>
      </c>
      <c r="E104" s="6" t="s">
        <v>135</v>
      </c>
      <c r="F104" s="6" t="s">
        <v>135</v>
      </c>
      <c r="G104" s="6" t="s">
        <v>135</v>
      </c>
      <c r="H104" s="6" t="s">
        <v>135</v>
      </c>
    </row>
    <row r="105">
      <c r="A105" s="1" t="s">
        <v>871</v>
      </c>
      <c r="B105" s="6" t="s">
        <v>300</v>
      </c>
      <c r="C105" s="6" t="s">
        <v>300</v>
      </c>
      <c r="D105" s="6" t="s">
        <v>300</v>
      </c>
      <c r="E105" s="6" t="s">
        <v>300</v>
      </c>
      <c r="F105" s="6" t="s">
        <v>300</v>
      </c>
      <c r="G105" s="6" t="s">
        <v>300</v>
      </c>
      <c r="H105" s="6" t="s">
        <v>300</v>
      </c>
    </row>
    <row r="106">
      <c r="A106" s="1" t="s">
        <v>871</v>
      </c>
      <c r="B106" s="6" t="s">
        <v>302</v>
      </c>
      <c r="C106" s="6" t="s">
        <v>302</v>
      </c>
      <c r="D106" s="6" t="s">
        <v>302</v>
      </c>
      <c r="E106" s="6" t="s">
        <v>302</v>
      </c>
      <c r="F106" s="6" t="s">
        <v>302</v>
      </c>
      <c r="G106" s="6" t="s">
        <v>302</v>
      </c>
      <c r="H106" s="6" t="s">
        <v>302</v>
      </c>
    </row>
    <row r="107">
      <c r="A107" s="1" t="s">
        <v>871</v>
      </c>
      <c r="B107" s="6" t="s">
        <v>135</v>
      </c>
      <c r="C107" s="6" t="s">
        <v>135</v>
      </c>
      <c r="D107" s="6" t="s">
        <v>135</v>
      </c>
      <c r="E107" s="6" t="s">
        <v>135</v>
      </c>
      <c r="F107" s="6" t="s">
        <v>135</v>
      </c>
      <c r="G107" s="6" t="s">
        <v>135</v>
      </c>
      <c r="H107" s="6" t="s">
        <v>135</v>
      </c>
    </row>
    <row r="108">
      <c r="A108" s="1" t="s">
        <v>871</v>
      </c>
      <c r="B108" s="6" t="s">
        <v>194</v>
      </c>
      <c r="C108" s="6" t="s">
        <v>194</v>
      </c>
      <c r="D108" s="6" t="s">
        <v>194</v>
      </c>
      <c r="E108" s="6" t="s">
        <v>194</v>
      </c>
      <c r="F108" s="6" t="s">
        <v>194</v>
      </c>
      <c r="G108" s="6" t="s">
        <v>194</v>
      </c>
      <c r="H108" s="6" t="s">
        <v>194</v>
      </c>
    </row>
    <row r="109">
      <c r="A109" s="1" t="s">
        <v>863</v>
      </c>
      <c r="B109" s="6" t="s">
        <v>308</v>
      </c>
      <c r="C109" s="6" t="s">
        <v>310</v>
      </c>
      <c r="D109" s="6" t="s">
        <v>926</v>
      </c>
      <c r="E109" s="6" t="s">
        <v>309</v>
      </c>
      <c r="F109" s="6" t="s">
        <v>926</v>
      </c>
      <c r="G109" s="6" t="s">
        <v>309</v>
      </c>
      <c r="H109" s="6" t="s">
        <v>926</v>
      </c>
    </row>
    <row r="110">
      <c r="A110" s="1" t="s">
        <v>863</v>
      </c>
      <c r="B110" s="6" t="s">
        <v>312</v>
      </c>
      <c r="C110" s="6" t="s">
        <v>314</v>
      </c>
      <c r="D110" s="6" t="s">
        <v>927</v>
      </c>
      <c r="E110" s="6" t="s">
        <v>928</v>
      </c>
      <c r="F110" s="6" t="s">
        <v>927</v>
      </c>
      <c r="G110" s="6" t="s">
        <v>313</v>
      </c>
      <c r="H110" s="6" t="s">
        <v>927</v>
      </c>
    </row>
    <row r="111">
      <c r="A111" s="1" t="s">
        <v>863</v>
      </c>
      <c r="B111" s="6" t="s">
        <v>316</v>
      </c>
      <c r="C111" s="6" t="s">
        <v>318</v>
      </c>
      <c r="D111" s="6" t="s">
        <v>929</v>
      </c>
      <c r="E111" s="6" t="s">
        <v>930</v>
      </c>
      <c r="F111" s="6" t="s">
        <v>929</v>
      </c>
      <c r="G111" s="6" t="s">
        <v>317</v>
      </c>
      <c r="H111" s="6" t="s">
        <v>929</v>
      </c>
    </row>
    <row r="112">
      <c r="A112" s="1" t="s">
        <v>863</v>
      </c>
      <c r="B112" s="6" t="s">
        <v>320</v>
      </c>
      <c r="C112" s="6" t="s">
        <v>322</v>
      </c>
      <c r="D112" s="6" t="s">
        <v>931</v>
      </c>
      <c r="E112" s="6" t="s">
        <v>321</v>
      </c>
      <c r="F112" s="6" t="s">
        <v>931</v>
      </c>
      <c r="G112" s="6" t="s">
        <v>321</v>
      </c>
      <c r="H112" s="6" t="s">
        <v>931</v>
      </c>
    </row>
    <row r="113">
      <c r="A113" s="1" t="s">
        <v>863</v>
      </c>
      <c r="B113" s="6" t="s">
        <v>324</v>
      </c>
      <c r="C113" s="6" t="s">
        <v>326</v>
      </c>
      <c r="D113" s="6" t="s">
        <v>932</v>
      </c>
      <c r="E113" s="6" t="s">
        <v>325</v>
      </c>
      <c r="F113" s="6" t="s">
        <v>932</v>
      </c>
      <c r="G113" s="6" t="s">
        <v>325</v>
      </c>
      <c r="H113" s="6" t="s">
        <v>932</v>
      </c>
    </row>
    <row r="114">
      <c r="A114" s="1" t="s">
        <v>871</v>
      </c>
      <c r="B114" s="6" t="s">
        <v>327</v>
      </c>
      <c r="C114" s="6" t="s">
        <v>329</v>
      </c>
      <c r="D114" s="6" t="s">
        <v>933</v>
      </c>
      <c r="E114" s="6" t="s">
        <v>934</v>
      </c>
      <c r="F114" s="6" t="s">
        <v>933</v>
      </c>
      <c r="G114" s="6" t="s">
        <v>328</v>
      </c>
      <c r="H114" s="6" t="s">
        <v>933</v>
      </c>
    </row>
    <row r="115">
      <c r="A115" s="1" t="s">
        <v>863</v>
      </c>
      <c r="B115" s="6" t="s">
        <v>331</v>
      </c>
      <c r="C115" s="6" t="s">
        <v>333</v>
      </c>
      <c r="D115" s="6" t="s">
        <v>935</v>
      </c>
      <c r="E115" s="6" t="s">
        <v>936</v>
      </c>
      <c r="F115" s="6" t="s">
        <v>935</v>
      </c>
      <c r="G115" s="6" t="s">
        <v>332</v>
      </c>
      <c r="H115" s="6" t="s">
        <v>935</v>
      </c>
    </row>
    <row r="116">
      <c r="A116" s="1" t="s">
        <v>863</v>
      </c>
      <c r="B116" s="6" t="s">
        <v>335</v>
      </c>
      <c r="C116" s="6" t="s">
        <v>337</v>
      </c>
      <c r="D116" s="6" t="s">
        <v>937</v>
      </c>
      <c r="E116" s="6" t="s">
        <v>938</v>
      </c>
      <c r="F116" s="6" t="s">
        <v>937</v>
      </c>
      <c r="G116" s="6" t="s">
        <v>336</v>
      </c>
      <c r="H116" s="6" t="s">
        <v>937</v>
      </c>
    </row>
    <row r="117">
      <c r="A117" s="1" t="s">
        <v>863</v>
      </c>
      <c r="B117" s="6" t="s">
        <v>339</v>
      </c>
      <c r="C117" s="6" t="s">
        <v>341</v>
      </c>
      <c r="D117" s="6" t="s">
        <v>939</v>
      </c>
      <c r="E117" s="6" t="s">
        <v>940</v>
      </c>
      <c r="F117" s="6" t="s">
        <v>939</v>
      </c>
      <c r="G117" s="6" t="s">
        <v>340</v>
      </c>
      <c r="H117" s="6" t="s">
        <v>939</v>
      </c>
    </row>
    <row r="118">
      <c r="A118" s="1" t="s">
        <v>863</v>
      </c>
      <c r="B118" s="6" t="s">
        <v>343</v>
      </c>
      <c r="C118" s="6" t="s">
        <v>345</v>
      </c>
      <c r="D118" s="6" t="s">
        <v>941</v>
      </c>
      <c r="E118" s="6" t="s">
        <v>942</v>
      </c>
      <c r="F118" s="6" t="s">
        <v>941</v>
      </c>
      <c r="G118" s="6" t="s">
        <v>344</v>
      </c>
      <c r="H118" s="6" t="s">
        <v>941</v>
      </c>
    </row>
    <row r="119">
      <c r="A119" s="1" t="s">
        <v>863</v>
      </c>
      <c r="B119" s="6" t="s">
        <v>346</v>
      </c>
      <c r="C119" s="6" t="s">
        <v>348</v>
      </c>
      <c r="D119" s="6" t="s">
        <v>943</v>
      </c>
      <c r="E119" s="6" t="s">
        <v>944</v>
      </c>
      <c r="F119" s="6" t="s">
        <v>943</v>
      </c>
      <c r="G119" s="6" t="s">
        <v>347</v>
      </c>
      <c r="H119" s="6" t="s">
        <v>943</v>
      </c>
    </row>
    <row r="120">
      <c r="A120" s="1" t="s">
        <v>863</v>
      </c>
      <c r="B120" s="6" t="s">
        <v>349</v>
      </c>
      <c r="C120" s="6" t="s">
        <v>351</v>
      </c>
      <c r="D120" s="6" t="s">
        <v>945</v>
      </c>
      <c r="E120" s="6" t="s">
        <v>946</v>
      </c>
      <c r="F120" s="6" t="s">
        <v>945</v>
      </c>
      <c r="G120" s="6" t="s">
        <v>350</v>
      </c>
      <c r="H120" s="6" t="s">
        <v>945</v>
      </c>
    </row>
    <row r="121">
      <c r="A121" s="1" t="s">
        <v>863</v>
      </c>
      <c r="B121" s="6" t="s">
        <v>353</v>
      </c>
      <c r="C121" s="6" t="s">
        <v>355</v>
      </c>
      <c r="D121" s="6" t="s">
        <v>947</v>
      </c>
      <c r="E121" s="6" t="s">
        <v>948</v>
      </c>
      <c r="F121" s="6" t="s">
        <v>947</v>
      </c>
      <c r="G121" s="6" t="s">
        <v>354</v>
      </c>
      <c r="H121" s="6" t="s">
        <v>947</v>
      </c>
    </row>
    <row r="122">
      <c r="A122" s="1" t="s">
        <v>863</v>
      </c>
      <c r="B122" s="6" t="s">
        <v>357</v>
      </c>
      <c r="C122" s="6" t="s">
        <v>359</v>
      </c>
      <c r="D122" s="6" t="s">
        <v>949</v>
      </c>
      <c r="E122" s="6" t="s">
        <v>358</v>
      </c>
      <c r="F122" s="6" t="s">
        <v>949</v>
      </c>
      <c r="G122" s="6" t="s">
        <v>358</v>
      </c>
      <c r="H122" s="6" t="s">
        <v>949</v>
      </c>
    </row>
    <row r="123">
      <c r="A123" s="1" t="s">
        <v>871</v>
      </c>
      <c r="B123" s="6" t="s">
        <v>363</v>
      </c>
      <c r="C123" s="6" t="s">
        <v>365</v>
      </c>
      <c r="D123" s="6" t="s">
        <v>950</v>
      </c>
      <c r="E123" s="6" t="s">
        <v>951</v>
      </c>
      <c r="F123" s="6" t="s">
        <v>950</v>
      </c>
      <c r="G123" s="6" t="s">
        <v>364</v>
      </c>
      <c r="H123" s="6" t="s">
        <v>950</v>
      </c>
    </row>
    <row r="124">
      <c r="A124" s="1" t="s">
        <v>871</v>
      </c>
      <c r="B124" s="6" t="s">
        <v>367</v>
      </c>
      <c r="C124" s="6" t="s">
        <v>369</v>
      </c>
      <c r="D124" s="6" t="s">
        <v>952</v>
      </c>
      <c r="E124" s="6" t="s">
        <v>368</v>
      </c>
      <c r="F124" s="6" t="s">
        <v>952</v>
      </c>
      <c r="G124" s="6" t="s">
        <v>368</v>
      </c>
      <c r="H124" s="6" t="s">
        <v>952</v>
      </c>
    </row>
    <row r="125">
      <c r="A125" s="1" t="s">
        <v>871</v>
      </c>
      <c r="B125" s="6" t="s">
        <v>371</v>
      </c>
      <c r="C125" s="6" t="s">
        <v>373</v>
      </c>
      <c r="D125" s="6" t="s">
        <v>953</v>
      </c>
      <c r="E125" s="6" t="s">
        <v>372</v>
      </c>
      <c r="F125" s="6" t="s">
        <v>953</v>
      </c>
      <c r="G125" s="6" t="s">
        <v>372</v>
      </c>
      <c r="H125" s="6" t="s">
        <v>953</v>
      </c>
    </row>
    <row r="126">
      <c r="A126" s="1" t="s">
        <v>863</v>
      </c>
      <c r="B126" s="6" t="s">
        <v>375</v>
      </c>
      <c r="C126" s="6" t="s">
        <v>377</v>
      </c>
      <c r="D126" s="6" t="s">
        <v>954</v>
      </c>
      <c r="E126" s="6" t="s">
        <v>955</v>
      </c>
      <c r="F126" s="6" t="s">
        <v>954</v>
      </c>
      <c r="G126" s="6" t="s">
        <v>376</v>
      </c>
      <c r="H126" s="6" t="s">
        <v>954</v>
      </c>
    </row>
    <row r="127">
      <c r="A127" s="1" t="s">
        <v>871</v>
      </c>
      <c r="B127" s="6" t="s">
        <v>296</v>
      </c>
      <c r="C127" s="6" t="s">
        <v>296</v>
      </c>
      <c r="D127" s="6" t="s">
        <v>296</v>
      </c>
      <c r="E127" s="6" t="s">
        <v>296</v>
      </c>
      <c r="F127" s="6" t="s">
        <v>296</v>
      </c>
      <c r="G127" s="6" t="s">
        <v>296</v>
      </c>
      <c r="H127" s="6" t="s">
        <v>296</v>
      </c>
    </row>
    <row r="128">
      <c r="A128" s="1" t="s">
        <v>863</v>
      </c>
      <c r="B128" s="6" t="s">
        <v>380</v>
      </c>
      <c r="C128" s="6" t="s">
        <v>382</v>
      </c>
      <c r="D128" s="6" t="s">
        <v>956</v>
      </c>
      <c r="E128" s="6" t="s">
        <v>957</v>
      </c>
      <c r="F128" s="6" t="s">
        <v>956</v>
      </c>
      <c r="G128" s="6" t="s">
        <v>381</v>
      </c>
      <c r="H128" s="6" t="s">
        <v>956</v>
      </c>
    </row>
    <row r="129">
      <c r="A129" s="1" t="s">
        <v>863</v>
      </c>
      <c r="B129" s="6" t="s">
        <v>384</v>
      </c>
      <c r="C129" s="6" t="s">
        <v>386</v>
      </c>
      <c r="D129" s="6" t="s">
        <v>958</v>
      </c>
      <c r="E129" s="6" t="s">
        <v>959</v>
      </c>
      <c r="F129" s="6" t="s">
        <v>958</v>
      </c>
      <c r="G129" s="6" t="s">
        <v>385</v>
      </c>
      <c r="H129" s="6" t="s">
        <v>958</v>
      </c>
    </row>
    <row r="130">
      <c r="A130" s="1" t="s">
        <v>861</v>
      </c>
      <c r="B130" s="6" t="s">
        <v>388</v>
      </c>
      <c r="C130" s="6" t="s">
        <v>390</v>
      </c>
      <c r="D130" s="6" t="s">
        <v>960</v>
      </c>
      <c r="E130" s="6" t="s">
        <v>961</v>
      </c>
      <c r="F130" s="6" t="s">
        <v>960</v>
      </c>
      <c r="G130" s="6" t="s">
        <v>389</v>
      </c>
      <c r="H130" s="6" t="s">
        <v>960</v>
      </c>
    </row>
    <row r="131">
      <c r="A131" s="1" t="s">
        <v>863</v>
      </c>
      <c r="B131" s="6" t="s">
        <v>392</v>
      </c>
      <c r="C131" s="6" t="s">
        <v>394</v>
      </c>
      <c r="D131" s="6" t="s">
        <v>962</v>
      </c>
      <c r="E131" s="6" t="s">
        <v>963</v>
      </c>
      <c r="F131" s="6" t="s">
        <v>962</v>
      </c>
      <c r="G131" s="6" t="s">
        <v>393</v>
      </c>
      <c r="H131" s="6" t="s">
        <v>962</v>
      </c>
    </row>
    <row r="132">
      <c r="A132" s="1" t="s">
        <v>871</v>
      </c>
      <c r="B132" s="6" t="s">
        <v>396</v>
      </c>
      <c r="C132" s="6" t="s">
        <v>396</v>
      </c>
      <c r="D132" s="6" t="s">
        <v>396</v>
      </c>
      <c r="E132" s="6" t="s">
        <v>396</v>
      </c>
      <c r="F132" s="6" t="s">
        <v>396</v>
      </c>
      <c r="G132" s="6" t="s">
        <v>396</v>
      </c>
      <c r="H132" s="6" t="s">
        <v>396</v>
      </c>
    </row>
    <row r="133">
      <c r="A133" s="1" t="s">
        <v>871</v>
      </c>
      <c r="B133" s="6" t="s">
        <v>398</v>
      </c>
      <c r="C133" s="6" t="s">
        <v>400</v>
      </c>
      <c r="D133" s="6" t="s">
        <v>964</v>
      </c>
      <c r="E133" s="6" t="s">
        <v>965</v>
      </c>
      <c r="F133" s="6" t="s">
        <v>964</v>
      </c>
      <c r="G133" s="6" t="s">
        <v>399</v>
      </c>
      <c r="H133" s="6" t="s">
        <v>964</v>
      </c>
    </row>
    <row r="134">
      <c r="A134" s="1" t="s">
        <v>861</v>
      </c>
      <c r="B134" s="6" t="s">
        <v>402</v>
      </c>
      <c r="C134" s="6" t="s">
        <v>402</v>
      </c>
      <c r="D134" s="6" t="s">
        <v>402</v>
      </c>
      <c r="E134" s="6" t="s">
        <v>402</v>
      </c>
      <c r="F134" s="6" t="s">
        <v>402</v>
      </c>
      <c r="G134" s="6" t="s">
        <v>402</v>
      </c>
      <c r="H134" s="6" t="s">
        <v>402</v>
      </c>
    </row>
    <row r="135">
      <c r="A135" s="1" t="s">
        <v>863</v>
      </c>
      <c r="B135" s="6" t="s">
        <v>404</v>
      </c>
      <c r="C135" s="6" t="s">
        <v>406</v>
      </c>
      <c r="D135" s="6" t="s">
        <v>966</v>
      </c>
      <c r="E135" s="6" t="s">
        <v>967</v>
      </c>
      <c r="F135" s="6" t="s">
        <v>966</v>
      </c>
      <c r="G135" s="6" t="s">
        <v>405</v>
      </c>
      <c r="H135" s="6" t="s">
        <v>966</v>
      </c>
    </row>
    <row r="136">
      <c r="A136" s="1" t="s">
        <v>871</v>
      </c>
      <c r="B136" s="6" t="s">
        <v>408</v>
      </c>
      <c r="C136" s="6" t="s">
        <v>410</v>
      </c>
      <c r="D136" s="6" t="s">
        <v>968</v>
      </c>
      <c r="E136" s="6" t="s">
        <v>969</v>
      </c>
      <c r="F136" s="6" t="s">
        <v>968</v>
      </c>
      <c r="G136" s="6" t="s">
        <v>409</v>
      </c>
      <c r="H136" s="6" t="s">
        <v>968</v>
      </c>
    </row>
    <row r="137">
      <c r="A137" s="1" t="s">
        <v>863</v>
      </c>
      <c r="B137" s="6" t="s">
        <v>412</v>
      </c>
      <c r="C137" s="6" t="s">
        <v>414</v>
      </c>
      <c r="D137" s="6" t="s">
        <v>970</v>
      </c>
      <c r="E137" s="6" t="s">
        <v>971</v>
      </c>
      <c r="F137" s="6" t="s">
        <v>970</v>
      </c>
      <c r="G137" s="6" t="s">
        <v>413</v>
      </c>
      <c r="H137" s="6" t="s">
        <v>970</v>
      </c>
    </row>
    <row r="138">
      <c r="A138" s="1" t="s">
        <v>863</v>
      </c>
      <c r="B138" s="6" t="s">
        <v>416</v>
      </c>
      <c r="C138" s="6" t="s">
        <v>418</v>
      </c>
      <c r="D138" s="6" t="s">
        <v>972</v>
      </c>
      <c r="E138" s="6" t="s">
        <v>973</v>
      </c>
      <c r="F138" s="6" t="s">
        <v>972</v>
      </c>
      <c r="G138" s="6" t="s">
        <v>417</v>
      </c>
      <c r="H138" s="6" t="s">
        <v>972</v>
      </c>
    </row>
    <row r="139">
      <c r="A139" s="1" t="s">
        <v>871</v>
      </c>
      <c r="B139" s="6" t="s">
        <v>420</v>
      </c>
      <c r="C139" s="6" t="s">
        <v>422</v>
      </c>
      <c r="D139" s="6" t="s">
        <v>974</v>
      </c>
      <c r="E139" s="6" t="s">
        <v>975</v>
      </c>
      <c r="F139" s="6" t="s">
        <v>974</v>
      </c>
      <c r="G139" s="6" t="s">
        <v>421</v>
      </c>
      <c r="H139" s="6" t="s">
        <v>974</v>
      </c>
    </row>
    <row r="140">
      <c r="A140" s="1" t="s">
        <v>871</v>
      </c>
      <c r="B140" s="6" t="s">
        <v>424</v>
      </c>
      <c r="C140" s="6" t="s">
        <v>426</v>
      </c>
      <c r="D140" s="6" t="s">
        <v>976</v>
      </c>
      <c r="E140" s="6" t="s">
        <v>425</v>
      </c>
      <c r="F140" s="6" t="s">
        <v>976</v>
      </c>
      <c r="G140" s="6" t="s">
        <v>425</v>
      </c>
      <c r="H140" s="6" t="s">
        <v>976</v>
      </c>
    </row>
    <row r="141">
      <c r="A141" s="1" t="s">
        <v>863</v>
      </c>
      <c r="B141" s="6" t="s">
        <v>428</v>
      </c>
      <c r="C141" s="6" t="s">
        <v>430</v>
      </c>
      <c r="D141" s="6" t="s">
        <v>977</v>
      </c>
      <c r="E141" s="6" t="s">
        <v>429</v>
      </c>
      <c r="F141" s="6" t="s">
        <v>977</v>
      </c>
      <c r="G141" s="6" t="s">
        <v>429</v>
      </c>
      <c r="H141" s="6" t="s">
        <v>977</v>
      </c>
    </row>
    <row r="142">
      <c r="A142" s="1" t="s">
        <v>871</v>
      </c>
      <c r="B142" s="6" t="s">
        <v>432</v>
      </c>
      <c r="C142" s="6" t="s">
        <v>434</v>
      </c>
      <c r="D142" s="6" t="s">
        <v>978</v>
      </c>
      <c r="E142" s="6" t="s">
        <v>979</v>
      </c>
      <c r="F142" s="6" t="s">
        <v>978</v>
      </c>
      <c r="G142" s="6" t="s">
        <v>433</v>
      </c>
      <c r="H142" s="6" t="s">
        <v>978</v>
      </c>
    </row>
    <row r="143">
      <c r="A143" s="1" t="s">
        <v>861</v>
      </c>
      <c r="B143" s="6" t="s">
        <v>436</v>
      </c>
      <c r="C143" s="6" t="s">
        <v>438</v>
      </c>
      <c r="D143" s="6" t="s">
        <v>980</v>
      </c>
      <c r="E143" s="6" t="s">
        <v>981</v>
      </c>
      <c r="F143" s="6" t="s">
        <v>980</v>
      </c>
      <c r="G143" s="6" t="s">
        <v>437</v>
      </c>
      <c r="H143" s="6" t="s">
        <v>980</v>
      </c>
    </row>
    <row r="144">
      <c r="A144" s="1" t="s">
        <v>863</v>
      </c>
      <c r="B144" s="6" t="s">
        <v>982</v>
      </c>
      <c r="C144" s="6" t="s">
        <v>983</v>
      </c>
      <c r="D144" s="6" t="s">
        <v>984</v>
      </c>
      <c r="E144" s="6" t="s">
        <v>985</v>
      </c>
      <c r="F144" s="6" t="s">
        <v>984</v>
      </c>
      <c r="G144" s="6" t="s">
        <v>986</v>
      </c>
      <c r="H144" s="6" t="s">
        <v>987</v>
      </c>
    </row>
    <row r="145">
      <c r="A145" s="1" t="s">
        <v>863</v>
      </c>
      <c r="B145" s="6" t="s">
        <v>444</v>
      </c>
      <c r="C145" s="6" t="s">
        <v>446</v>
      </c>
      <c r="D145" s="6" t="s">
        <v>988</v>
      </c>
      <c r="E145" s="6" t="s">
        <v>989</v>
      </c>
      <c r="F145" s="6" t="s">
        <v>988</v>
      </c>
      <c r="G145" s="6" t="s">
        <v>445</v>
      </c>
      <c r="H145" s="6" t="s">
        <v>988</v>
      </c>
    </row>
    <row r="146">
      <c r="A146" s="1" t="s">
        <v>863</v>
      </c>
      <c r="B146" s="6" t="s">
        <v>448</v>
      </c>
      <c r="C146" s="6" t="s">
        <v>450</v>
      </c>
      <c r="D146" s="6" t="s">
        <v>990</v>
      </c>
      <c r="E146" s="6" t="s">
        <v>991</v>
      </c>
      <c r="F146" s="6" t="s">
        <v>990</v>
      </c>
      <c r="G146" s="6" t="s">
        <v>449</v>
      </c>
      <c r="H146" s="6" t="s">
        <v>990</v>
      </c>
    </row>
    <row r="147">
      <c r="A147" s="1" t="s">
        <v>863</v>
      </c>
      <c r="B147" s="6" t="s">
        <v>452</v>
      </c>
      <c r="C147" s="6" t="s">
        <v>454</v>
      </c>
      <c r="D147" s="6" t="s">
        <v>992</v>
      </c>
      <c r="E147" s="6" t="s">
        <v>993</v>
      </c>
      <c r="F147" s="6" t="s">
        <v>992</v>
      </c>
      <c r="G147" s="6" t="s">
        <v>453</v>
      </c>
      <c r="H147" s="6" t="s">
        <v>992</v>
      </c>
    </row>
    <row r="148">
      <c r="A148" s="1" t="s">
        <v>871</v>
      </c>
      <c r="B148" s="6" t="s">
        <v>456</v>
      </c>
      <c r="C148" s="6" t="s">
        <v>458</v>
      </c>
      <c r="D148" s="6" t="s">
        <v>456</v>
      </c>
      <c r="E148" s="6" t="s">
        <v>457</v>
      </c>
      <c r="F148" s="6" t="s">
        <v>456</v>
      </c>
      <c r="G148" s="6" t="s">
        <v>457</v>
      </c>
      <c r="H148" s="6" t="s">
        <v>456</v>
      </c>
    </row>
    <row r="149">
      <c r="A149" s="1" t="s">
        <v>863</v>
      </c>
      <c r="B149" s="6" t="s">
        <v>460</v>
      </c>
      <c r="C149" s="6" t="s">
        <v>462</v>
      </c>
      <c r="D149" s="6" t="s">
        <v>994</v>
      </c>
      <c r="E149" s="6" t="s">
        <v>995</v>
      </c>
      <c r="F149" s="6" t="s">
        <v>994</v>
      </c>
      <c r="G149" s="6" t="s">
        <v>461</v>
      </c>
      <c r="H149" s="6" t="s">
        <v>994</v>
      </c>
    </row>
    <row r="150">
      <c r="A150" s="1" t="s">
        <v>871</v>
      </c>
      <c r="B150" s="6" t="s">
        <v>464</v>
      </c>
      <c r="C150" s="6" t="s">
        <v>466</v>
      </c>
      <c r="D150" s="6" t="s">
        <v>996</v>
      </c>
      <c r="E150" s="6" t="s">
        <v>997</v>
      </c>
      <c r="F150" s="6" t="s">
        <v>996</v>
      </c>
      <c r="G150" s="6" t="s">
        <v>465</v>
      </c>
      <c r="H150" s="6" t="s">
        <v>996</v>
      </c>
    </row>
    <row r="151">
      <c r="A151" s="1" t="s">
        <v>871</v>
      </c>
      <c r="B151" s="6" t="s">
        <v>468</v>
      </c>
      <c r="C151" s="6" t="s">
        <v>469</v>
      </c>
      <c r="D151" s="6" t="s">
        <v>468</v>
      </c>
      <c r="E151" s="6" t="s">
        <v>469</v>
      </c>
      <c r="F151" s="6" t="s">
        <v>468</v>
      </c>
      <c r="G151" s="6" t="s">
        <v>469</v>
      </c>
      <c r="H151" s="6" t="s">
        <v>468</v>
      </c>
    </row>
    <row r="152">
      <c r="A152" s="1" t="s">
        <v>863</v>
      </c>
      <c r="B152" s="6" t="s">
        <v>471</v>
      </c>
      <c r="C152" s="6" t="s">
        <v>471</v>
      </c>
      <c r="D152" s="6" t="s">
        <v>471</v>
      </c>
      <c r="E152" s="6" t="s">
        <v>471</v>
      </c>
      <c r="F152" s="6" t="s">
        <v>471</v>
      </c>
      <c r="G152" s="6" t="s">
        <v>471</v>
      </c>
      <c r="H152" s="6" t="s">
        <v>471</v>
      </c>
    </row>
    <row r="153">
      <c r="A153" s="1" t="s">
        <v>863</v>
      </c>
      <c r="B153" s="6" t="s">
        <v>473</v>
      </c>
      <c r="C153" s="6" t="s">
        <v>475</v>
      </c>
      <c r="D153" s="6" t="s">
        <v>998</v>
      </c>
      <c r="E153" s="6" t="s">
        <v>999</v>
      </c>
      <c r="F153" s="6" t="s">
        <v>998</v>
      </c>
      <c r="G153" s="6" t="s">
        <v>474</v>
      </c>
      <c r="H153" s="6" t="s">
        <v>998</v>
      </c>
    </row>
    <row r="154">
      <c r="A154" s="1" t="s">
        <v>863</v>
      </c>
      <c r="B154" s="6" t="s">
        <v>477</v>
      </c>
      <c r="C154" s="6" t="s">
        <v>479</v>
      </c>
      <c r="D154" s="6" t="s">
        <v>1000</v>
      </c>
      <c r="E154" s="6" t="s">
        <v>1001</v>
      </c>
      <c r="F154" s="6" t="s">
        <v>1000</v>
      </c>
      <c r="G154" s="6" t="s">
        <v>478</v>
      </c>
      <c r="H154" s="6" t="s">
        <v>1000</v>
      </c>
    </row>
    <row r="155">
      <c r="A155" s="1" t="s">
        <v>871</v>
      </c>
      <c r="B155" s="6" t="s">
        <v>481</v>
      </c>
      <c r="C155" s="6" t="s">
        <v>483</v>
      </c>
      <c r="D155" s="6" t="s">
        <v>1002</v>
      </c>
      <c r="E155" s="6" t="s">
        <v>1003</v>
      </c>
      <c r="F155" s="6" t="s">
        <v>1002</v>
      </c>
      <c r="G155" s="6" t="s">
        <v>482</v>
      </c>
      <c r="H155" s="6" t="s">
        <v>1002</v>
      </c>
    </row>
    <row r="156">
      <c r="A156" s="1" t="s">
        <v>871</v>
      </c>
      <c r="B156" s="6" t="s">
        <v>485</v>
      </c>
      <c r="C156" s="6" t="s">
        <v>487</v>
      </c>
      <c r="D156" s="6" t="s">
        <v>1004</v>
      </c>
      <c r="E156" s="6" t="s">
        <v>1005</v>
      </c>
      <c r="F156" s="6" t="s">
        <v>1004</v>
      </c>
      <c r="G156" s="6" t="s">
        <v>486</v>
      </c>
      <c r="H156" s="6" t="s">
        <v>1004</v>
      </c>
    </row>
    <row r="157">
      <c r="A157" s="1" t="s">
        <v>861</v>
      </c>
      <c r="B157" s="6" t="s">
        <v>489</v>
      </c>
      <c r="C157" s="6" t="s">
        <v>491</v>
      </c>
      <c r="D157" s="6" t="s">
        <v>1006</v>
      </c>
      <c r="E157" s="6" t="s">
        <v>490</v>
      </c>
      <c r="F157" s="6" t="s">
        <v>1006</v>
      </c>
      <c r="G157" s="6" t="s">
        <v>490</v>
      </c>
      <c r="H157" s="6" t="s">
        <v>1006</v>
      </c>
    </row>
    <row r="158">
      <c r="A158" s="1" t="s">
        <v>871</v>
      </c>
      <c r="B158" s="6" t="s">
        <v>493</v>
      </c>
      <c r="C158" s="6" t="s">
        <v>495</v>
      </c>
      <c r="D158" s="6" t="s">
        <v>1007</v>
      </c>
      <c r="E158" s="6" t="s">
        <v>1008</v>
      </c>
      <c r="F158" s="6" t="s">
        <v>1007</v>
      </c>
      <c r="G158" s="6" t="s">
        <v>494</v>
      </c>
      <c r="H158" s="6" t="s">
        <v>1007</v>
      </c>
    </row>
    <row r="159">
      <c r="A159" s="1" t="s">
        <v>871</v>
      </c>
      <c r="B159" s="6" t="s">
        <v>497</v>
      </c>
      <c r="C159" s="6" t="s">
        <v>498</v>
      </c>
      <c r="D159" s="6" t="s">
        <v>1009</v>
      </c>
      <c r="E159" s="6" t="s">
        <v>497</v>
      </c>
      <c r="F159" s="6" t="s">
        <v>1009</v>
      </c>
      <c r="G159" s="6" t="s">
        <v>497</v>
      </c>
      <c r="H159" s="6" t="s">
        <v>1009</v>
      </c>
    </row>
    <row r="160">
      <c r="A160" s="1" t="s">
        <v>861</v>
      </c>
      <c r="B160" s="6" t="s">
        <v>500</v>
      </c>
      <c r="C160" s="6" t="s">
        <v>502</v>
      </c>
      <c r="D160" s="6" t="s">
        <v>1010</v>
      </c>
      <c r="E160" s="6" t="s">
        <v>1011</v>
      </c>
      <c r="F160" s="6" t="s">
        <v>1010</v>
      </c>
      <c r="G160" s="6" t="s">
        <v>501</v>
      </c>
      <c r="H160" s="6" t="s">
        <v>1010</v>
      </c>
    </row>
    <row r="161">
      <c r="A161" s="1" t="s">
        <v>863</v>
      </c>
      <c r="B161" s="6" t="s">
        <v>504</v>
      </c>
      <c r="C161" s="6" t="s">
        <v>506</v>
      </c>
      <c r="D161" s="6" t="s">
        <v>1012</v>
      </c>
      <c r="E161" s="6" t="s">
        <v>1013</v>
      </c>
      <c r="F161" s="6" t="s">
        <v>1012</v>
      </c>
      <c r="G161" s="6" t="s">
        <v>505</v>
      </c>
      <c r="H161" s="6" t="s">
        <v>1012</v>
      </c>
    </row>
    <row r="162">
      <c r="A162" s="1" t="s">
        <v>863</v>
      </c>
      <c r="B162" s="6" t="s">
        <v>508</v>
      </c>
      <c r="C162" s="6" t="s">
        <v>510</v>
      </c>
      <c r="D162" s="6" t="s">
        <v>1014</v>
      </c>
      <c r="E162" s="6" t="s">
        <v>1015</v>
      </c>
      <c r="F162" s="6" t="s">
        <v>1014</v>
      </c>
      <c r="G162" s="6" t="s">
        <v>509</v>
      </c>
      <c r="H162" s="6" t="s">
        <v>1014</v>
      </c>
    </row>
    <row r="163">
      <c r="A163" s="1" t="s">
        <v>871</v>
      </c>
      <c r="B163" s="6" t="s">
        <v>512</v>
      </c>
      <c r="C163" s="6" t="s">
        <v>514</v>
      </c>
      <c r="D163" s="6" t="s">
        <v>1016</v>
      </c>
      <c r="E163" s="6" t="s">
        <v>1017</v>
      </c>
      <c r="F163" s="6" t="s">
        <v>1016</v>
      </c>
      <c r="G163" s="6" t="s">
        <v>513</v>
      </c>
      <c r="H163" s="6" t="s">
        <v>1016</v>
      </c>
    </row>
    <row r="164">
      <c r="A164" s="1" t="s">
        <v>871</v>
      </c>
      <c r="B164" s="6" t="s">
        <v>516</v>
      </c>
      <c r="C164" s="6" t="s">
        <v>516</v>
      </c>
      <c r="D164" s="6" t="s">
        <v>516</v>
      </c>
      <c r="E164" s="6" t="s">
        <v>516</v>
      </c>
      <c r="F164" s="6" t="s">
        <v>516</v>
      </c>
      <c r="G164" s="6" t="s">
        <v>516</v>
      </c>
      <c r="H164" s="6" t="s">
        <v>516</v>
      </c>
    </row>
    <row r="165">
      <c r="A165" s="1" t="s">
        <v>863</v>
      </c>
      <c r="B165" s="6" t="s">
        <v>518</v>
      </c>
      <c r="C165" s="6" t="s">
        <v>520</v>
      </c>
      <c r="D165" s="6" t="s">
        <v>1018</v>
      </c>
      <c r="E165" s="6" t="s">
        <v>1019</v>
      </c>
      <c r="F165" s="6" t="s">
        <v>1018</v>
      </c>
      <c r="G165" s="6" t="s">
        <v>519</v>
      </c>
      <c r="H165" s="6" t="s">
        <v>1018</v>
      </c>
    </row>
    <row r="166">
      <c r="A166" s="1" t="s">
        <v>871</v>
      </c>
      <c r="B166" s="6" t="s">
        <v>522</v>
      </c>
      <c r="C166" s="6" t="s">
        <v>524</v>
      </c>
      <c r="D166" s="6" t="s">
        <v>1020</v>
      </c>
      <c r="E166" s="6" t="s">
        <v>1021</v>
      </c>
      <c r="F166" s="6" t="s">
        <v>1020</v>
      </c>
      <c r="G166" s="6" t="s">
        <v>523</v>
      </c>
      <c r="H166" s="6" t="s">
        <v>1020</v>
      </c>
    </row>
    <row r="167">
      <c r="A167" s="1" t="s">
        <v>863</v>
      </c>
      <c r="B167" s="6" t="s">
        <v>526</v>
      </c>
      <c r="C167" s="6" t="s">
        <v>528</v>
      </c>
      <c r="D167" s="6" t="s">
        <v>1022</v>
      </c>
      <c r="E167" s="6" t="s">
        <v>1023</v>
      </c>
      <c r="F167" s="6" t="s">
        <v>1022</v>
      </c>
      <c r="G167" s="6" t="s">
        <v>527</v>
      </c>
      <c r="H167" s="6" t="s">
        <v>1022</v>
      </c>
    </row>
    <row r="168">
      <c r="A168" s="1" t="s">
        <v>863</v>
      </c>
      <c r="B168" s="6" t="s">
        <v>530</v>
      </c>
      <c r="C168" s="6" t="s">
        <v>532</v>
      </c>
      <c r="D168" s="6" t="s">
        <v>1024</v>
      </c>
      <c r="E168" s="6" t="s">
        <v>1025</v>
      </c>
      <c r="F168" s="6" t="s">
        <v>1024</v>
      </c>
      <c r="G168" s="6" t="s">
        <v>531</v>
      </c>
      <c r="H168" s="6" t="s">
        <v>1024</v>
      </c>
    </row>
    <row r="169">
      <c r="A169" s="1" t="s">
        <v>871</v>
      </c>
      <c r="B169" s="6" t="s">
        <v>534</v>
      </c>
      <c r="C169" s="6" t="s">
        <v>536</v>
      </c>
      <c r="D169" s="6" t="s">
        <v>1026</v>
      </c>
      <c r="E169" s="6" t="s">
        <v>1027</v>
      </c>
      <c r="F169" s="6" t="s">
        <v>1026</v>
      </c>
      <c r="G169" s="6" t="s">
        <v>535</v>
      </c>
      <c r="H169" s="6" t="s">
        <v>1026</v>
      </c>
    </row>
    <row r="170">
      <c r="A170" s="1" t="s">
        <v>861</v>
      </c>
      <c r="B170" s="6" t="s">
        <v>538</v>
      </c>
      <c r="C170" s="6" t="s">
        <v>540</v>
      </c>
      <c r="D170" s="6" t="s">
        <v>1028</v>
      </c>
      <c r="E170" s="6" t="s">
        <v>1029</v>
      </c>
      <c r="F170" s="6" t="s">
        <v>1028</v>
      </c>
      <c r="G170" s="6" t="s">
        <v>539</v>
      </c>
      <c r="H170" s="6" t="s">
        <v>1028</v>
      </c>
    </row>
    <row r="171">
      <c r="A171" s="1" t="s">
        <v>863</v>
      </c>
      <c r="B171" s="6" t="s">
        <v>542</v>
      </c>
      <c r="C171" s="6" t="s">
        <v>544</v>
      </c>
      <c r="D171" s="6" t="s">
        <v>1030</v>
      </c>
      <c r="E171" s="6" t="s">
        <v>1031</v>
      </c>
      <c r="F171" s="6" t="s">
        <v>1030</v>
      </c>
      <c r="G171" s="6" t="s">
        <v>543</v>
      </c>
      <c r="H171" s="6" t="s">
        <v>1030</v>
      </c>
    </row>
    <row r="172">
      <c r="A172" s="1" t="s">
        <v>871</v>
      </c>
      <c r="B172" s="6" t="s">
        <v>546</v>
      </c>
      <c r="C172" s="6" t="s">
        <v>548</v>
      </c>
      <c r="D172" s="6" t="s">
        <v>1032</v>
      </c>
      <c r="E172" s="6" t="s">
        <v>1033</v>
      </c>
      <c r="F172" s="6" t="s">
        <v>1032</v>
      </c>
      <c r="G172" s="6" t="s">
        <v>547</v>
      </c>
      <c r="H172" s="6" t="s">
        <v>1032</v>
      </c>
    </row>
    <row r="173">
      <c r="A173" s="1" t="s">
        <v>863</v>
      </c>
      <c r="B173" s="6" t="s">
        <v>550</v>
      </c>
      <c r="C173" s="6" t="s">
        <v>552</v>
      </c>
      <c r="D173" s="6" t="s">
        <v>1034</v>
      </c>
      <c r="E173" s="6" t="s">
        <v>1035</v>
      </c>
      <c r="F173" s="6" t="s">
        <v>1034</v>
      </c>
      <c r="G173" s="6" t="s">
        <v>551</v>
      </c>
      <c r="H173" s="6" t="s">
        <v>1034</v>
      </c>
    </row>
    <row r="174">
      <c r="A174" s="1" t="s">
        <v>863</v>
      </c>
      <c r="B174" s="6" t="s">
        <v>554</v>
      </c>
      <c r="C174" s="6" t="s">
        <v>554</v>
      </c>
      <c r="D174" s="6" t="s">
        <v>554</v>
      </c>
      <c r="E174" s="6" t="s">
        <v>554</v>
      </c>
      <c r="F174" s="6" t="s">
        <v>554</v>
      </c>
      <c r="G174" s="6" t="s">
        <v>554</v>
      </c>
      <c r="H174" s="6" t="s">
        <v>554</v>
      </c>
    </row>
    <row r="175">
      <c r="A175" s="1" t="s">
        <v>863</v>
      </c>
      <c r="B175" s="6" t="s">
        <v>556</v>
      </c>
      <c r="C175" s="6" t="s">
        <v>558</v>
      </c>
      <c r="D175" s="6" t="s">
        <v>1036</v>
      </c>
      <c r="E175" s="6" t="s">
        <v>557</v>
      </c>
      <c r="F175" s="6" t="s">
        <v>1036</v>
      </c>
      <c r="G175" s="6" t="s">
        <v>557</v>
      </c>
      <c r="H175" s="6" t="s">
        <v>1036</v>
      </c>
    </row>
    <row r="176">
      <c r="A176" s="1" t="s">
        <v>871</v>
      </c>
      <c r="B176" s="6" t="s">
        <v>561</v>
      </c>
      <c r="C176" s="6" t="s">
        <v>563</v>
      </c>
      <c r="D176" s="6" t="s">
        <v>1037</v>
      </c>
      <c r="E176" s="6" t="s">
        <v>1038</v>
      </c>
      <c r="F176" s="6" t="s">
        <v>1037</v>
      </c>
      <c r="G176" s="6" t="s">
        <v>562</v>
      </c>
      <c r="H176" s="6" t="s">
        <v>1037</v>
      </c>
    </row>
    <row r="177">
      <c r="A177" s="1" t="s">
        <v>871</v>
      </c>
      <c r="B177" s="6" t="s">
        <v>564</v>
      </c>
      <c r="C177" s="6" t="s">
        <v>566</v>
      </c>
      <c r="D177" s="6" t="s">
        <v>564</v>
      </c>
      <c r="E177" s="6" t="s">
        <v>565</v>
      </c>
      <c r="F177" s="6" t="s">
        <v>564</v>
      </c>
      <c r="G177" s="6" t="s">
        <v>565</v>
      </c>
      <c r="H177" s="6" t="s">
        <v>564</v>
      </c>
    </row>
    <row r="178">
      <c r="A178" s="1" t="s">
        <v>871</v>
      </c>
      <c r="B178" s="6" t="s">
        <v>191</v>
      </c>
      <c r="C178" s="6" t="s">
        <v>191</v>
      </c>
      <c r="D178" s="6" t="s">
        <v>191</v>
      </c>
      <c r="E178" s="6" t="s">
        <v>191</v>
      </c>
      <c r="F178" s="6" t="s">
        <v>191</v>
      </c>
      <c r="G178" s="6" t="s">
        <v>191</v>
      </c>
      <c r="H178" s="6" t="s">
        <v>191</v>
      </c>
    </row>
    <row r="179">
      <c r="A179" s="1" t="s">
        <v>871</v>
      </c>
      <c r="B179" s="6" t="s">
        <v>570</v>
      </c>
      <c r="C179" s="6" t="s">
        <v>572</v>
      </c>
      <c r="D179" s="6" t="s">
        <v>1039</v>
      </c>
      <c r="E179" s="6" t="s">
        <v>1040</v>
      </c>
      <c r="F179" s="6" t="s">
        <v>1039</v>
      </c>
      <c r="G179" s="6" t="s">
        <v>571</v>
      </c>
      <c r="H179" s="6" t="s">
        <v>1039</v>
      </c>
    </row>
    <row r="180">
      <c r="A180" s="1" t="s">
        <v>871</v>
      </c>
      <c r="B180" s="6" t="s">
        <v>574</v>
      </c>
      <c r="C180" s="6" t="s">
        <v>576</v>
      </c>
      <c r="D180" s="6" t="s">
        <v>1041</v>
      </c>
      <c r="E180" s="6" t="s">
        <v>575</v>
      </c>
      <c r="F180" s="6" t="s">
        <v>1041</v>
      </c>
      <c r="G180" s="6" t="s">
        <v>575</v>
      </c>
      <c r="H180" s="6" t="s">
        <v>1041</v>
      </c>
    </row>
    <row r="181">
      <c r="A181" s="1" t="s">
        <v>871</v>
      </c>
      <c r="B181" s="6" t="s">
        <v>577</v>
      </c>
      <c r="C181" s="6" t="s">
        <v>579</v>
      </c>
      <c r="D181" s="6" t="s">
        <v>1042</v>
      </c>
      <c r="E181" s="6" t="s">
        <v>1043</v>
      </c>
      <c r="F181" s="6" t="s">
        <v>1042</v>
      </c>
      <c r="G181" s="6" t="s">
        <v>578</v>
      </c>
      <c r="H181" s="6" t="s">
        <v>1042</v>
      </c>
    </row>
    <row r="182">
      <c r="A182" s="1" t="s">
        <v>871</v>
      </c>
      <c r="B182" s="6" t="s">
        <v>581</v>
      </c>
      <c r="C182" s="6" t="s">
        <v>583</v>
      </c>
      <c r="D182" s="6" t="s">
        <v>1044</v>
      </c>
      <c r="E182" s="6" t="s">
        <v>1045</v>
      </c>
      <c r="F182" s="6" t="s">
        <v>1044</v>
      </c>
      <c r="G182" s="6" t="s">
        <v>582</v>
      </c>
      <c r="H182" s="6" t="s">
        <v>1044</v>
      </c>
    </row>
    <row r="183">
      <c r="A183" s="1" t="s">
        <v>871</v>
      </c>
      <c r="B183" s="6" t="s">
        <v>585</v>
      </c>
      <c r="C183" s="6" t="s">
        <v>587</v>
      </c>
      <c r="D183" s="6" t="s">
        <v>1046</v>
      </c>
      <c r="E183" s="6" t="s">
        <v>586</v>
      </c>
      <c r="F183" s="6" t="s">
        <v>1046</v>
      </c>
      <c r="G183" s="6" t="s">
        <v>586</v>
      </c>
      <c r="H183" s="6" t="s">
        <v>1046</v>
      </c>
    </row>
    <row r="184">
      <c r="A184" s="1" t="s">
        <v>871</v>
      </c>
      <c r="B184" s="6" t="s">
        <v>589</v>
      </c>
      <c r="C184" s="6" t="s">
        <v>591</v>
      </c>
      <c r="D184" s="6" t="s">
        <v>1047</v>
      </c>
      <c r="E184" s="6" t="s">
        <v>1048</v>
      </c>
      <c r="F184" s="6" t="s">
        <v>1047</v>
      </c>
      <c r="G184" s="6" t="s">
        <v>590</v>
      </c>
      <c r="H184" s="6" t="s">
        <v>1047</v>
      </c>
    </row>
    <row r="185">
      <c r="A185" s="1" t="s">
        <v>871</v>
      </c>
      <c r="B185" s="6" t="s">
        <v>593</v>
      </c>
      <c r="C185" s="6" t="s">
        <v>595</v>
      </c>
      <c r="D185" s="6" t="s">
        <v>1049</v>
      </c>
      <c r="E185" s="6" t="s">
        <v>1050</v>
      </c>
      <c r="F185" s="6" t="s">
        <v>1049</v>
      </c>
      <c r="G185" s="6" t="s">
        <v>594</v>
      </c>
      <c r="H185" s="6" t="s">
        <v>1049</v>
      </c>
    </row>
    <row r="186">
      <c r="A186" s="1" t="s">
        <v>863</v>
      </c>
      <c r="B186" s="6" t="s">
        <v>597</v>
      </c>
      <c r="C186" s="6" t="s">
        <v>599</v>
      </c>
      <c r="D186" s="6" t="s">
        <v>1051</v>
      </c>
      <c r="E186" s="6" t="s">
        <v>1052</v>
      </c>
      <c r="F186" s="6" t="s">
        <v>1051</v>
      </c>
      <c r="G186" s="6" t="s">
        <v>598</v>
      </c>
      <c r="H186" s="6" t="s">
        <v>1051</v>
      </c>
    </row>
    <row r="187">
      <c r="A187" s="1" t="s">
        <v>871</v>
      </c>
      <c r="B187" s="6" t="s">
        <v>601</v>
      </c>
      <c r="C187" s="6" t="s">
        <v>601</v>
      </c>
      <c r="D187" s="6" t="s">
        <v>601</v>
      </c>
      <c r="E187" s="6" t="s">
        <v>601</v>
      </c>
      <c r="F187" s="6" t="s">
        <v>601</v>
      </c>
      <c r="G187" s="6" t="s">
        <v>601</v>
      </c>
      <c r="H187" s="6" t="s">
        <v>601</v>
      </c>
    </row>
    <row r="188">
      <c r="A188" s="1" t="s">
        <v>871</v>
      </c>
      <c r="B188" s="6" t="s">
        <v>603</v>
      </c>
      <c r="C188" s="6" t="s">
        <v>605</v>
      </c>
      <c r="D188" s="6" t="s">
        <v>1053</v>
      </c>
      <c r="E188" s="6" t="s">
        <v>1054</v>
      </c>
      <c r="F188" s="6" t="s">
        <v>1053</v>
      </c>
      <c r="G188" s="6" t="s">
        <v>604</v>
      </c>
      <c r="H188" s="6" t="s">
        <v>1053</v>
      </c>
    </row>
    <row r="189">
      <c r="A189" s="1" t="s">
        <v>863</v>
      </c>
      <c r="B189" s="6" t="s">
        <v>606</v>
      </c>
      <c r="C189" s="6" t="s">
        <v>1055</v>
      </c>
      <c r="D189" s="6" t="s">
        <v>1056</v>
      </c>
      <c r="E189" s="6" t="s">
        <v>1057</v>
      </c>
      <c r="F189" s="6" t="s">
        <v>1056</v>
      </c>
      <c r="G189" s="6" t="s">
        <v>607</v>
      </c>
      <c r="H189" s="6" t="s">
        <v>1058</v>
      </c>
    </row>
    <row r="190">
      <c r="A190" s="1" t="s">
        <v>871</v>
      </c>
      <c r="B190" s="6" t="s">
        <v>610</v>
      </c>
      <c r="C190" s="6" t="s">
        <v>612</v>
      </c>
      <c r="D190" s="6" t="s">
        <v>1059</v>
      </c>
      <c r="E190" s="6" t="s">
        <v>1060</v>
      </c>
      <c r="F190" s="6" t="s">
        <v>1059</v>
      </c>
      <c r="G190" s="6" t="s">
        <v>611</v>
      </c>
      <c r="H190" s="6" t="s">
        <v>1059</v>
      </c>
    </row>
    <row r="191">
      <c r="A191" s="1" t="s">
        <v>863</v>
      </c>
      <c r="B191" s="6" t="s">
        <v>616</v>
      </c>
      <c r="C191" s="6" t="s">
        <v>618</v>
      </c>
      <c r="D191" s="6" t="s">
        <v>1061</v>
      </c>
      <c r="E191" s="6" t="s">
        <v>1062</v>
      </c>
      <c r="F191" s="6" t="s">
        <v>1061</v>
      </c>
      <c r="G191" s="6" t="s">
        <v>617</v>
      </c>
      <c r="H191" s="6" t="s">
        <v>1061</v>
      </c>
    </row>
    <row r="192">
      <c r="A192" s="1" t="s">
        <v>871</v>
      </c>
      <c r="B192" s="6" t="s">
        <v>620</v>
      </c>
      <c r="C192" s="6" t="s">
        <v>620</v>
      </c>
      <c r="D192" s="6" t="s">
        <v>620</v>
      </c>
      <c r="E192" s="6" t="s">
        <v>620</v>
      </c>
      <c r="F192" s="6" t="s">
        <v>620</v>
      </c>
      <c r="G192" s="6" t="s">
        <v>620</v>
      </c>
      <c r="H192" s="6" t="s">
        <v>620</v>
      </c>
    </row>
    <row r="193">
      <c r="A193" s="1" t="s">
        <v>871</v>
      </c>
      <c r="B193" s="6" t="s">
        <v>621</v>
      </c>
      <c r="C193" s="6" t="s">
        <v>623</v>
      </c>
      <c r="D193" s="6" t="s">
        <v>1063</v>
      </c>
      <c r="E193" s="6" t="s">
        <v>1064</v>
      </c>
      <c r="F193" s="6" t="s">
        <v>1063</v>
      </c>
      <c r="G193" s="6" t="s">
        <v>622</v>
      </c>
      <c r="H193" s="6" t="s">
        <v>1063</v>
      </c>
    </row>
    <row r="194">
      <c r="A194" s="1" t="s">
        <v>861</v>
      </c>
      <c r="B194" s="6" t="s">
        <v>625</v>
      </c>
      <c r="C194" s="6" t="s">
        <v>627</v>
      </c>
      <c r="D194" s="6" t="s">
        <v>1065</v>
      </c>
      <c r="E194" s="6" t="s">
        <v>1066</v>
      </c>
      <c r="F194" s="6" t="s">
        <v>1065</v>
      </c>
      <c r="G194" s="6" t="s">
        <v>626</v>
      </c>
      <c r="H194" s="6" t="s">
        <v>1065</v>
      </c>
    </row>
    <row r="195">
      <c r="A195" s="1" t="s">
        <v>861</v>
      </c>
      <c r="B195" s="6" t="s">
        <v>629</v>
      </c>
      <c r="C195" s="6" t="s">
        <v>631</v>
      </c>
      <c r="D195" s="6" t="s">
        <v>1067</v>
      </c>
      <c r="E195" s="6" t="s">
        <v>1068</v>
      </c>
      <c r="F195" s="6" t="s">
        <v>1067</v>
      </c>
      <c r="G195" s="6" t="s">
        <v>630</v>
      </c>
      <c r="H195" s="6" t="s">
        <v>1067</v>
      </c>
    </row>
    <row r="196">
      <c r="A196" s="1" t="s">
        <v>871</v>
      </c>
      <c r="B196" s="6" t="s">
        <v>633</v>
      </c>
      <c r="C196" s="6" t="s">
        <v>635</v>
      </c>
      <c r="D196" s="6" t="s">
        <v>1069</v>
      </c>
      <c r="E196" s="6" t="s">
        <v>1070</v>
      </c>
      <c r="F196" s="6" t="s">
        <v>1069</v>
      </c>
      <c r="G196" s="6" t="s">
        <v>634</v>
      </c>
      <c r="H196" s="6" t="s">
        <v>1069</v>
      </c>
    </row>
    <row r="197">
      <c r="A197" s="1" t="s">
        <v>871</v>
      </c>
      <c r="B197" s="6" t="s">
        <v>637</v>
      </c>
      <c r="C197" s="6" t="s">
        <v>639</v>
      </c>
      <c r="D197" s="6" t="s">
        <v>1071</v>
      </c>
      <c r="E197" s="6" t="s">
        <v>638</v>
      </c>
      <c r="F197" s="6" t="s">
        <v>1071</v>
      </c>
      <c r="G197" s="6" t="s">
        <v>638</v>
      </c>
      <c r="H197" s="6" t="s">
        <v>1071</v>
      </c>
    </row>
    <row r="198">
      <c r="A198" s="1" t="s">
        <v>863</v>
      </c>
      <c r="B198" s="6" t="s">
        <v>641</v>
      </c>
      <c r="C198" s="6" t="s">
        <v>643</v>
      </c>
      <c r="D198" s="6" t="s">
        <v>1072</v>
      </c>
      <c r="E198" s="6" t="s">
        <v>642</v>
      </c>
      <c r="F198" s="6" t="s">
        <v>1072</v>
      </c>
      <c r="G198" s="6" t="s">
        <v>642</v>
      </c>
      <c r="H198" s="6" t="s">
        <v>1072</v>
      </c>
    </row>
    <row r="199">
      <c r="A199" s="1" t="s">
        <v>863</v>
      </c>
      <c r="B199" s="6" t="s">
        <v>645</v>
      </c>
      <c r="C199" s="6" t="s">
        <v>647</v>
      </c>
      <c r="D199" s="6" t="s">
        <v>1073</v>
      </c>
      <c r="E199" s="6" t="s">
        <v>1074</v>
      </c>
      <c r="F199" s="6" t="s">
        <v>1073</v>
      </c>
      <c r="G199" s="6" t="s">
        <v>646</v>
      </c>
      <c r="H199" s="6" t="s">
        <v>1073</v>
      </c>
    </row>
    <row r="200">
      <c r="A200" s="1" t="s">
        <v>863</v>
      </c>
      <c r="B200" s="6" t="s">
        <v>648</v>
      </c>
      <c r="C200" s="6" t="s">
        <v>650</v>
      </c>
      <c r="D200" s="6" t="s">
        <v>1075</v>
      </c>
      <c r="E200" s="6" t="s">
        <v>1076</v>
      </c>
      <c r="F200" s="6" t="s">
        <v>1075</v>
      </c>
      <c r="G200" s="6" t="s">
        <v>649</v>
      </c>
      <c r="H200" s="6" t="s">
        <v>1075</v>
      </c>
    </row>
    <row r="201">
      <c r="A201" s="1" t="s">
        <v>863</v>
      </c>
      <c r="B201" s="6" t="s">
        <v>651</v>
      </c>
      <c r="C201" s="6" t="s">
        <v>653</v>
      </c>
      <c r="D201" s="6" t="s">
        <v>1077</v>
      </c>
      <c r="E201" s="6" t="s">
        <v>1078</v>
      </c>
      <c r="F201" s="6" t="s">
        <v>1077</v>
      </c>
      <c r="G201" s="6" t="s">
        <v>652</v>
      </c>
      <c r="H201" s="6" t="s">
        <v>1077</v>
      </c>
    </row>
    <row r="202">
      <c r="A202" s="1" t="s">
        <v>863</v>
      </c>
      <c r="B202" s="6" t="s">
        <v>654</v>
      </c>
      <c r="C202" s="6" t="s">
        <v>656</v>
      </c>
      <c r="D202" s="6" t="s">
        <v>1079</v>
      </c>
      <c r="E202" s="6" t="s">
        <v>655</v>
      </c>
      <c r="F202" s="6" t="s">
        <v>1079</v>
      </c>
      <c r="G202" s="6" t="s">
        <v>655</v>
      </c>
      <c r="H202" s="6" t="s">
        <v>1079</v>
      </c>
    </row>
    <row r="203">
      <c r="A203" s="1" t="s">
        <v>871</v>
      </c>
      <c r="B203" s="6" t="s">
        <v>659</v>
      </c>
      <c r="C203" s="6" t="s">
        <v>1080</v>
      </c>
      <c r="D203" s="6" t="s">
        <v>1081</v>
      </c>
      <c r="E203" s="6" t="s">
        <v>1082</v>
      </c>
      <c r="F203" s="6" t="s">
        <v>1081</v>
      </c>
      <c r="G203" s="6" t="s">
        <v>660</v>
      </c>
      <c r="H203" s="6" t="s">
        <v>1081</v>
      </c>
    </row>
    <row r="204">
      <c r="A204" s="1" t="s">
        <v>871</v>
      </c>
      <c r="B204" s="6" t="s">
        <v>666</v>
      </c>
      <c r="C204" s="6" t="s">
        <v>668</v>
      </c>
      <c r="D204" s="6" t="s">
        <v>1083</v>
      </c>
      <c r="E204" s="6" t="s">
        <v>1084</v>
      </c>
      <c r="F204" s="6" t="s">
        <v>1083</v>
      </c>
      <c r="G204" s="6" t="s">
        <v>667</v>
      </c>
      <c r="H204" s="6" t="s">
        <v>1083</v>
      </c>
    </row>
    <row r="205">
      <c r="A205" s="1" t="s">
        <v>871</v>
      </c>
      <c r="B205" s="6" t="s">
        <v>670</v>
      </c>
      <c r="C205" s="6" t="s">
        <v>672</v>
      </c>
      <c r="D205" s="6" t="s">
        <v>1085</v>
      </c>
      <c r="E205" s="6" t="s">
        <v>671</v>
      </c>
      <c r="F205" s="6" t="s">
        <v>1085</v>
      </c>
      <c r="G205" s="6" t="s">
        <v>671</v>
      </c>
      <c r="H205" s="6" t="s">
        <v>1085</v>
      </c>
    </row>
    <row r="206">
      <c r="A206" s="1" t="s">
        <v>871</v>
      </c>
      <c r="B206" s="6" t="s">
        <v>121</v>
      </c>
      <c r="C206" s="6" t="s">
        <v>121</v>
      </c>
      <c r="D206" s="6" t="s">
        <v>121</v>
      </c>
      <c r="E206" s="6" t="s">
        <v>121</v>
      </c>
      <c r="F206" s="6" t="s">
        <v>121</v>
      </c>
      <c r="G206" s="6" t="s">
        <v>121</v>
      </c>
      <c r="H206" s="6" t="s">
        <v>121</v>
      </c>
    </row>
    <row r="207">
      <c r="A207" s="1" t="s">
        <v>871</v>
      </c>
      <c r="B207" s="6" t="s">
        <v>294</v>
      </c>
      <c r="C207" s="6" t="s">
        <v>294</v>
      </c>
      <c r="D207" s="6" t="s">
        <v>294</v>
      </c>
      <c r="E207" s="6" t="s">
        <v>294</v>
      </c>
      <c r="F207" s="6" t="s">
        <v>294</v>
      </c>
      <c r="G207" s="6" t="s">
        <v>294</v>
      </c>
      <c r="H207" s="6" t="s">
        <v>294</v>
      </c>
    </row>
    <row r="208">
      <c r="A208" s="1" t="s">
        <v>871</v>
      </c>
      <c r="B208" s="6" t="s">
        <v>676</v>
      </c>
      <c r="C208" s="6" t="s">
        <v>678</v>
      </c>
      <c r="D208" s="6" t="s">
        <v>1086</v>
      </c>
      <c r="E208" s="6" t="s">
        <v>677</v>
      </c>
      <c r="F208" s="6" t="s">
        <v>1086</v>
      </c>
      <c r="G208" s="6" t="s">
        <v>677</v>
      </c>
      <c r="H208" s="6" t="s">
        <v>1086</v>
      </c>
    </row>
    <row r="209">
      <c r="A209" s="1" t="s">
        <v>871</v>
      </c>
      <c r="B209" s="6" t="s">
        <v>680</v>
      </c>
      <c r="C209" s="6" t="s">
        <v>680</v>
      </c>
      <c r="D209" s="6" t="s">
        <v>680</v>
      </c>
      <c r="E209" s="6" t="s">
        <v>680</v>
      </c>
      <c r="F209" s="6" t="s">
        <v>680</v>
      </c>
      <c r="G209" s="6" t="s">
        <v>680</v>
      </c>
      <c r="H209" s="6" t="s">
        <v>680</v>
      </c>
    </row>
    <row r="210">
      <c r="A210" s="1" t="s">
        <v>871</v>
      </c>
      <c r="B210" s="6" t="s">
        <v>681</v>
      </c>
      <c r="C210" s="6" t="s">
        <v>681</v>
      </c>
      <c r="D210" s="6" t="s">
        <v>681</v>
      </c>
      <c r="E210" s="6" t="s">
        <v>681</v>
      </c>
      <c r="F210" s="6" t="s">
        <v>681</v>
      </c>
      <c r="G210" s="6" t="s">
        <v>681</v>
      </c>
      <c r="H210" s="6" t="s">
        <v>681</v>
      </c>
    </row>
    <row r="211">
      <c r="A211" s="1" t="s">
        <v>871</v>
      </c>
      <c r="B211" s="6" t="s">
        <v>683</v>
      </c>
      <c r="C211" s="6" t="s">
        <v>685</v>
      </c>
      <c r="D211" s="6" t="s">
        <v>1087</v>
      </c>
      <c r="E211" s="6" t="s">
        <v>1088</v>
      </c>
      <c r="F211" s="6" t="s">
        <v>1087</v>
      </c>
      <c r="G211" s="6" t="s">
        <v>684</v>
      </c>
      <c r="H211" s="6" t="s">
        <v>1087</v>
      </c>
    </row>
    <row r="212">
      <c r="A212" s="1" t="s">
        <v>871</v>
      </c>
      <c r="B212" s="6" t="s">
        <v>687</v>
      </c>
      <c r="C212" s="6" t="s">
        <v>689</v>
      </c>
      <c r="D212" s="6" t="s">
        <v>1089</v>
      </c>
      <c r="E212" s="6" t="s">
        <v>1090</v>
      </c>
      <c r="F212" s="6" t="s">
        <v>1089</v>
      </c>
      <c r="G212" s="6" t="s">
        <v>688</v>
      </c>
      <c r="H212" s="6" t="s">
        <v>1089</v>
      </c>
    </row>
    <row r="213">
      <c r="A213" s="1" t="s">
        <v>871</v>
      </c>
      <c r="B213" s="6" t="s">
        <v>692</v>
      </c>
      <c r="C213" s="6" t="s">
        <v>694</v>
      </c>
      <c r="D213" s="6" t="s">
        <v>1091</v>
      </c>
      <c r="E213" s="6" t="s">
        <v>1092</v>
      </c>
      <c r="F213" s="6" t="s">
        <v>1091</v>
      </c>
      <c r="G213" s="6" t="s">
        <v>693</v>
      </c>
      <c r="H213" s="6" t="s">
        <v>1091</v>
      </c>
    </row>
    <row r="214">
      <c r="A214" s="1" t="s">
        <v>871</v>
      </c>
      <c r="B214" s="6" t="s">
        <v>696</v>
      </c>
      <c r="C214" s="6" t="s">
        <v>697</v>
      </c>
      <c r="D214" s="6" t="s">
        <v>1093</v>
      </c>
      <c r="E214" s="6" t="s">
        <v>697</v>
      </c>
      <c r="F214" s="6" t="s">
        <v>1093</v>
      </c>
      <c r="G214" s="6" t="s">
        <v>697</v>
      </c>
      <c r="H214" s="6" t="s">
        <v>1093</v>
      </c>
    </row>
    <row r="215">
      <c r="A215" s="1" t="s">
        <v>871</v>
      </c>
      <c r="B215" s="6" t="s">
        <v>699</v>
      </c>
      <c r="C215" s="6" t="s">
        <v>701</v>
      </c>
      <c r="D215" s="6" t="s">
        <v>1094</v>
      </c>
      <c r="E215" s="6" t="s">
        <v>1095</v>
      </c>
      <c r="F215" s="6" t="s">
        <v>1094</v>
      </c>
      <c r="G215" s="6" t="s">
        <v>700</v>
      </c>
      <c r="H215" s="6" t="s">
        <v>1094</v>
      </c>
    </row>
    <row r="216">
      <c r="A216" s="1" t="s">
        <v>871</v>
      </c>
      <c r="B216" s="6" t="s">
        <v>703</v>
      </c>
      <c r="C216" s="6" t="s">
        <v>703</v>
      </c>
      <c r="D216" s="6" t="s">
        <v>703</v>
      </c>
      <c r="E216" s="6" t="s">
        <v>703</v>
      </c>
      <c r="F216" s="6" t="s">
        <v>703</v>
      </c>
      <c r="G216" s="6" t="s">
        <v>703</v>
      </c>
      <c r="H216" s="6" t="s">
        <v>703</v>
      </c>
    </row>
    <row r="217">
      <c r="A217" s="1" t="s">
        <v>871</v>
      </c>
      <c r="B217" s="6" t="s">
        <v>705</v>
      </c>
      <c r="C217" s="6" t="s">
        <v>707</v>
      </c>
      <c r="D217" s="6" t="s">
        <v>1096</v>
      </c>
      <c r="E217" s="6" t="s">
        <v>1097</v>
      </c>
      <c r="F217" s="6" t="s">
        <v>1096</v>
      </c>
      <c r="G217" s="6" t="s">
        <v>706</v>
      </c>
      <c r="H217" s="6" t="s">
        <v>1096</v>
      </c>
    </row>
    <row r="218">
      <c r="A218" s="1" t="s">
        <v>863</v>
      </c>
      <c r="B218" s="6" t="s">
        <v>708</v>
      </c>
      <c r="C218" s="6" t="s">
        <v>710</v>
      </c>
      <c r="D218" s="6" t="s">
        <v>1098</v>
      </c>
      <c r="E218" s="6" t="s">
        <v>1099</v>
      </c>
      <c r="F218" s="6" t="s">
        <v>1098</v>
      </c>
      <c r="G218" s="6" t="s">
        <v>709</v>
      </c>
      <c r="H218" s="6" t="s">
        <v>1098</v>
      </c>
    </row>
    <row r="219">
      <c r="A219" s="1" t="s">
        <v>871</v>
      </c>
      <c r="B219" s="6" t="s">
        <v>711</v>
      </c>
      <c r="C219" s="6" t="s">
        <v>711</v>
      </c>
      <c r="D219" s="6" t="s">
        <v>711</v>
      </c>
      <c r="E219" s="6" t="s">
        <v>711</v>
      </c>
      <c r="F219" s="6" t="s">
        <v>711</v>
      </c>
      <c r="G219" s="6" t="s">
        <v>711</v>
      </c>
      <c r="H219" s="6" t="s">
        <v>711</v>
      </c>
    </row>
    <row r="220">
      <c r="A220" s="1" t="s">
        <v>863</v>
      </c>
      <c r="B220" s="6" t="s">
        <v>712</v>
      </c>
      <c r="C220" s="6" t="s">
        <v>714</v>
      </c>
      <c r="D220" s="6" t="s">
        <v>1100</v>
      </c>
      <c r="E220" s="6" t="s">
        <v>1101</v>
      </c>
      <c r="F220" s="6" t="s">
        <v>1100</v>
      </c>
      <c r="G220" s="6" t="s">
        <v>713</v>
      </c>
      <c r="H220" s="6" t="s">
        <v>1100</v>
      </c>
    </row>
    <row r="221">
      <c r="A221" s="1" t="s">
        <v>863</v>
      </c>
      <c r="B221" s="6" t="s">
        <v>715</v>
      </c>
      <c r="C221" s="6" t="s">
        <v>717</v>
      </c>
      <c r="D221" s="6" t="s">
        <v>1102</v>
      </c>
      <c r="E221" s="6" t="s">
        <v>716</v>
      </c>
      <c r="F221" s="6" t="s">
        <v>1102</v>
      </c>
      <c r="G221" s="6" t="s">
        <v>716</v>
      </c>
      <c r="H221" s="6" t="s">
        <v>1102</v>
      </c>
    </row>
    <row r="222">
      <c r="A222" s="1" t="s">
        <v>861</v>
      </c>
      <c r="B222" s="6" t="s">
        <v>719</v>
      </c>
      <c r="C222" s="6" t="s">
        <v>721</v>
      </c>
      <c r="D222" s="6" t="s">
        <v>1103</v>
      </c>
      <c r="E222" s="6" t="s">
        <v>1104</v>
      </c>
      <c r="F222" s="6" t="s">
        <v>1103</v>
      </c>
      <c r="G222" s="6" t="s">
        <v>720</v>
      </c>
      <c r="H222" s="6" t="s">
        <v>1103</v>
      </c>
    </row>
    <row r="223">
      <c r="A223" s="1" t="s">
        <v>871</v>
      </c>
      <c r="B223" s="6" t="s">
        <v>722</v>
      </c>
      <c r="C223" s="6" t="s">
        <v>722</v>
      </c>
      <c r="D223" s="6" t="s">
        <v>722</v>
      </c>
      <c r="E223" s="6" t="s">
        <v>722</v>
      </c>
      <c r="F223" s="6" t="s">
        <v>722</v>
      </c>
      <c r="G223" s="6" t="s">
        <v>722</v>
      </c>
      <c r="H223" s="6" t="s">
        <v>722</v>
      </c>
    </row>
    <row r="224">
      <c r="A224" s="1" t="s">
        <v>863</v>
      </c>
      <c r="B224" s="6" t="s">
        <v>723</v>
      </c>
      <c r="C224" s="6" t="s">
        <v>725</v>
      </c>
      <c r="D224" s="6" t="s">
        <v>1105</v>
      </c>
      <c r="E224" s="6" t="s">
        <v>724</v>
      </c>
      <c r="F224" s="6" t="s">
        <v>1105</v>
      </c>
      <c r="G224" s="6" t="s">
        <v>724</v>
      </c>
      <c r="H224" s="6" t="s">
        <v>1105</v>
      </c>
    </row>
    <row r="225">
      <c r="A225" s="1" t="s">
        <v>871</v>
      </c>
      <c r="B225" s="6" t="s">
        <v>680</v>
      </c>
      <c r="C225" s="6" t="s">
        <v>680</v>
      </c>
      <c r="D225" s="6" t="s">
        <v>680</v>
      </c>
      <c r="E225" s="6" t="s">
        <v>680</v>
      </c>
      <c r="F225" s="6" t="s">
        <v>680</v>
      </c>
      <c r="G225" s="6" t="s">
        <v>680</v>
      </c>
      <c r="H225" s="6" t="s">
        <v>680</v>
      </c>
    </row>
    <row r="226">
      <c r="A226" s="1" t="s">
        <v>871</v>
      </c>
      <c r="B226" s="6" t="s">
        <v>727</v>
      </c>
      <c r="C226" s="6" t="s">
        <v>729</v>
      </c>
      <c r="D226" s="6" t="s">
        <v>1106</v>
      </c>
      <c r="E226" s="6" t="s">
        <v>728</v>
      </c>
      <c r="F226" s="6" t="s">
        <v>1106</v>
      </c>
      <c r="G226" s="6" t="s">
        <v>728</v>
      </c>
      <c r="H226" s="6" t="s">
        <v>1106</v>
      </c>
    </row>
    <row r="227">
      <c r="A227" s="1" t="s">
        <v>863</v>
      </c>
      <c r="B227" s="6" t="s">
        <v>731</v>
      </c>
      <c r="C227" s="6" t="s">
        <v>733</v>
      </c>
      <c r="D227" s="6" t="s">
        <v>1107</v>
      </c>
      <c r="E227" s="6" t="s">
        <v>732</v>
      </c>
      <c r="F227" s="6" t="s">
        <v>1107</v>
      </c>
      <c r="G227" s="6" t="s">
        <v>732</v>
      </c>
      <c r="H227" s="6" t="s">
        <v>1107</v>
      </c>
    </row>
    <row r="228">
      <c r="A228" s="1" t="s">
        <v>871</v>
      </c>
      <c r="B228" s="6" t="s">
        <v>735</v>
      </c>
      <c r="C228" s="6" t="s">
        <v>736</v>
      </c>
      <c r="D228" s="6" t="s">
        <v>736</v>
      </c>
      <c r="E228" s="6" t="s">
        <v>736</v>
      </c>
      <c r="F228" s="6" t="s">
        <v>736</v>
      </c>
      <c r="G228" s="6" t="s">
        <v>735</v>
      </c>
      <c r="H228" s="6" t="s">
        <v>736</v>
      </c>
    </row>
    <row r="229">
      <c r="A229" s="1" t="s">
        <v>871</v>
      </c>
      <c r="B229" s="6" t="s">
        <v>738</v>
      </c>
      <c r="C229" s="6" t="s">
        <v>739</v>
      </c>
      <c r="D229" s="6" t="s">
        <v>1108</v>
      </c>
      <c r="E229" s="6" t="s">
        <v>738</v>
      </c>
      <c r="F229" s="6" t="s">
        <v>1108</v>
      </c>
      <c r="G229" s="6" t="s">
        <v>738</v>
      </c>
      <c r="H229" s="6" t="s">
        <v>1108</v>
      </c>
    </row>
    <row r="230">
      <c r="A230" s="1" t="s">
        <v>871</v>
      </c>
      <c r="B230" s="6" t="s">
        <v>740</v>
      </c>
      <c r="C230" s="6" t="s">
        <v>741</v>
      </c>
      <c r="D230" s="6" t="s">
        <v>1109</v>
      </c>
      <c r="E230" s="6" t="s">
        <v>740</v>
      </c>
      <c r="F230" s="6" t="s">
        <v>1109</v>
      </c>
      <c r="G230" s="6" t="s">
        <v>740</v>
      </c>
      <c r="H230" s="6" t="s">
        <v>1109</v>
      </c>
    </row>
    <row r="231">
      <c r="A231" s="1" t="s">
        <v>871</v>
      </c>
      <c r="B231" s="6" t="s">
        <v>742</v>
      </c>
      <c r="C231" s="6" t="s">
        <v>744</v>
      </c>
      <c r="D231" s="6" t="s">
        <v>1110</v>
      </c>
      <c r="E231" s="6" t="s">
        <v>743</v>
      </c>
      <c r="F231" s="6" t="s">
        <v>1110</v>
      </c>
      <c r="G231" s="6" t="s">
        <v>743</v>
      </c>
      <c r="H231" s="6" t="s">
        <v>1110</v>
      </c>
    </row>
    <row r="232">
      <c r="A232" s="1" t="s">
        <v>871</v>
      </c>
      <c r="B232" s="6" t="s">
        <v>747</v>
      </c>
      <c r="C232" s="6" t="s">
        <v>747</v>
      </c>
      <c r="D232" s="6" t="s">
        <v>747</v>
      </c>
      <c r="E232" s="6" t="s">
        <v>747</v>
      </c>
      <c r="F232" s="6" t="s">
        <v>747</v>
      </c>
      <c r="G232" s="6" t="s">
        <v>747</v>
      </c>
      <c r="H232" s="6" t="s">
        <v>747</v>
      </c>
    </row>
    <row r="233">
      <c r="A233" s="1" t="s">
        <v>871</v>
      </c>
      <c r="B233" s="6" t="s">
        <v>748</v>
      </c>
      <c r="C233" s="6" t="s">
        <v>750</v>
      </c>
      <c r="D233" s="6" t="s">
        <v>1111</v>
      </c>
      <c r="E233" s="6" t="s">
        <v>749</v>
      </c>
      <c r="F233" s="6" t="s">
        <v>1111</v>
      </c>
      <c r="G233" s="6" t="s">
        <v>749</v>
      </c>
      <c r="H233" s="6" t="s">
        <v>1111</v>
      </c>
    </row>
    <row r="234">
      <c r="A234" s="1" t="s">
        <v>863</v>
      </c>
      <c r="B234" s="6" t="s">
        <v>751</v>
      </c>
      <c r="C234" s="6" t="s">
        <v>753</v>
      </c>
      <c r="D234" s="6" t="s">
        <v>1112</v>
      </c>
      <c r="E234" s="6" t="s">
        <v>1113</v>
      </c>
      <c r="F234" s="6" t="s">
        <v>1112</v>
      </c>
      <c r="G234" s="6" t="s">
        <v>752</v>
      </c>
      <c r="H234" s="6" t="s">
        <v>1112</v>
      </c>
    </row>
    <row r="235">
      <c r="A235" s="1" t="s">
        <v>871</v>
      </c>
      <c r="B235" s="6" t="s">
        <v>755</v>
      </c>
      <c r="C235" s="6" t="s">
        <v>757</v>
      </c>
      <c r="D235" s="6" t="s">
        <v>1114</v>
      </c>
      <c r="E235" s="6" t="s">
        <v>1115</v>
      </c>
      <c r="F235" s="6" t="s">
        <v>1114</v>
      </c>
      <c r="G235" s="6" t="s">
        <v>756</v>
      </c>
      <c r="H235" s="6" t="s">
        <v>1114</v>
      </c>
    </row>
    <row r="236">
      <c r="A236" s="1" t="s">
        <v>871</v>
      </c>
      <c r="B236" s="6" t="s">
        <v>758</v>
      </c>
      <c r="C236" s="6" t="s">
        <v>760</v>
      </c>
      <c r="D236" s="6" t="s">
        <v>1116</v>
      </c>
      <c r="E236" s="6" t="s">
        <v>1117</v>
      </c>
      <c r="F236" s="6" t="s">
        <v>1116</v>
      </c>
      <c r="G236" s="6" t="s">
        <v>759</v>
      </c>
      <c r="H236" s="6" t="s">
        <v>1116</v>
      </c>
    </row>
    <row r="237">
      <c r="A237" s="1" t="s">
        <v>863</v>
      </c>
      <c r="B237" s="6" t="s">
        <v>761</v>
      </c>
      <c r="C237" s="6" t="s">
        <v>763</v>
      </c>
      <c r="D237" s="6" t="s">
        <v>1118</v>
      </c>
      <c r="E237" s="6" t="s">
        <v>1119</v>
      </c>
      <c r="F237" s="6" t="s">
        <v>1118</v>
      </c>
      <c r="G237" s="6" t="s">
        <v>762</v>
      </c>
      <c r="H237" s="6" t="s">
        <v>1118</v>
      </c>
    </row>
    <row r="238">
      <c r="A238" s="1" t="s">
        <v>863</v>
      </c>
      <c r="B238" s="6" t="s">
        <v>765</v>
      </c>
      <c r="C238" s="6" t="s">
        <v>767</v>
      </c>
      <c r="D238" s="6" t="s">
        <v>1120</v>
      </c>
      <c r="E238" s="6" t="s">
        <v>1121</v>
      </c>
      <c r="F238" s="6" t="s">
        <v>1120</v>
      </c>
      <c r="G238" s="6" t="s">
        <v>766</v>
      </c>
      <c r="H238" s="6" t="s">
        <v>1120</v>
      </c>
    </row>
    <row r="239">
      <c r="A239" s="1" t="s">
        <v>863</v>
      </c>
      <c r="B239" s="6" t="s">
        <v>769</v>
      </c>
      <c r="C239" s="6" t="s">
        <v>771</v>
      </c>
      <c r="D239" s="6" t="s">
        <v>1122</v>
      </c>
      <c r="E239" s="6" t="s">
        <v>770</v>
      </c>
      <c r="F239" s="6" t="s">
        <v>1122</v>
      </c>
      <c r="G239" s="6" t="s">
        <v>770</v>
      </c>
      <c r="H239" s="6" t="s">
        <v>1122</v>
      </c>
    </row>
    <row r="240">
      <c r="A240" s="1" t="s">
        <v>863</v>
      </c>
      <c r="B240" s="6" t="s">
        <v>772</v>
      </c>
      <c r="C240" s="6" t="s">
        <v>774</v>
      </c>
      <c r="D240" s="6" t="s">
        <v>1123</v>
      </c>
      <c r="E240" s="6" t="s">
        <v>1124</v>
      </c>
      <c r="F240" s="6" t="s">
        <v>1123</v>
      </c>
      <c r="G240" s="6" t="s">
        <v>773</v>
      </c>
      <c r="H240" s="6" t="s">
        <v>1123</v>
      </c>
    </row>
    <row r="241">
      <c r="A241" s="1" t="s">
        <v>861</v>
      </c>
      <c r="B241" s="6" t="s">
        <v>776</v>
      </c>
      <c r="C241" s="6" t="s">
        <v>778</v>
      </c>
      <c r="D241" s="6" t="s">
        <v>1125</v>
      </c>
      <c r="E241" s="6" t="s">
        <v>1126</v>
      </c>
      <c r="F241" s="6" t="s">
        <v>1125</v>
      </c>
      <c r="G241" s="6" t="s">
        <v>777</v>
      </c>
      <c r="H241" s="6" t="s">
        <v>1125</v>
      </c>
    </row>
    <row r="242">
      <c r="A242" s="1" t="s">
        <v>861</v>
      </c>
      <c r="B242" s="6" t="s">
        <v>779</v>
      </c>
      <c r="C242" s="6" t="s">
        <v>781</v>
      </c>
      <c r="D242" s="6" t="s">
        <v>1127</v>
      </c>
      <c r="E242" s="6" t="s">
        <v>1128</v>
      </c>
      <c r="F242" s="6" t="s">
        <v>1127</v>
      </c>
      <c r="G242" s="6" t="s">
        <v>780</v>
      </c>
      <c r="H242" s="6" t="s">
        <v>1127</v>
      </c>
    </row>
    <row r="243">
      <c r="A243" s="1" t="s">
        <v>861</v>
      </c>
      <c r="B243" s="6" t="s">
        <v>782</v>
      </c>
      <c r="C243" s="6" t="s">
        <v>784</v>
      </c>
      <c r="D243" s="6" t="s">
        <v>1129</v>
      </c>
      <c r="E243" s="6" t="s">
        <v>1130</v>
      </c>
      <c r="F243" s="6" t="s">
        <v>1129</v>
      </c>
      <c r="G243" s="6" t="s">
        <v>783</v>
      </c>
      <c r="H243" s="6" t="s">
        <v>1129</v>
      </c>
    </row>
    <row r="244">
      <c r="A244" s="1" t="s">
        <v>871</v>
      </c>
      <c r="B244" s="6" t="s">
        <v>785</v>
      </c>
      <c r="C244" s="6" t="s">
        <v>787</v>
      </c>
      <c r="D244" s="6" t="s">
        <v>1131</v>
      </c>
      <c r="E244" s="6" t="s">
        <v>1132</v>
      </c>
      <c r="F244" s="6" t="s">
        <v>1131</v>
      </c>
      <c r="G244" s="6" t="s">
        <v>786</v>
      </c>
      <c r="H244" s="6" t="s">
        <v>1131</v>
      </c>
    </row>
    <row r="245">
      <c r="A245" s="1" t="s">
        <v>871</v>
      </c>
      <c r="B245" s="6" t="s">
        <v>788</v>
      </c>
      <c r="C245" s="6" t="s">
        <v>1133</v>
      </c>
      <c r="D245" s="6" t="s">
        <v>1134</v>
      </c>
      <c r="E245" s="6" t="s">
        <v>1135</v>
      </c>
      <c r="F245" s="6" t="s">
        <v>1134</v>
      </c>
      <c r="G245" s="6" t="s">
        <v>789</v>
      </c>
      <c r="H245" s="6" t="s">
        <v>1136</v>
      </c>
    </row>
    <row r="246">
      <c r="A246" s="1" t="s">
        <v>871</v>
      </c>
      <c r="B246" s="6" t="s">
        <v>792</v>
      </c>
      <c r="C246" s="6" t="s">
        <v>794</v>
      </c>
      <c r="D246" s="6" t="s">
        <v>1137</v>
      </c>
      <c r="E246" s="6" t="s">
        <v>1138</v>
      </c>
      <c r="F246" s="6" t="s">
        <v>1137</v>
      </c>
      <c r="G246" s="6" t="s">
        <v>793</v>
      </c>
      <c r="H246" s="6" t="s">
        <v>1137</v>
      </c>
    </row>
    <row r="247">
      <c r="A247" s="1" t="s">
        <v>871</v>
      </c>
      <c r="B247" s="6" t="s">
        <v>795</v>
      </c>
      <c r="C247" s="6" t="s">
        <v>797</v>
      </c>
      <c r="D247" s="6" t="s">
        <v>1139</v>
      </c>
      <c r="E247" s="6" t="s">
        <v>1140</v>
      </c>
      <c r="F247" s="6" t="s">
        <v>1139</v>
      </c>
      <c r="G247" s="6" t="s">
        <v>796</v>
      </c>
      <c r="H247" s="6" t="s">
        <v>1139</v>
      </c>
    </row>
    <row r="248">
      <c r="A248" s="1" t="s">
        <v>871</v>
      </c>
      <c r="B248" s="6" t="s">
        <v>799</v>
      </c>
      <c r="C248" s="6" t="s">
        <v>801</v>
      </c>
      <c r="D248" s="6" t="s">
        <v>1141</v>
      </c>
      <c r="E248" s="6" t="s">
        <v>1142</v>
      </c>
      <c r="F248" s="6" t="s">
        <v>1141</v>
      </c>
      <c r="G248" s="6" t="s">
        <v>800</v>
      </c>
      <c r="H248" s="6" t="s">
        <v>1141</v>
      </c>
    </row>
    <row r="249">
      <c r="A249" s="1" t="s">
        <v>871</v>
      </c>
      <c r="B249" s="6" t="s">
        <v>803</v>
      </c>
      <c r="C249" s="6" t="s">
        <v>805</v>
      </c>
      <c r="D249" s="6" t="s">
        <v>1143</v>
      </c>
      <c r="E249" s="6" t="s">
        <v>804</v>
      </c>
      <c r="F249" s="6" t="s">
        <v>1143</v>
      </c>
      <c r="G249" s="6" t="s">
        <v>804</v>
      </c>
      <c r="H249" s="6" t="s">
        <v>1143</v>
      </c>
    </row>
    <row r="250">
      <c r="A250" s="1" t="s">
        <v>871</v>
      </c>
      <c r="B250" s="6" t="s">
        <v>806</v>
      </c>
      <c r="C250" s="6" t="s">
        <v>808</v>
      </c>
      <c r="D250" s="6" t="s">
        <v>806</v>
      </c>
      <c r="E250" s="6" t="s">
        <v>1144</v>
      </c>
      <c r="F250" s="6" t="s">
        <v>806</v>
      </c>
      <c r="G250" s="6" t="s">
        <v>807</v>
      </c>
      <c r="H250" s="6" t="s">
        <v>806</v>
      </c>
    </row>
    <row r="251">
      <c r="A251" s="1" t="s">
        <v>871</v>
      </c>
      <c r="B251" s="6" t="s">
        <v>810</v>
      </c>
      <c r="C251" s="6" t="s">
        <v>812</v>
      </c>
      <c r="D251" s="6" t="s">
        <v>1145</v>
      </c>
      <c r="E251" s="6" t="s">
        <v>1146</v>
      </c>
      <c r="F251" s="6" t="s">
        <v>1145</v>
      </c>
      <c r="G251" s="6" t="s">
        <v>811</v>
      </c>
      <c r="H251" s="6" t="s">
        <v>1145</v>
      </c>
    </row>
    <row r="252">
      <c r="A252" s="1" t="s">
        <v>863</v>
      </c>
      <c r="B252" s="6" t="s">
        <v>813</v>
      </c>
      <c r="C252" s="6" t="s">
        <v>815</v>
      </c>
      <c r="D252" s="6" t="s">
        <v>1147</v>
      </c>
      <c r="E252" s="6" t="s">
        <v>1148</v>
      </c>
      <c r="F252" s="6" t="s">
        <v>1147</v>
      </c>
      <c r="G252" s="6" t="s">
        <v>814</v>
      </c>
      <c r="H252" s="6" t="s">
        <v>1147</v>
      </c>
    </row>
    <row r="253">
      <c r="A253" s="1" t="s">
        <v>871</v>
      </c>
      <c r="B253" s="6" t="s">
        <v>817</v>
      </c>
      <c r="C253" s="6" t="s">
        <v>819</v>
      </c>
      <c r="D253" s="6" t="s">
        <v>1149</v>
      </c>
      <c r="E253" s="6" t="s">
        <v>818</v>
      </c>
      <c r="F253" s="6" t="s">
        <v>1149</v>
      </c>
      <c r="G253" s="6" t="s">
        <v>818</v>
      </c>
      <c r="H253" s="6" t="s">
        <v>1149</v>
      </c>
    </row>
    <row r="254">
      <c r="A254" s="1" t="s">
        <v>863</v>
      </c>
      <c r="B254" s="6" t="s">
        <v>820</v>
      </c>
      <c r="C254" s="6" t="s">
        <v>822</v>
      </c>
      <c r="D254" s="6" t="s">
        <v>1150</v>
      </c>
      <c r="E254" s="6" t="s">
        <v>821</v>
      </c>
      <c r="F254" s="6" t="s">
        <v>1150</v>
      </c>
      <c r="G254" s="6" t="s">
        <v>821</v>
      </c>
      <c r="H254" s="6" t="s">
        <v>1150</v>
      </c>
    </row>
    <row r="255">
      <c r="A255" s="1" t="s">
        <v>871</v>
      </c>
      <c r="B255" s="6" t="s">
        <v>823</v>
      </c>
      <c r="C255" s="6" t="s">
        <v>825</v>
      </c>
      <c r="D255" s="6" t="s">
        <v>1151</v>
      </c>
      <c r="E255" s="6" t="s">
        <v>1152</v>
      </c>
      <c r="F255" s="6" t="s">
        <v>1151</v>
      </c>
      <c r="G255" s="6" t="s">
        <v>824</v>
      </c>
      <c r="H255" s="6" t="s">
        <v>1151</v>
      </c>
    </row>
    <row r="256">
      <c r="A256" s="1" t="s">
        <v>863</v>
      </c>
      <c r="B256" s="6" t="s">
        <v>826</v>
      </c>
      <c r="C256" s="6" t="s">
        <v>828</v>
      </c>
      <c r="D256" s="6" t="s">
        <v>1153</v>
      </c>
      <c r="E256" s="6" t="s">
        <v>1154</v>
      </c>
      <c r="F256" s="6" t="s">
        <v>1153</v>
      </c>
      <c r="G256" s="6" t="s">
        <v>827</v>
      </c>
      <c r="H256" s="6" t="s">
        <v>1153</v>
      </c>
    </row>
    <row r="257">
      <c r="A257" s="1" t="s">
        <v>871</v>
      </c>
      <c r="B257" s="6" t="s">
        <v>829</v>
      </c>
      <c r="C257" s="6" t="s">
        <v>831</v>
      </c>
      <c r="D257" s="6" t="s">
        <v>1155</v>
      </c>
      <c r="E257" s="6" t="s">
        <v>1156</v>
      </c>
      <c r="F257" s="6" t="s">
        <v>1155</v>
      </c>
      <c r="G257" s="6" t="s">
        <v>830</v>
      </c>
      <c r="H257" s="6" t="s">
        <v>1155</v>
      </c>
    </row>
    <row r="258">
      <c r="A258" s="1" t="s">
        <v>871</v>
      </c>
      <c r="B258" s="6" t="s">
        <v>1157</v>
      </c>
      <c r="C258" s="6" t="s">
        <v>1158</v>
      </c>
      <c r="D258" s="6" t="s">
        <v>1159</v>
      </c>
      <c r="E258" s="6" t="s">
        <v>1160</v>
      </c>
      <c r="F258" s="6" t="s">
        <v>1159</v>
      </c>
      <c r="G258" s="6" t="s">
        <v>1161</v>
      </c>
      <c r="H258" s="6" t="s">
        <v>833</v>
      </c>
    </row>
    <row r="259">
      <c r="A259" s="1" t="s">
        <v>871</v>
      </c>
      <c r="B259" s="6" t="s">
        <v>835</v>
      </c>
      <c r="C259" s="6" t="s">
        <v>837</v>
      </c>
      <c r="D259" s="6" t="s">
        <v>1162</v>
      </c>
      <c r="E259" s="6" t="s">
        <v>1163</v>
      </c>
      <c r="F259" s="6" t="s">
        <v>1162</v>
      </c>
      <c r="G259" s="6" t="s">
        <v>836</v>
      </c>
      <c r="H259" s="6" t="s">
        <v>1162</v>
      </c>
    </row>
    <row r="260">
      <c r="A260" s="1" t="s">
        <v>871</v>
      </c>
      <c r="B260" s="6" t="s">
        <v>1164</v>
      </c>
      <c r="C260" s="6" t="s">
        <v>1165</v>
      </c>
      <c r="D260" s="6" t="s">
        <v>1166</v>
      </c>
      <c r="E260" s="6" t="s">
        <v>1165</v>
      </c>
      <c r="F260" s="6" t="s">
        <v>1166</v>
      </c>
      <c r="G260" s="6" t="s">
        <v>1165</v>
      </c>
      <c r="H260" s="6" t="s">
        <v>839</v>
      </c>
    </row>
    <row r="261">
      <c r="A261" s="1" t="s">
        <v>871</v>
      </c>
      <c r="B261" s="6" t="s">
        <v>842</v>
      </c>
      <c r="C261" s="6" t="s">
        <v>843</v>
      </c>
      <c r="D261" s="6" t="s">
        <v>1167</v>
      </c>
      <c r="E261" s="6" t="s">
        <v>1168</v>
      </c>
      <c r="F261" s="6" t="s">
        <v>1167</v>
      </c>
      <c r="G261" s="6" t="s">
        <v>842</v>
      </c>
      <c r="H261" s="6" t="s">
        <v>1167</v>
      </c>
    </row>
    <row r="262">
      <c r="A262" s="1" t="s">
        <v>871</v>
      </c>
      <c r="B262" s="6" t="s">
        <v>844</v>
      </c>
      <c r="C262" s="6" t="s">
        <v>845</v>
      </c>
      <c r="D262" s="6" t="s">
        <v>1169</v>
      </c>
      <c r="E262" s="6" t="s">
        <v>845</v>
      </c>
      <c r="F262" s="6" t="s">
        <v>1169</v>
      </c>
      <c r="G262" s="6" t="s">
        <v>844</v>
      </c>
      <c r="H262" s="6" t="s">
        <v>1169</v>
      </c>
    </row>
    <row r="263">
      <c r="A263" s="1" t="s">
        <v>871</v>
      </c>
      <c r="B263" s="6" t="s">
        <v>846</v>
      </c>
      <c r="C263" s="6" t="s">
        <v>848</v>
      </c>
      <c r="D263" s="6" t="s">
        <v>1170</v>
      </c>
      <c r="E263" s="6" t="s">
        <v>1171</v>
      </c>
      <c r="F263" s="6" t="s">
        <v>1170</v>
      </c>
      <c r="G263" s="6" t="s">
        <v>847</v>
      </c>
      <c r="H263" s="6" t="s">
        <v>1170</v>
      </c>
    </row>
    <row r="264">
      <c r="A264" s="1" t="s">
        <v>871</v>
      </c>
      <c r="B264" s="6" t="s">
        <v>849</v>
      </c>
      <c r="C264" s="6" t="s">
        <v>851</v>
      </c>
      <c r="D264" s="6" t="s">
        <v>1172</v>
      </c>
      <c r="E264" s="6" t="s">
        <v>850</v>
      </c>
      <c r="F264" s="6" t="s">
        <v>1172</v>
      </c>
      <c r="G264" s="6" t="s">
        <v>850</v>
      </c>
      <c r="H264" s="6" t="s">
        <v>1172</v>
      </c>
    </row>
    <row r="265">
      <c r="A265" s="1" t="s">
        <v>871</v>
      </c>
      <c r="B265" s="6" t="s">
        <v>135</v>
      </c>
      <c r="C265" s="6" t="s">
        <v>135</v>
      </c>
      <c r="D265" s="6" t="s">
        <v>135</v>
      </c>
      <c r="E265" s="6" t="s">
        <v>135</v>
      </c>
      <c r="F265" s="6" t="s">
        <v>135</v>
      </c>
      <c r="G265" s="6" t="s">
        <v>135</v>
      </c>
      <c r="H265" s="6" t="s">
        <v>135</v>
      </c>
    </row>
    <row r="266">
      <c r="A266" s="1" t="s">
        <v>871</v>
      </c>
      <c r="B266" s="6" t="s">
        <v>853</v>
      </c>
      <c r="C266" s="6" t="s">
        <v>854</v>
      </c>
      <c r="D266" s="6" t="s">
        <v>854</v>
      </c>
      <c r="E266" s="6" t="s">
        <v>854</v>
      </c>
      <c r="F266" s="6" t="s">
        <v>854</v>
      </c>
      <c r="G266" s="6" t="s">
        <v>854</v>
      </c>
      <c r="H266" s="6" t="s">
        <v>854</v>
      </c>
    </row>
    <row r="267">
      <c r="A267" s="1" t="s">
        <v>871</v>
      </c>
      <c r="B267" s="6" t="s">
        <v>121</v>
      </c>
      <c r="C267" s="6" t="s">
        <v>121</v>
      </c>
      <c r="D267" s="6" t="s">
        <v>121</v>
      </c>
      <c r="E267" s="6" t="s">
        <v>121</v>
      </c>
      <c r="F267" s="6" t="s">
        <v>121</v>
      </c>
      <c r="G267" s="6" t="s">
        <v>121</v>
      </c>
      <c r="H267" s="6" t="s">
        <v>121</v>
      </c>
    </row>
    <row r="268">
      <c r="A268" s="1" t="s">
        <v>871</v>
      </c>
      <c r="B268" s="6" t="s">
        <v>856</v>
      </c>
      <c r="C268" s="6" t="s">
        <v>858</v>
      </c>
      <c r="D268" s="6" t="s">
        <v>1173</v>
      </c>
      <c r="E268" s="6" t="s">
        <v>1174</v>
      </c>
      <c r="F268" s="6" t="s">
        <v>1173</v>
      </c>
      <c r="G268" s="6" t="s">
        <v>857</v>
      </c>
      <c r="H268" s="6" t="s">
        <v>1173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859</v>
      </c>
    </row>
    <row r="2">
      <c r="A2" s="6" t="s">
        <v>21</v>
      </c>
      <c r="B2" s="1" t="s">
        <v>861</v>
      </c>
      <c r="F2" s="1" t="s">
        <v>890</v>
      </c>
      <c r="G2" s="6">
        <f>COUNTIF($B$2:$B$408, "positif")</f>
        <v>237</v>
      </c>
    </row>
    <row r="3">
      <c r="A3" s="6" t="s">
        <v>27</v>
      </c>
      <c r="B3" s="1" t="s">
        <v>863</v>
      </c>
      <c r="F3" s="1" t="s">
        <v>891</v>
      </c>
      <c r="G3" s="6">
        <f>COUNTIF($B$2:$B$408, "netral")</f>
        <v>39</v>
      </c>
    </row>
    <row r="4">
      <c r="A4" s="6" t="s">
        <v>33</v>
      </c>
      <c r="B4" s="1" t="s">
        <v>863</v>
      </c>
      <c r="F4" s="1" t="s">
        <v>892</v>
      </c>
      <c r="G4" s="6">
        <f>COUNTIF($B$2:$B$408, "negatif")</f>
        <v>131</v>
      </c>
    </row>
    <row r="5">
      <c r="A5" s="6" t="s">
        <v>39</v>
      </c>
      <c r="B5" s="1" t="s">
        <v>863</v>
      </c>
    </row>
    <row r="6">
      <c r="A6" s="6" t="s">
        <v>45</v>
      </c>
      <c r="B6" s="1" t="s">
        <v>863</v>
      </c>
    </row>
    <row r="7">
      <c r="A7" s="6" t="s">
        <v>52</v>
      </c>
      <c r="B7" s="1" t="s">
        <v>871</v>
      </c>
    </row>
    <row r="8">
      <c r="A8" s="6" t="s">
        <v>58</v>
      </c>
      <c r="B8" s="1" t="s">
        <v>863</v>
      </c>
    </row>
    <row r="9">
      <c r="A9" s="6" t="s">
        <v>63</v>
      </c>
      <c r="B9" s="1" t="s">
        <v>871</v>
      </c>
    </row>
    <row r="10">
      <c r="A10" s="6" t="s">
        <v>70</v>
      </c>
      <c r="B10" s="1" t="s">
        <v>871</v>
      </c>
    </row>
    <row r="11">
      <c r="A11" s="6" t="s">
        <v>75</v>
      </c>
      <c r="B11" s="1" t="s">
        <v>871</v>
      </c>
    </row>
    <row r="12">
      <c r="A12" s="6" t="s">
        <v>81</v>
      </c>
      <c r="B12" s="1" t="s">
        <v>871</v>
      </c>
    </row>
    <row r="13">
      <c r="A13" s="6" t="s">
        <v>88</v>
      </c>
      <c r="B13" s="1" t="s">
        <v>863</v>
      </c>
    </row>
    <row r="14">
      <c r="A14" s="6" t="s">
        <v>93</v>
      </c>
      <c r="B14" s="1" t="s">
        <v>861</v>
      </c>
    </row>
    <row r="15">
      <c r="A15" s="6" t="s">
        <v>99</v>
      </c>
      <c r="B15" s="1" t="s">
        <v>871</v>
      </c>
    </row>
    <row r="16">
      <c r="A16" s="6" t="s">
        <v>105</v>
      </c>
      <c r="B16" s="1" t="s">
        <v>871</v>
      </c>
    </row>
    <row r="17">
      <c r="A17" s="6" t="s">
        <v>111</v>
      </c>
      <c r="B17" s="1" t="s">
        <v>871</v>
      </c>
    </row>
    <row r="18">
      <c r="A18" s="6" t="s">
        <v>115</v>
      </c>
      <c r="B18" s="1" t="s">
        <v>871</v>
      </c>
    </row>
    <row r="19">
      <c r="A19" s="6" t="s">
        <v>119</v>
      </c>
      <c r="B19" s="1" t="s">
        <v>871</v>
      </c>
    </row>
    <row r="20">
      <c r="A20" s="6" t="s">
        <v>121</v>
      </c>
      <c r="B20" s="1" t="s">
        <v>871</v>
      </c>
    </row>
    <row r="21">
      <c r="A21" s="6" t="s">
        <v>123</v>
      </c>
      <c r="B21" s="1" t="s">
        <v>871</v>
      </c>
    </row>
    <row r="22">
      <c r="A22" s="6" t="s">
        <v>126</v>
      </c>
      <c r="B22" s="1" t="s">
        <v>871</v>
      </c>
    </row>
    <row r="23">
      <c r="A23" s="6" t="s">
        <v>129</v>
      </c>
      <c r="B23" s="1" t="s">
        <v>871</v>
      </c>
    </row>
    <row r="24">
      <c r="A24" s="6" t="s">
        <v>131</v>
      </c>
      <c r="B24" s="1" t="s">
        <v>871</v>
      </c>
    </row>
    <row r="25">
      <c r="A25" s="6" t="s">
        <v>135</v>
      </c>
      <c r="B25" s="1" t="s">
        <v>871</v>
      </c>
    </row>
    <row r="26">
      <c r="A26" s="6" t="s">
        <v>137</v>
      </c>
      <c r="B26" s="1" t="s">
        <v>871</v>
      </c>
    </row>
    <row r="27">
      <c r="A27" s="6" t="s">
        <v>141</v>
      </c>
      <c r="B27" s="1" t="s">
        <v>871</v>
      </c>
    </row>
    <row r="28">
      <c r="A28" s="6" t="s">
        <v>144</v>
      </c>
      <c r="B28" s="1" t="s">
        <v>871</v>
      </c>
    </row>
    <row r="29">
      <c r="A29" s="6" t="s">
        <v>147</v>
      </c>
      <c r="B29" s="1" t="s">
        <v>871</v>
      </c>
    </row>
    <row r="30">
      <c r="A30" s="6" t="s">
        <v>151</v>
      </c>
      <c r="B30" s="1" t="s">
        <v>871</v>
      </c>
    </row>
    <row r="31">
      <c r="A31" s="6" t="s">
        <v>154</v>
      </c>
      <c r="B31" s="1" t="s">
        <v>861</v>
      </c>
    </row>
    <row r="32">
      <c r="A32" s="6" t="s">
        <v>158</v>
      </c>
      <c r="B32" s="1" t="s">
        <v>871</v>
      </c>
    </row>
    <row r="33">
      <c r="A33" s="6" t="s">
        <v>162</v>
      </c>
      <c r="B33" s="1" t="s">
        <v>861</v>
      </c>
    </row>
    <row r="34">
      <c r="A34" s="6" t="s">
        <v>166</v>
      </c>
      <c r="B34" s="1" t="s">
        <v>861</v>
      </c>
    </row>
    <row r="35">
      <c r="A35" s="6" t="s">
        <v>170</v>
      </c>
      <c r="B35" s="1" t="s">
        <v>861</v>
      </c>
    </row>
    <row r="36">
      <c r="A36" s="6" t="s">
        <v>172</v>
      </c>
      <c r="B36" s="1" t="s">
        <v>861</v>
      </c>
    </row>
    <row r="37">
      <c r="A37" s="6" t="s">
        <v>175</v>
      </c>
      <c r="B37" s="1" t="s">
        <v>861</v>
      </c>
    </row>
    <row r="38">
      <c r="A38" s="6" t="s">
        <v>177</v>
      </c>
      <c r="B38" s="1" t="s">
        <v>861</v>
      </c>
    </row>
    <row r="39">
      <c r="A39" s="6" t="s">
        <v>181</v>
      </c>
      <c r="B39" s="1" t="s">
        <v>871</v>
      </c>
    </row>
    <row r="40">
      <c r="A40" s="6" t="s">
        <v>183</v>
      </c>
      <c r="B40" s="1" t="s">
        <v>863</v>
      </c>
    </row>
    <row r="41">
      <c r="A41" s="6" t="s">
        <v>185</v>
      </c>
      <c r="B41" s="1" t="s">
        <v>871</v>
      </c>
    </row>
    <row r="42">
      <c r="A42" s="6" t="s">
        <v>187</v>
      </c>
      <c r="B42" s="1" t="s">
        <v>871</v>
      </c>
    </row>
    <row r="43">
      <c r="A43" s="6" t="s">
        <v>189</v>
      </c>
      <c r="B43" s="1" t="s">
        <v>871</v>
      </c>
    </row>
    <row r="44">
      <c r="A44" s="6" t="s">
        <v>191</v>
      </c>
      <c r="B44" s="1" t="s">
        <v>871</v>
      </c>
    </row>
    <row r="45">
      <c r="A45" s="6" t="s">
        <v>194</v>
      </c>
      <c r="B45" s="1" t="s">
        <v>871</v>
      </c>
    </row>
    <row r="46">
      <c r="A46" s="6" t="s">
        <v>196</v>
      </c>
      <c r="B46" s="1" t="s">
        <v>871</v>
      </c>
    </row>
    <row r="47">
      <c r="A47" s="6" t="s">
        <v>198</v>
      </c>
      <c r="B47" s="1" t="s">
        <v>871</v>
      </c>
    </row>
    <row r="48">
      <c r="A48" s="6" t="s">
        <v>200</v>
      </c>
      <c r="B48" s="1" t="s">
        <v>861</v>
      </c>
    </row>
    <row r="49">
      <c r="A49" s="6" t="s">
        <v>204</v>
      </c>
      <c r="B49" s="1" t="s">
        <v>871</v>
      </c>
    </row>
    <row r="50">
      <c r="A50" s="6" t="s">
        <v>208</v>
      </c>
      <c r="B50" s="1" t="s">
        <v>871</v>
      </c>
    </row>
    <row r="51">
      <c r="A51" s="6" t="s">
        <v>210</v>
      </c>
      <c r="B51" s="1" t="s">
        <v>871</v>
      </c>
    </row>
    <row r="52">
      <c r="A52" s="6" t="s">
        <v>212</v>
      </c>
      <c r="B52" s="1" t="s">
        <v>871</v>
      </c>
    </row>
    <row r="53">
      <c r="A53" s="6" t="s">
        <v>214</v>
      </c>
      <c r="B53" s="1" t="s">
        <v>871</v>
      </c>
    </row>
    <row r="54">
      <c r="A54" s="6" t="s">
        <v>912</v>
      </c>
      <c r="B54" s="1" t="s">
        <v>871</v>
      </c>
    </row>
    <row r="55">
      <c r="A55" s="6" t="s">
        <v>221</v>
      </c>
      <c r="B55" s="1" t="s">
        <v>871</v>
      </c>
    </row>
    <row r="56">
      <c r="A56" s="6" t="s">
        <v>225</v>
      </c>
      <c r="B56" s="1" t="s">
        <v>871</v>
      </c>
    </row>
    <row r="57">
      <c r="A57" s="6" t="s">
        <v>227</v>
      </c>
      <c r="B57" s="1" t="s">
        <v>871</v>
      </c>
    </row>
    <row r="58">
      <c r="A58" s="6" t="s">
        <v>230</v>
      </c>
      <c r="B58" s="1" t="s">
        <v>871</v>
      </c>
    </row>
    <row r="59">
      <c r="A59" s="6" t="s">
        <v>232</v>
      </c>
      <c r="B59" s="1" t="s">
        <v>871</v>
      </c>
    </row>
    <row r="60">
      <c r="A60" s="6" t="s">
        <v>235</v>
      </c>
      <c r="B60" s="1" t="s">
        <v>871</v>
      </c>
    </row>
    <row r="61">
      <c r="A61" s="6" t="s">
        <v>238</v>
      </c>
      <c r="B61" s="1" t="s">
        <v>871</v>
      </c>
    </row>
    <row r="62">
      <c r="A62" s="6" t="s">
        <v>243</v>
      </c>
      <c r="B62" s="1" t="s">
        <v>871</v>
      </c>
    </row>
    <row r="63">
      <c r="A63" s="6" t="s">
        <v>248</v>
      </c>
      <c r="B63" s="1" t="s">
        <v>871</v>
      </c>
    </row>
    <row r="64">
      <c r="A64" s="6" t="s">
        <v>252</v>
      </c>
      <c r="B64" s="1" t="s">
        <v>871</v>
      </c>
    </row>
    <row r="65">
      <c r="A65" s="6" t="s">
        <v>254</v>
      </c>
      <c r="B65" s="1" t="s">
        <v>871</v>
      </c>
    </row>
    <row r="66">
      <c r="A66" s="6" t="s">
        <v>257</v>
      </c>
      <c r="B66" s="1" t="s">
        <v>871</v>
      </c>
    </row>
    <row r="67">
      <c r="A67" s="6" t="s">
        <v>260</v>
      </c>
      <c r="B67" s="1" t="s">
        <v>871</v>
      </c>
    </row>
    <row r="68">
      <c r="A68" s="6" t="s">
        <v>263</v>
      </c>
      <c r="B68" s="1" t="s">
        <v>871</v>
      </c>
    </row>
    <row r="69">
      <c r="A69" s="6" t="s">
        <v>267</v>
      </c>
      <c r="B69" s="1" t="s">
        <v>871</v>
      </c>
    </row>
    <row r="70">
      <c r="A70" s="6" t="s">
        <v>269</v>
      </c>
      <c r="B70" s="1" t="s">
        <v>871</v>
      </c>
    </row>
    <row r="71">
      <c r="A71" s="6" t="s">
        <v>273</v>
      </c>
      <c r="B71" s="1" t="s">
        <v>871</v>
      </c>
    </row>
    <row r="72">
      <c r="A72" s="6" t="s">
        <v>277</v>
      </c>
      <c r="B72" s="1" t="s">
        <v>871</v>
      </c>
    </row>
    <row r="73">
      <c r="A73" s="6" t="s">
        <v>286</v>
      </c>
      <c r="B73" s="1" t="s">
        <v>871</v>
      </c>
    </row>
    <row r="74">
      <c r="A74" s="6" t="s">
        <v>288</v>
      </c>
      <c r="B74" s="1" t="s">
        <v>871</v>
      </c>
    </row>
    <row r="75">
      <c r="A75" s="6" t="s">
        <v>290</v>
      </c>
      <c r="B75" s="1" t="s">
        <v>871</v>
      </c>
    </row>
    <row r="76">
      <c r="A76" s="6" t="s">
        <v>294</v>
      </c>
      <c r="B76" s="1" t="s">
        <v>871</v>
      </c>
    </row>
    <row r="77">
      <c r="A77" s="6" t="s">
        <v>296</v>
      </c>
      <c r="B77" s="1" t="s">
        <v>871</v>
      </c>
    </row>
    <row r="78">
      <c r="A78" s="6" t="s">
        <v>300</v>
      </c>
      <c r="B78" s="1" t="s">
        <v>871</v>
      </c>
    </row>
    <row r="79">
      <c r="A79" s="6" t="s">
        <v>302</v>
      </c>
      <c r="B79" s="1" t="s">
        <v>871</v>
      </c>
    </row>
    <row r="80">
      <c r="A80" s="6" t="s">
        <v>308</v>
      </c>
      <c r="B80" s="1" t="s">
        <v>863</v>
      </c>
    </row>
    <row r="81">
      <c r="A81" s="6" t="s">
        <v>312</v>
      </c>
      <c r="B81" s="1" t="s">
        <v>863</v>
      </c>
    </row>
    <row r="82">
      <c r="A82" s="6" t="s">
        <v>316</v>
      </c>
      <c r="B82" s="1" t="s">
        <v>863</v>
      </c>
    </row>
    <row r="83">
      <c r="A83" s="6" t="s">
        <v>320</v>
      </c>
      <c r="B83" s="1" t="s">
        <v>863</v>
      </c>
    </row>
    <row r="84">
      <c r="A84" s="6" t="s">
        <v>324</v>
      </c>
      <c r="B84" s="1" t="s">
        <v>863</v>
      </c>
    </row>
    <row r="85">
      <c r="A85" s="6" t="s">
        <v>327</v>
      </c>
      <c r="B85" s="1" t="s">
        <v>871</v>
      </c>
    </row>
    <row r="86">
      <c r="A86" s="6" t="s">
        <v>331</v>
      </c>
      <c r="B86" s="1" t="s">
        <v>863</v>
      </c>
    </row>
    <row r="87">
      <c r="A87" s="6" t="s">
        <v>335</v>
      </c>
      <c r="B87" s="1" t="s">
        <v>863</v>
      </c>
    </row>
    <row r="88">
      <c r="A88" s="6" t="s">
        <v>339</v>
      </c>
      <c r="B88" s="1" t="s">
        <v>863</v>
      </c>
    </row>
    <row r="89">
      <c r="A89" s="6" t="s">
        <v>343</v>
      </c>
      <c r="B89" s="1" t="s">
        <v>863</v>
      </c>
    </row>
    <row r="90">
      <c r="A90" s="6" t="s">
        <v>346</v>
      </c>
      <c r="B90" s="1" t="s">
        <v>863</v>
      </c>
    </row>
    <row r="91">
      <c r="A91" s="6" t="s">
        <v>349</v>
      </c>
      <c r="B91" s="1" t="s">
        <v>863</v>
      </c>
    </row>
    <row r="92">
      <c r="A92" s="6" t="s">
        <v>353</v>
      </c>
      <c r="B92" s="1" t="s">
        <v>863</v>
      </c>
    </row>
    <row r="93">
      <c r="A93" s="6" t="s">
        <v>357</v>
      </c>
      <c r="B93" s="1" t="s">
        <v>863</v>
      </c>
    </row>
    <row r="94">
      <c r="A94" s="6" t="s">
        <v>363</v>
      </c>
      <c r="B94" s="1" t="s">
        <v>871</v>
      </c>
    </row>
    <row r="95">
      <c r="A95" s="6" t="s">
        <v>367</v>
      </c>
      <c r="B95" s="1" t="s">
        <v>871</v>
      </c>
    </row>
    <row r="96">
      <c r="A96" s="6" t="s">
        <v>371</v>
      </c>
      <c r="B96" s="1" t="s">
        <v>871</v>
      </c>
    </row>
    <row r="97">
      <c r="A97" s="6" t="s">
        <v>375</v>
      </c>
      <c r="B97" s="1" t="s">
        <v>863</v>
      </c>
    </row>
    <row r="98">
      <c r="A98" s="6" t="s">
        <v>380</v>
      </c>
      <c r="B98" s="1" t="s">
        <v>863</v>
      </c>
    </row>
    <row r="99">
      <c r="A99" s="6" t="s">
        <v>384</v>
      </c>
      <c r="B99" s="1" t="s">
        <v>863</v>
      </c>
    </row>
    <row r="100">
      <c r="A100" s="6" t="s">
        <v>388</v>
      </c>
      <c r="B100" s="1" t="s">
        <v>861</v>
      </c>
    </row>
    <row r="101">
      <c r="A101" s="6" t="s">
        <v>392</v>
      </c>
      <c r="B101" s="1" t="s">
        <v>863</v>
      </c>
    </row>
    <row r="102">
      <c r="A102" s="6" t="s">
        <v>396</v>
      </c>
      <c r="B102" s="1" t="s">
        <v>871</v>
      </c>
    </row>
    <row r="103">
      <c r="A103" s="6" t="s">
        <v>398</v>
      </c>
      <c r="B103" s="1" t="s">
        <v>871</v>
      </c>
    </row>
    <row r="104">
      <c r="A104" s="6" t="s">
        <v>402</v>
      </c>
      <c r="B104" s="1" t="s">
        <v>861</v>
      </c>
    </row>
    <row r="105">
      <c r="A105" s="6" t="s">
        <v>404</v>
      </c>
      <c r="B105" s="1" t="s">
        <v>863</v>
      </c>
    </row>
    <row r="106">
      <c r="A106" s="6" t="s">
        <v>408</v>
      </c>
      <c r="B106" s="1" t="s">
        <v>871</v>
      </c>
    </row>
    <row r="107">
      <c r="A107" s="6" t="s">
        <v>412</v>
      </c>
      <c r="B107" s="1" t="s">
        <v>863</v>
      </c>
    </row>
    <row r="108">
      <c r="A108" s="6" t="s">
        <v>416</v>
      </c>
      <c r="B108" s="1" t="s">
        <v>863</v>
      </c>
    </row>
    <row r="109">
      <c r="A109" s="6" t="s">
        <v>420</v>
      </c>
      <c r="B109" s="1" t="s">
        <v>871</v>
      </c>
    </row>
    <row r="110">
      <c r="A110" s="6" t="s">
        <v>424</v>
      </c>
      <c r="B110" s="1" t="s">
        <v>871</v>
      </c>
    </row>
    <row r="111">
      <c r="A111" s="6" t="s">
        <v>428</v>
      </c>
      <c r="B111" s="1" t="s">
        <v>863</v>
      </c>
    </row>
    <row r="112">
      <c r="A112" s="6" t="s">
        <v>432</v>
      </c>
      <c r="B112" s="1" t="s">
        <v>871</v>
      </c>
    </row>
    <row r="113">
      <c r="A113" s="6" t="s">
        <v>436</v>
      </c>
      <c r="B113" s="1" t="s">
        <v>861</v>
      </c>
    </row>
    <row r="114">
      <c r="A114" s="6" t="s">
        <v>982</v>
      </c>
      <c r="B114" s="1" t="s">
        <v>863</v>
      </c>
    </row>
    <row r="115">
      <c r="A115" s="6" t="s">
        <v>444</v>
      </c>
      <c r="B115" s="1" t="s">
        <v>863</v>
      </c>
    </row>
    <row r="116">
      <c r="A116" s="6" t="s">
        <v>448</v>
      </c>
      <c r="B116" s="1" t="s">
        <v>863</v>
      </c>
    </row>
    <row r="117">
      <c r="A117" s="6" t="s">
        <v>452</v>
      </c>
      <c r="B117" s="1" t="s">
        <v>863</v>
      </c>
    </row>
    <row r="118">
      <c r="A118" s="6" t="s">
        <v>456</v>
      </c>
      <c r="B118" s="1" t="s">
        <v>871</v>
      </c>
    </row>
    <row r="119">
      <c r="A119" s="6" t="s">
        <v>460</v>
      </c>
      <c r="B119" s="1" t="s">
        <v>863</v>
      </c>
    </row>
    <row r="120">
      <c r="A120" s="6" t="s">
        <v>464</v>
      </c>
      <c r="B120" s="1" t="s">
        <v>871</v>
      </c>
    </row>
    <row r="121">
      <c r="A121" s="6" t="s">
        <v>468</v>
      </c>
      <c r="B121" s="1" t="s">
        <v>871</v>
      </c>
    </row>
    <row r="122">
      <c r="A122" s="6" t="s">
        <v>471</v>
      </c>
      <c r="B122" s="1" t="s">
        <v>863</v>
      </c>
    </row>
    <row r="123">
      <c r="A123" s="6" t="s">
        <v>473</v>
      </c>
      <c r="B123" s="1" t="s">
        <v>863</v>
      </c>
    </row>
    <row r="124">
      <c r="A124" s="6" t="s">
        <v>477</v>
      </c>
      <c r="B124" s="1" t="s">
        <v>863</v>
      </c>
    </row>
    <row r="125">
      <c r="A125" s="6" t="s">
        <v>481</v>
      </c>
      <c r="B125" s="1" t="s">
        <v>871</v>
      </c>
    </row>
    <row r="126">
      <c r="A126" s="6" t="s">
        <v>485</v>
      </c>
      <c r="B126" s="1" t="s">
        <v>871</v>
      </c>
    </row>
    <row r="127">
      <c r="A127" s="6" t="s">
        <v>489</v>
      </c>
      <c r="B127" s="1" t="s">
        <v>861</v>
      </c>
    </row>
    <row r="128">
      <c r="A128" s="6" t="s">
        <v>493</v>
      </c>
      <c r="B128" s="1" t="s">
        <v>871</v>
      </c>
    </row>
    <row r="129">
      <c r="A129" s="6" t="s">
        <v>497</v>
      </c>
      <c r="B129" s="1" t="s">
        <v>871</v>
      </c>
    </row>
    <row r="130">
      <c r="A130" s="6" t="s">
        <v>500</v>
      </c>
      <c r="B130" s="1" t="s">
        <v>861</v>
      </c>
    </row>
    <row r="131">
      <c r="A131" s="6" t="s">
        <v>504</v>
      </c>
      <c r="B131" s="1" t="s">
        <v>863</v>
      </c>
    </row>
    <row r="132">
      <c r="A132" s="6" t="s">
        <v>508</v>
      </c>
      <c r="B132" s="1" t="s">
        <v>863</v>
      </c>
    </row>
    <row r="133">
      <c r="A133" s="6" t="s">
        <v>512</v>
      </c>
      <c r="B133" s="1" t="s">
        <v>871</v>
      </c>
    </row>
    <row r="134">
      <c r="A134" s="6" t="s">
        <v>516</v>
      </c>
      <c r="B134" s="1" t="s">
        <v>871</v>
      </c>
    </row>
    <row r="135">
      <c r="A135" s="6" t="s">
        <v>518</v>
      </c>
      <c r="B135" s="1" t="s">
        <v>863</v>
      </c>
    </row>
    <row r="136">
      <c r="A136" s="6" t="s">
        <v>522</v>
      </c>
      <c r="B136" s="1" t="s">
        <v>871</v>
      </c>
    </row>
    <row r="137">
      <c r="A137" s="6" t="s">
        <v>526</v>
      </c>
      <c r="B137" s="1" t="s">
        <v>863</v>
      </c>
    </row>
    <row r="138">
      <c r="A138" s="6" t="s">
        <v>530</v>
      </c>
      <c r="B138" s="1" t="s">
        <v>863</v>
      </c>
    </row>
    <row r="139">
      <c r="A139" s="6" t="s">
        <v>534</v>
      </c>
      <c r="B139" s="1" t="s">
        <v>871</v>
      </c>
    </row>
    <row r="140">
      <c r="A140" s="6" t="s">
        <v>538</v>
      </c>
      <c r="B140" s="1" t="s">
        <v>861</v>
      </c>
    </row>
    <row r="141">
      <c r="A141" s="6" t="s">
        <v>542</v>
      </c>
      <c r="B141" s="1" t="s">
        <v>863</v>
      </c>
    </row>
    <row r="142">
      <c r="A142" s="6" t="s">
        <v>546</v>
      </c>
      <c r="B142" s="1" t="s">
        <v>871</v>
      </c>
    </row>
    <row r="143">
      <c r="A143" s="6" t="s">
        <v>550</v>
      </c>
      <c r="B143" s="1" t="s">
        <v>863</v>
      </c>
    </row>
    <row r="144">
      <c r="A144" s="6" t="s">
        <v>554</v>
      </c>
      <c r="B144" s="1" t="s">
        <v>863</v>
      </c>
    </row>
    <row r="145">
      <c r="A145" s="6" t="s">
        <v>556</v>
      </c>
      <c r="B145" s="1" t="s">
        <v>863</v>
      </c>
    </row>
    <row r="146">
      <c r="A146" s="6" t="s">
        <v>561</v>
      </c>
      <c r="B146" s="1" t="s">
        <v>871</v>
      </c>
    </row>
    <row r="147">
      <c r="A147" s="6" t="s">
        <v>564</v>
      </c>
      <c r="B147" s="1" t="s">
        <v>871</v>
      </c>
    </row>
    <row r="148">
      <c r="A148" s="6" t="s">
        <v>570</v>
      </c>
      <c r="B148" s="1" t="s">
        <v>871</v>
      </c>
    </row>
    <row r="149">
      <c r="A149" s="6" t="s">
        <v>574</v>
      </c>
      <c r="B149" s="1" t="s">
        <v>871</v>
      </c>
    </row>
    <row r="150">
      <c r="A150" s="6" t="s">
        <v>577</v>
      </c>
      <c r="B150" s="1" t="s">
        <v>871</v>
      </c>
    </row>
    <row r="151">
      <c r="A151" s="6" t="s">
        <v>581</v>
      </c>
      <c r="B151" s="1" t="s">
        <v>871</v>
      </c>
    </row>
    <row r="152">
      <c r="A152" s="6" t="s">
        <v>585</v>
      </c>
      <c r="B152" s="1" t="s">
        <v>871</v>
      </c>
    </row>
    <row r="153">
      <c r="A153" s="6" t="s">
        <v>589</v>
      </c>
      <c r="B153" s="1" t="s">
        <v>871</v>
      </c>
    </row>
    <row r="154">
      <c r="A154" s="6" t="s">
        <v>593</v>
      </c>
      <c r="B154" s="1" t="s">
        <v>871</v>
      </c>
    </row>
    <row r="155">
      <c r="A155" s="6" t="s">
        <v>597</v>
      </c>
      <c r="B155" s="1" t="s">
        <v>863</v>
      </c>
    </row>
    <row r="156">
      <c r="A156" s="6" t="s">
        <v>601</v>
      </c>
      <c r="B156" s="1" t="s">
        <v>871</v>
      </c>
    </row>
    <row r="157">
      <c r="A157" s="6" t="s">
        <v>603</v>
      </c>
      <c r="B157" s="1" t="s">
        <v>871</v>
      </c>
    </row>
    <row r="158">
      <c r="A158" s="6" t="s">
        <v>606</v>
      </c>
      <c r="B158" s="1" t="s">
        <v>863</v>
      </c>
    </row>
    <row r="159">
      <c r="A159" s="6" t="s">
        <v>610</v>
      </c>
      <c r="B159" s="1" t="s">
        <v>871</v>
      </c>
    </row>
    <row r="160">
      <c r="A160" s="6" t="s">
        <v>616</v>
      </c>
      <c r="B160" s="1" t="s">
        <v>863</v>
      </c>
    </row>
    <row r="161">
      <c r="A161" s="6" t="s">
        <v>620</v>
      </c>
      <c r="B161" s="1" t="s">
        <v>871</v>
      </c>
    </row>
    <row r="162">
      <c r="A162" s="6" t="s">
        <v>621</v>
      </c>
      <c r="B162" s="1" t="s">
        <v>871</v>
      </c>
    </row>
    <row r="163">
      <c r="A163" s="6" t="s">
        <v>625</v>
      </c>
      <c r="B163" s="1" t="s">
        <v>861</v>
      </c>
    </row>
    <row r="164">
      <c r="A164" s="6" t="s">
        <v>629</v>
      </c>
      <c r="B164" s="1" t="s">
        <v>861</v>
      </c>
    </row>
    <row r="165">
      <c r="A165" s="6" t="s">
        <v>633</v>
      </c>
      <c r="B165" s="1" t="s">
        <v>871</v>
      </c>
    </row>
    <row r="166">
      <c r="A166" s="6" t="s">
        <v>637</v>
      </c>
      <c r="B166" s="1" t="s">
        <v>871</v>
      </c>
    </row>
    <row r="167">
      <c r="A167" s="6" t="s">
        <v>641</v>
      </c>
      <c r="B167" s="1" t="s">
        <v>863</v>
      </c>
    </row>
    <row r="168">
      <c r="A168" s="6" t="s">
        <v>645</v>
      </c>
      <c r="B168" s="1" t="s">
        <v>863</v>
      </c>
    </row>
    <row r="169">
      <c r="A169" s="6" t="s">
        <v>648</v>
      </c>
      <c r="B169" s="1" t="s">
        <v>863</v>
      </c>
    </row>
    <row r="170">
      <c r="A170" s="6" t="s">
        <v>651</v>
      </c>
      <c r="B170" s="1" t="s">
        <v>863</v>
      </c>
    </row>
    <row r="171">
      <c r="A171" s="6" t="s">
        <v>654</v>
      </c>
      <c r="B171" s="1" t="s">
        <v>863</v>
      </c>
    </row>
    <row r="172">
      <c r="A172" s="6" t="s">
        <v>659</v>
      </c>
      <c r="B172" s="1" t="s">
        <v>871</v>
      </c>
    </row>
    <row r="173">
      <c r="A173" s="6" t="s">
        <v>666</v>
      </c>
      <c r="B173" s="1" t="s">
        <v>871</v>
      </c>
    </row>
    <row r="174">
      <c r="A174" s="6" t="s">
        <v>670</v>
      </c>
      <c r="B174" s="1" t="s">
        <v>871</v>
      </c>
    </row>
    <row r="175">
      <c r="A175" s="6" t="s">
        <v>676</v>
      </c>
      <c r="B175" s="1" t="s">
        <v>871</v>
      </c>
    </row>
    <row r="176">
      <c r="A176" s="6" t="s">
        <v>680</v>
      </c>
      <c r="B176" s="1" t="s">
        <v>871</v>
      </c>
    </row>
    <row r="177">
      <c r="A177" s="6" t="s">
        <v>681</v>
      </c>
      <c r="B177" s="1" t="s">
        <v>871</v>
      </c>
    </row>
    <row r="178">
      <c r="A178" s="6" t="s">
        <v>683</v>
      </c>
      <c r="B178" s="1" t="s">
        <v>871</v>
      </c>
    </row>
    <row r="179">
      <c r="A179" s="6" t="s">
        <v>687</v>
      </c>
      <c r="B179" s="1" t="s">
        <v>871</v>
      </c>
    </row>
    <row r="180">
      <c r="A180" s="6" t="s">
        <v>692</v>
      </c>
      <c r="B180" s="1" t="s">
        <v>871</v>
      </c>
    </row>
    <row r="181">
      <c r="A181" s="6" t="s">
        <v>696</v>
      </c>
      <c r="B181" s="1" t="s">
        <v>871</v>
      </c>
    </row>
    <row r="182">
      <c r="A182" s="6" t="s">
        <v>699</v>
      </c>
      <c r="B182" s="1" t="s">
        <v>871</v>
      </c>
    </row>
    <row r="183">
      <c r="A183" s="6" t="s">
        <v>703</v>
      </c>
      <c r="B183" s="1" t="s">
        <v>871</v>
      </c>
    </row>
    <row r="184">
      <c r="A184" s="6" t="s">
        <v>705</v>
      </c>
      <c r="B184" s="1" t="s">
        <v>871</v>
      </c>
    </row>
    <row r="185">
      <c r="A185" s="6" t="s">
        <v>708</v>
      </c>
      <c r="B185" s="1" t="s">
        <v>863</v>
      </c>
    </row>
    <row r="186">
      <c r="A186" s="6" t="s">
        <v>711</v>
      </c>
      <c r="B186" s="1" t="s">
        <v>871</v>
      </c>
    </row>
    <row r="187">
      <c r="A187" s="6" t="s">
        <v>712</v>
      </c>
      <c r="B187" s="1" t="s">
        <v>863</v>
      </c>
    </row>
    <row r="188">
      <c r="A188" s="6" t="s">
        <v>715</v>
      </c>
      <c r="B188" s="1" t="s">
        <v>863</v>
      </c>
    </row>
    <row r="189">
      <c r="A189" s="6" t="s">
        <v>719</v>
      </c>
      <c r="B189" s="1" t="s">
        <v>861</v>
      </c>
    </row>
    <row r="190">
      <c r="A190" s="6" t="s">
        <v>722</v>
      </c>
      <c r="B190" s="1" t="s">
        <v>871</v>
      </c>
    </row>
    <row r="191">
      <c r="A191" s="6" t="s">
        <v>723</v>
      </c>
      <c r="B191" s="1" t="s">
        <v>863</v>
      </c>
    </row>
    <row r="192">
      <c r="A192" s="6" t="s">
        <v>727</v>
      </c>
      <c r="B192" s="1" t="s">
        <v>871</v>
      </c>
    </row>
    <row r="193">
      <c r="A193" s="6" t="s">
        <v>731</v>
      </c>
      <c r="B193" s="1" t="s">
        <v>863</v>
      </c>
    </row>
    <row r="194">
      <c r="A194" s="6" t="s">
        <v>735</v>
      </c>
      <c r="B194" s="1" t="s">
        <v>871</v>
      </c>
    </row>
    <row r="195">
      <c r="A195" s="6" t="s">
        <v>738</v>
      </c>
      <c r="B195" s="1" t="s">
        <v>871</v>
      </c>
    </row>
    <row r="196">
      <c r="A196" s="6" t="s">
        <v>740</v>
      </c>
      <c r="B196" s="1" t="s">
        <v>871</v>
      </c>
    </row>
    <row r="197">
      <c r="A197" s="6" t="s">
        <v>742</v>
      </c>
      <c r="B197" s="1" t="s">
        <v>871</v>
      </c>
    </row>
    <row r="198">
      <c r="A198" s="6" t="s">
        <v>747</v>
      </c>
      <c r="B198" s="1" t="s">
        <v>871</v>
      </c>
    </row>
    <row r="199">
      <c r="A199" s="6" t="s">
        <v>748</v>
      </c>
      <c r="B199" s="1" t="s">
        <v>871</v>
      </c>
    </row>
    <row r="200">
      <c r="A200" s="6" t="s">
        <v>751</v>
      </c>
      <c r="B200" s="1" t="s">
        <v>863</v>
      </c>
    </row>
    <row r="201">
      <c r="A201" s="6" t="s">
        <v>755</v>
      </c>
      <c r="B201" s="1" t="s">
        <v>871</v>
      </c>
    </row>
    <row r="202">
      <c r="A202" s="6" t="s">
        <v>758</v>
      </c>
      <c r="B202" s="1" t="s">
        <v>871</v>
      </c>
    </row>
    <row r="203">
      <c r="A203" s="6" t="s">
        <v>761</v>
      </c>
      <c r="B203" s="1" t="s">
        <v>863</v>
      </c>
    </row>
    <row r="204">
      <c r="A204" s="6" t="s">
        <v>765</v>
      </c>
      <c r="B204" s="1" t="s">
        <v>863</v>
      </c>
    </row>
    <row r="205">
      <c r="A205" s="6" t="s">
        <v>769</v>
      </c>
      <c r="B205" s="1" t="s">
        <v>863</v>
      </c>
    </row>
    <row r="206">
      <c r="A206" s="6" t="s">
        <v>772</v>
      </c>
      <c r="B206" s="1" t="s">
        <v>863</v>
      </c>
    </row>
    <row r="207">
      <c r="A207" s="6" t="s">
        <v>776</v>
      </c>
      <c r="B207" s="1" t="s">
        <v>861</v>
      </c>
    </row>
    <row r="208">
      <c r="A208" s="6" t="s">
        <v>779</v>
      </c>
      <c r="B208" s="1" t="s">
        <v>861</v>
      </c>
    </row>
    <row r="209">
      <c r="A209" s="6" t="s">
        <v>782</v>
      </c>
      <c r="B209" s="1" t="s">
        <v>861</v>
      </c>
    </row>
    <row r="210">
      <c r="A210" s="6" t="s">
        <v>785</v>
      </c>
      <c r="B210" s="1" t="s">
        <v>871</v>
      </c>
    </row>
    <row r="211">
      <c r="A211" s="6" t="s">
        <v>788</v>
      </c>
      <c r="B211" s="1" t="s">
        <v>871</v>
      </c>
    </row>
    <row r="212">
      <c r="A212" s="6" t="s">
        <v>792</v>
      </c>
      <c r="B212" s="1" t="s">
        <v>871</v>
      </c>
    </row>
    <row r="213">
      <c r="A213" s="6" t="s">
        <v>795</v>
      </c>
      <c r="B213" s="1" t="s">
        <v>871</v>
      </c>
    </row>
    <row r="214">
      <c r="A214" s="6" t="s">
        <v>799</v>
      </c>
      <c r="B214" s="1" t="s">
        <v>871</v>
      </c>
    </row>
    <row r="215">
      <c r="A215" s="6" t="s">
        <v>803</v>
      </c>
      <c r="B215" s="1" t="s">
        <v>871</v>
      </c>
    </row>
    <row r="216">
      <c r="A216" s="6" t="s">
        <v>806</v>
      </c>
      <c r="B216" s="1" t="s">
        <v>871</v>
      </c>
    </row>
    <row r="217">
      <c r="A217" s="6" t="s">
        <v>810</v>
      </c>
      <c r="B217" s="1" t="s">
        <v>871</v>
      </c>
    </row>
    <row r="218">
      <c r="A218" s="6" t="s">
        <v>813</v>
      </c>
      <c r="B218" s="1" t="s">
        <v>863</v>
      </c>
    </row>
    <row r="219">
      <c r="A219" s="6" t="s">
        <v>817</v>
      </c>
      <c r="B219" s="1" t="s">
        <v>871</v>
      </c>
    </row>
    <row r="220">
      <c r="A220" s="6" t="s">
        <v>820</v>
      </c>
      <c r="B220" s="1" t="s">
        <v>863</v>
      </c>
    </row>
    <row r="221">
      <c r="A221" s="6" t="s">
        <v>823</v>
      </c>
      <c r="B221" s="1" t="s">
        <v>871</v>
      </c>
    </row>
    <row r="222">
      <c r="A222" s="6" t="s">
        <v>826</v>
      </c>
      <c r="B222" s="1" t="s">
        <v>863</v>
      </c>
    </row>
    <row r="223">
      <c r="A223" s="6" t="s">
        <v>829</v>
      </c>
      <c r="B223" s="1" t="s">
        <v>871</v>
      </c>
    </row>
    <row r="224">
      <c r="A224" s="6" t="s">
        <v>1157</v>
      </c>
      <c r="B224" s="1" t="s">
        <v>871</v>
      </c>
    </row>
    <row r="225">
      <c r="A225" s="6" t="s">
        <v>835</v>
      </c>
      <c r="B225" s="1" t="s">
        <v>871</v>
      </c>
    </row>
    <row r="226">
      <c r="A226" s="6" t="s">
        <v>1164</v>
      </c>
      <c r="B226" s="1" t="s">
        <v>871</v>
      </c>
    </row>
    <row r="227">
      <c r="A227" s="6" t="s">
        <v>842</v>
      </c>
      <c r="B227" s="1" t="s">
        <v>871</v>
      </c>
    </row>
    <row r="228">
      <c r="A228" s="6" t="s">
        <v>844</v>
      </c>
      <c r="B228" s="1" t="s">
        <v>871</v>
      </c>
    </row>
    <row r="229">
      <c r="A229" s="6" t="s">
        <v>846</v>
      </c>
      <c r="B229" s="1" t="s">
        <v>871</v>
      </c>
    </row>
    <row r="230">
      <c r="A230" s="6" t="s">
        <v>849</v>
      </c>
      <c r="B230" s="1" t="s">
        <v>871</v>
      </c>
    </row>
    <row r="231">
      <c r="A231" s="6" t="s">
        <v>853</v>
      </c>
      <c r="B231" s="1" t="s">
        <v>871</v>
      </c>
    </row>
    <row r="232">
      <c r="A232" s="6" t="s">
        <v>856</v>
      </c>
      <c r="B232" s="1" t="s">
        <v>871</v>
      </c>
    </row>
    <row r="233">
      <c r="A233" s="6" t="s">
        <v>862</v>
      </c>
      <c r="B233" s="1" t="s">
        <v>861</v>
      </c>
    </row>
    <row r="234">
      <c r="A234" s="6" t="s">
        <v>864</v>
      </c>
      <c r="B234" s="1" t="s">
        <v>863</v>
      </c>
    </row>
    <row r="235">
      <c r="A235" s="6" t="s">
        <v>866</v>
      </c>
      <c r="B235" s="1" t="s">
        <v>863</v>
      </c>
    </row>
    <row r="236">
      <c r="A236" s="6" t="s">
        <v>868</v>
      </c>
      <c r="B236" s="1" t="s">
        <v>863</v>
      </c>
    </row>
    <row r="237">
      <c r="A237" s="6" t="s">
        <v>870</v>
      </c>
      <c r="B237" s="1" t="s">
        <v>863</v>
      </c>
    </row>
    <row r="238">
      <c r="A238" s="6" t="s">
        <v>872</v>
      </c>
      <c r="B238" s="1" t="s">
        <v>871</v>
      </c>
    </row>
    <row r="239">
      <c r="A239" s="6" t="s">
        <v>874</v>
      </c>
      <c r="B239" s="1" t="s">
        <v>863</v>
      </c>
    </row>
    <row r="240">
      <c r="A240" s="6" t="s">
        <v>876</v>
      </c>
      <c r="B240" s="1" t="s">
        <v>871</v>
      </c>
    </row>
    <row r="241">
      <c r="A241" s="6" t="s">
        <v>878</v>
      </c>
      <c r="B241" s="1" t="s">
        <v>871</v>
      </c>
    </row>
    <row r="242">
      <c r="A242" s="6" t="s">
        <v>880</v>
      </c>
      <c r="B242" s="1" t="s">
        <v>871</v>
      </c>
    </row>
    <row r="243">
      <c r="A243" s="6" t="s">
        <v>882</v>
      </c>
      <c r="B243" s="1" t="s">
        <v>863</v>
      </c>
    </row>
    <row r="244">
      <c r="A244" s="6" t="s">
        <v>884</v>
      </c>
      <c r="B244" s="1" t="s">
        <v>871</v>
      </c>
    </row>
    <row r="245">
      <c r="A245" s="6" t="s">
        <v>886</v>
      </c>
      <c r="B245" s="1" t="s">
        <v>871</v>
      </c>
    </row>
    <row r="246">
      <c r="A246" s="6" t="s">
        <v>888</v>
      </c>
      <c r="B246" s="1" t="s">
        <v>871</v>
      </c>
    </row>
    <row r="247">
      <c r="A247" s="6" t="s">
        <v>889</v>
      </c>
      <c r="B247" s="1" t="s">
        <v>871</v>
      </c>
    </row>
    <row r="248">
      <c r="A248" s="6" t="s">
        <v>893</v>
      </c>
      <c r="B248" s="1" t="s">
        <v>871</v>
      </c>
    </row>
    <row r="249">
      <c r="A249" s="6" t="s">
        <v>894</v>
      </c>
      <c r="B249" s="1" t="s">
        <v>871</v>
      </c>
    </row>
    <row r="250">
      <c r="A250" s="6" t="s">
        <v>897</v>
      </c>
      <c r="B250" s="1" t="s">
        <v>871</v>
      </c>
    </row>
    <row r="251">
      <c r="A251" s="6" t="s">
        <v>898</v>
      </c>
      <c r="B251" s="1" t="s">
        <v>871</v>
      </c>
    </row>
    <row r="252">
      <c r="A252" s="6" t="s">
        <v>899</v>
      </c>
      <c r="B252" s="1" t="s">
        <v>871</v>
      </c>
    </row>
    <row r="253">
      <c r="A253" s="6" t="s">
        <v>902</v>
      </c>
      <c r="B253" s="1" t="s">
        <v>861</v>
      </c>
    </row>
    <row r="254">
      <c r="A254" s="6" t="s">
        <v>903</v>
      </c>
      <c r="B254" s="1" t="s">
        <v>871</v>
      </c>
    </row>
    <row r="255">
      <c r="A255" s="6" t="s">
        <v>905</v>
      </c>
      <c r="B255" s="1" t="s">
        <v>861</v>
      </c>
    </row>
    <row r="256">
      <c r="A256" s="6" t="s">
        <v>906</v>
      </c>
      <c r="B256" s="1" t="s">
        <v>861</v>
      </c>
    </row>
    <row r="257">
      <c r="A257" s="6" t="s">
        <v>907</v>
      </c>
      <c r="B257" s="1" t="s">
        <v>861</v>
      </c>
    </row>
    <row r="258">
      <c r="A258" s="6" t="s">
        <v>909</v>
      </c>
      <c r="B258" s="1" t="s">
        <v>871</v>
      </c>
    </row>
    <row r="259">
      <c r="A259" s="6" t="s">
        <v>910</v>
      </c>
      <c r="B259" s="1" t="s">
        <v>861</v>
      </c>
    </row>
    <row r="260">
      <c r="A260" s="6" t="s">
        <v>913</v>
      </c>
      <c r="B260" s="1" t="s">
        <v>871</v>
      </c>
    </row>
    <row r="261">
      <c r="A261" s="6" t="s">
        <v>915</v>
      </c>
      <c r="B261" s="1" t="s">
        <v>871</v>
      </c>
    </row>
    <row r="262">
      <c r="A262" s="6" t="s">
        <v>917</v>
      </c>
      <c r="B262" s="1" t="s">
        <v>871</v>
      </c>
    </row>
    <row r="263">
      <c r="A263" s="6" t="s">
        <v>919</v>
      </c>
      <c r="B263" s="1" t="s">
        <v>871</v>
      </c>
    </row>
    <row r="264">
      <c r="A264" s="6" t="s">
        <v>920</v>
      </c>
      <c r="B264" s="1" t="s">
        <v>871</v>
      </c>
    </row>
    <row r="265">
      <c r="A265" s="6" t="s">
        <v>921</v>
      </c>
      <c r="B265" s="1" t="s">
        <v>871</v>
      </c>
    </row>
    <row r="266">
      <c r="A266" s="6" t="s">
        <v>922</v>
      </c>
      <c r="B266" s="1" t="s">
        <v>871</v>
      </c>
    </row>
    <row r="267">
      <c r="A267" s="6" t="s">
        <v>924</v>
      </c>
      <c r="B267" s="1" t="s">
        <v>871</v>
      </c>
    </row>
    <row r="268">
      <c r="A268" s="6" t="s">
        <v>926</v>
      </c>
      <c r="B268" s="1" t="s">
        <v>863</v>
      </c>
    </row>
    <row r="269">
      <c r="A269" s="6" t="s">
        <v>927</v>
      </c>
      <c r="B269" s="1" t="s">
        <v>863</v>
      </c>
    </row>
    <row r="270">
      <c r="A270" s="6" t="s">
        <v>929</v>
      </c>
      <c r="B270" s="1" t="s">
        <v>863</v>
      </c>
    </row>
    <row r="271">
      <c r="A271" s="6" t="s">
        <v>931</v>
      </c>
      <c r="B271" s="1" t="s">
        <v>863</v>
      </c>
    </row>
    <row r="272">
      <c r="A272" s="6" t="s">
        <v>932</v>
      </c>
      <c r="B272" s="1" t="s">
        <v>863</v>
      </c>
    </row>
    <row r="273">
      <c r="A273" s="6" t="s">
        <v>933</v>
      </c>
      <c r="B273" s="1" t="s">
        <v>871</v>
      </c>
    </row>
    <row r="274">
      <c r="A274" s="6" t="s">
        <v>935</v>
      </c>
      <c r="B274" s="1" t="s">
        <v>863</v>
      </c>
    </row>
    <row r="275">
      <c r="A275" s="6" t="s">
        <v>937</v>
      </c>
      <c r="B275" s="1" t="s">
        <v>863</v>
      </c>
    </row>
    <row r="276">
      <c r="A276" s="6" t="s">
        <v>939</v>
      </c>
      <c r="B276" s="1" t="s">
        <v>863</v>
      </c>
    </row>
    <row r="277">
      <c r="A277" s="6" t="s">
        <v>941</v>
      </c>
      <c r="B277" s="1" t="s">
        <v>863</v>
      </c>
    </row>
    <row r="278">
      <c r="A278" s="6" t="s">
        <v>943</v>
      </c>
      <c r="B278" s="1" t="s">
        <v>863</v>
      </c>
    </row>
    <row r="279">
      <c r="A279" s="6" t="s">
        <v>945</v>
      </c>
      <c r="B279" s="1" t="s">
        <v>863</v>
      </c>
    </row>
    <row r="280">
      <c r="A280" s="6" t="s">
        <v>947</v>
      </c>
      <c r="B280" s="1" t="s">
        <v>863</v>
      </c>
    </row>
    <row r="281">
      <c r="A281" s="6" t="s">
        <v>949</v>
      </c>
      <c r="B281" s="1" t="s">
        <v>863</v>
      </c>
    </row>
    <row r="282">
      <c r="A282" s="6" t="s">
        <v>950</v>
      </c>
      <c r="B282" s="1" t="s">
        <v>871</v>
      </c>
    </row>
    <row r="283">
      <c r="A283" s="6" t="s">
        <v>952</v>
      </c>
      <c r="B283" s="1" t="s">
        <v>871</v>
      </c>
    </row>
    <row r="284">
      <c r="A284" s="6" t="s">
        <v>953</v>
      </c>
      <c r="B284" s="1" t="s">
        <v>871</v>
      </c>
    </row>
    <row r="285">
      <c r="A285" s="6" t="s">
        <v>954</v>
      </c>
      <c r="B285" s="1" t="s">
        <v>863</v>
      </c>
    </row>
    <row r="286">
      <c r="A286" s="6" t="s">
        <v>956</v>
      </c>
      <c r="B286" s="1" t="s">
        <v>863</v>
      </c>
    </row>
    <row r="287">
      <c r="A287" s="6" t="s">
        <v>958</v>
      </c>
      <c r="B287" s="1" t="s">
        <v>863</v>
      </c>
    </row>
    <row r="288">
      <c r="A288" s="6" t="s">
        <v>960</v>
      </c>
      <c r="B288" s="1" t="s">
        <v>861</v>
      </c>
    </row>
    <row r="289">
      <c r="A289" s="6" t="s">
        <v>962</v>
      </c>
      <c r="B289" s="1" t="s">
        <v>863</v>
      </c>
    </row>
    <row r="290">
      <c r="A290" s="6" t="s">
        <v>964</v>
      </c>
      <c r="B290" s="1" t="s">
        <v>871</v>
      </c>
    </row>
    <row r="291">
      <c r="A291" s="6" t="s">
        <v>966</v>
      </c>
      <c r="B291" s="1" t="s">
        <v>863</v>
      </c>
    </row>
    <row r="292">
      <c r="A292" s="6" t="s">
        <v>968</v>
      </c>
      <c r="B292" s="1" t="s">
        <v>871</v>
      </c>
    </row>
    <row r="293">
      <c r="A293" s="6" t="s">
        <v>970</v>
      </c>
      <c r="B293" s="1" t="s">
        <v>863</v>
      </c>
    </row>
    <row r="294">
      <c r="A294" s="6" t="s">
        <v>972</v>
      </c>
      <c r="B294" s="1" t="s">
        <v>863</v>
      </c>
    </row>
    <row r="295">
      <c r="A295" s="6" t="s">
        <v>974</v>
      </c>
      <c r="B295" s="1" t="s">
        <v>871</v>
      </c>
    </row>
    <row r="296">
      <c r="A296" s="6" t="s">
        <v>976</v>
      </c>
      <c r="B296" s="1" t="s">
        <v>871</v>
      </c>
    </row>
    <row r="297">
      <c r="A297" s="6" t="s">
        <v>977</v>
      </c>
      <c r="B297" s="1" t="s">
        <v>863</v>
      </c>
    </row>
    <row r="298">
      <c r="A298" s="6" t="s">
        <v>978</v>
      </c>
      <c r="B298" s="1" t="s">
        <v>871</v>
      </c>
    </row>
    <row r="299">
      <c r="A299" s="6" t="s">
        <v>980</v>
      </c>
      <c r="B299" s="1" t="s">
        <v>861</v>
      </c>
    </row>
    <row r="300">
      <c r="A300" s="6" t="s">
        <v>984</v>
      </c>
      <c r="B300" s="1" t="s">
        <v>863</v>
      </c>
    </row>
    <row r="301">
      <c r="A301" s="6" t="s">
        <v>988</v>
      </c>
      <c r="B301" s="1" t="s">
        <v>863</v>
      </c>
    </row>
    <row r="302">
      <c r="A302" s="6" t="s">
        <v>990</v>
      </c>
      <c r="B302" s="1" t="s">
        <v>863</v>
      </c>
    </row>
    <row r="303">
      <c r="A303" s="6" t="s">
        <v>992</v>
      </c>
      <c r="B303" s="1" t="s">
        <v>863</v>
      </c>
    </row>
    <row r="304">
      <c r="A304" s="6" t="s">
        <v>994</v>
      </c>
      <c r="B304" s="1" t="s">
        <v>863</v>
      </c>
    </row>
    <row r="305">
      <c r="A305" s="6" t="s">
        <v>996</v>
      </c>
      <c r="B305" s="1" t="s">
        <v>871</v>
      </c>
    </row>
    <row r="306">
      <c r="A306" s="6" t="s">
        <v>998</v>
      </c>
      <c r="B306" s="1" t="s">
        <v>863</v>
      </c>
    </row>
    <row r="307">
      <c r="A307" s="6" t="s">
        <v>1000</v>
      </c>
      <c r="B307" s="1" t="s">
        <v>863</v>
      </c>
    </row>
    <row r="308">
      <c r="A308" s="6" t="s">
        <v>1002</v>
      </c>
      <c r="B308" s="1" t="s">
        <v>871</v>
      </c>
    </row>
    <row r="309">
      <c r="A309" s="6" t="s">
        <v>1004</v>
      </c>
      <c r="B309" s="1" t="s">
        <v>871</v>
      </c>
    </row>
    <row r="310">
      <c r="A310" s="6" t="s">
        <v>1006</v>
      </c>
      <c r="B310" s="1" t="s">
        <v>861</v>
      </c>
    </row>
    <row r="311">
      <c r="A311" s="6" t="s">
        <v>1007</v>
      </c>
      <c r="B311" s="1" t="s">
        <v>871</v>
      </c>
    </row>
    <row r="312">
      <c r="A312" s="6" t="s">
        <v>1009</v>
      </c>
      <c r="B312" s="1" t="s">
        <v>871</v>
      </c>
    </row>
    <row r="313">
      <c r="A313" s="6" t="s">
        <v>1010</v>
      </c>
      <c r="B313" s="1" t="s">
        <v>861</v>
      </c>
    </row>
    <row r="314">
      <c r="A314" s="6" t="s">
        <v>1012</v>
      </c>
      <c r="B314" s="1" t="s">
        <v>863</v>
      </c>
    </row>
    <row r="315">
      <c r="A315" s="6" t="s">
        <v>1014</v>
      </c>
      <c r="B315" s="1" t="s">
        <v>863</v>
      </c>
    </row>
    <row r="316">
      <c r="A316" s="6" t="s">
        <v>1016</v>
      </c>
      <c r="B316" s="1" t="s">
        <v>871</v>
      </c>
    </row>
    <row r="317">
      <c r="A317" s="6" t="s">
        <v>1018</v>
      </c>
      <c r="B317" s="1" t="s">
        <v>863</v>
      </c>
    </row>
    <row r="318">
      <c r="A318" s="6" t="s">
        <v>1020</v>
      </c>
      <c r="B318" s="1" t="s">
        <v>871</v>
      </c>
    </row>
    <row r="319">
      <c r="A319" s="6" t="s">
        <v>1022</v>
      </c>
      <c r="B319" s="1" t="s">
        <v>863</v>
      </c>
    </row>
    <row r="320">
      <c r="A320" s="6" t="s">
        <v>1024</v>
      </c>
      <c r="B320" s="1" t="s">
        <v>863</v>
      </c>
    </row>
    <row r="321">
      <c r="A321" s="6" t="s">
        <v>1026</v>
      </c>
      <c r="B321" s="1" t="s">
        <v>871</v>
      </c>
    </row>
    <row r="322">
      <c r="A322" s="6" t="s">
        <v>1028</v>
      </c>
      <c r="B322" s="1" t="s">
        <v>861</v>
      </c>
    </row>
    <row r="323">
      <c r="A323" s="6" t="s">
        <v>1030</v>
      </c>
      <c r="B323" s="1" t="s">
        <v>863</v>
      </c>
    </row>
    <row r="324">
      <c r="A324" s="6" t="s">
        <v>1032</v>
      </c>
      <c r="B324" s="1" t="s">
        <v>871</v>
      </c>
    </row>
    <row r="325">
      <c r="A325" s="6" t="s">
        <v>1034</v>
      </c>
      <c r="B325" s="1" t="s">
        <v>863</v>
      </c>
    </row>
    <row r="326">
      <c r="A326" s="6" t="s">
        <v>1036</v>
      </c>
      <c r="B326" s="1" t="s">
        <v>863</v>
      </c>
    </row>
    <row r="327">
      <c r="A327" s="6" t="s">
        <v>1037</v>
      </c>
      <c r="B327" s="1" t="s">
        <v>871</v>
      </c>
    </row>
    <row r="328">
      <c r="A328" s="6" t="s">
        <v>1039</v>
      </c>
      <c r="B328" s="1" t="s">
        <v>871</v>
      </c>
    </row>
    <row r="329">
      <c r="A329" s="6" t="s">
        <v>1041</v>
      </c>
      <c r="B329" s="1" t="s">
        <v>871</v>
      </c>
    </row>
    <row r="330">
      <c r="A330" s="6" t="s">
        <v>1042</v>
      </c>
      <c r="B330" s="1" t="s">
        <v>871</v>
      </c>
    </row>
    <row r="331">
      <c r="A331" s="6" t="s">
        <v>1044</v>
      </c>
      <c r="B331" s="1" t="s">
        <v>871</v>
      </c>
    </row>
    <row r="332">
      <c r="A332" s="6" t="s">
        <v>1046</v>
      </c>
      <c r="B332" s="1" t="s">
        <v>871</v>
      </c>
    </row>
    <row r="333">
      <c r="A333" s="6" t="s">
        <v>1047</v>
      </c>
      <c r="B333" s="1" t="s">
        <v>871</v>
      </c>
    </row>
    <row r="334">
      <c r="A334" s="6" t="s">
        <v>1049</v>
      </c>
      <c r="B334" s="1" t="s">
        <v>871</v>
      </c>
    </row>
    <row r="335">
      <c r="A335" s="6" t="s">
        <v>1051</v>
      </c>
      <c r="B335" s="1" t="s">
        <v>863</v>
      </c>
    </row>
    <row r="336">
      <c r="A336" s="6" t="s">
        <v>1053</v>
      </c>
      <c r="B336" s="1" t="s">
        <v>871</v>
      </c>
    </row>
    <row r="337">
      <c r="A337" s="6" t="s">
        <v>1056</v>
      </c>
      <c r="B337" s="1" t="s">
        <v>863</v>
      </c>
    </row>
    <row r="338">
      <c r="A338" s="6" t="s">
        <v>1059</v>
      </c>
      <c r="B338" s="1" t="s">
        <v>871</v>
      </c>
    </row>
    <row r="339">
      <c r="A339" s="6" t="s">
        <v>1061</v>
      </c>
      <c r="B339" s="1" t="s">
        <v>863</v>
      </c>
    </row>
    <row r="340">
      <c r="A340" s="6" t="s">
        <v>1063</v>
      </c>
      <c r="B340" s="1" t="s">
        <v>871</v>
      </c>
    </row>
    <row r="341">
      <c r="A341" s="6" t="s">
        <v>1065</v>
      </c>
      <c r="B341" s="1" t="s">
        <v>861</v>
      </c>
    </row>
    <row r="342">
      <c r="A342" s="6" t="s">
        <v>1067</v>
      </c>
      <c r="B342" s="1" t="s">
        <v>861</v>
      </c>
    </row>
    <row r="343">
      <c r="A343" s="6" t="s">
        <v>1069</v>
      </c>
      <c r="B343" s="1" t="s">
        <v>871</v>
      </c>
    </row>
    <row r="344">
      <c r="A344" s="6" t="s">
        <v>1071</v>
      </c>
      <c r="B344" s="1" t="s">
        <v>871</v>
      </c>
    </row>
    <row r="345">
      <c r="A345" s="6" t="s">
        <v>1072</v>
      </c>
      <c r="B345" s="1" t="s">
        <v>863</v>
      </c>
    </row>
    <row r="346">
      <c r="A346" s="6" t="s">
        <v>1073</v>
      </c>
      <c r="B346" s="1" t="s">
        <v>863</v>
      </c>
    </row>
    <row r="347">
      <c r="A347" s="6" t="s">
        <v>1075</v>
      </c>
      <c r="B347" s="1" t="s">
        <v>863</v>
      </c>
    </row>
    <row r="348">
      <c r="A348" s="6" t="s">
        <v>1077</v>
      </c>
      <c r="B348" s="1" t="s">
        <v>863</v>
      </c>
    </row>
    <row r="349">
      <c r="A349" s="6" t="s">
        <v>1079</v>
      </c>
      <c r="B349" s="1" t="s">
        <v>863</v>
      </c>
    </row>
    <row r="350">
      <c r="A350" s="6" t="s">
        <v>1081</v>
      </c>
      <c r="B350" s="1" t="s">
        <v>871</v>
      </c>
    </row>
    <row r="351">
      <c r="A351" s="6" t="s">
        <v>1083</v>
      </c>
      <c r="B351" s="1" t="s">
        <v>871</v>
      </c>
    </row>
    <row r="352">
      <c r="A352" s="6" t="s">
        <v>1085</v>
      </c>
      <c r="B352" s="1" t="s">
        <v>871</v>
      </c>
    </row>
    <row r="353">
      <c r="A353" s="6" t="s">
        <v>1086</v>
      </c>
      <c r="B353" s="1" t="s">
        <v>871</v>
      </c>
    </row>
    <row r="354">
      <c r="A354" s="6" t="s">
        <v>1087</v>
      </c>
      <c r="B354" s="1" t="s">
        <v>871</v>
      </c>
    </row>
    <row r="355">
      <c r="A355" s="6" t="s">
        <v>1089</v>
      </c>
      <c r="B355" s="1" t="s">
        <v>871</v>
      </c>
    </row>
    <row r="356">
      <c r="A356" s="6" t="s">
        <v>1091</v>
      </c>
      <c r="B356" s="1" t="s">
        <v>871</v>
      </c>
    </row>
    <row r="357">
      <c r="A357" s="6" t="s">
        <v>1093</v>
      </c>
      <c r="B357" s="1" t="s">
        <v>871</v>
      </c>
    </row>
    <row r="358">
      <c r="A358" s="6" t="s">
        <v>1094</v>
      </c>
      <c r="B358" s="1" t="s">
        <v>871</v>
      </c>
    </row>
    <row r="359">
      <c r="A359" s="6" t="s">
        <v>1096</v>
      </c>
      <c r="B359" s="1" t="s">
        <v>871</v>
      </c>
    </row>
    <row r="360">
      <c r="A360" s="6" t="s">
        <v>1098</v>
      </c>
      <c r="B360" s="1" t="s">
        <v>863</v>
      </c>
    </row>
    <row r="361">
      <c r="A361" s="6" t="s">
        <v>1100</v>
      </c>
      <c r="B361" s="1" t="s">
        <v>863</v>
      </c>
    </row>
    <row r="362">
      <c r="A362" s="6" t="s">
        <v>1102</v>
      </c>
      <c r="B362" s="1" t="s">
        <v>863</v>
      </c>
    </row>
    <row r="363">
      <c r="A363" s="6" t="s">
        <v>1103</v>
      </c>
      <c r="B363" s="1" t="s">
        <v>861</v>
      </c>
    </row>
    <row r="364">
      <c r="A364" s="6" t="s">
        <v>1105</v>
      </c>
      <c r="B364" s="1" t="s">
        <v>863</v>
      </c>
    </row>
    <row r="365">
      <c r="A365" s="6" t="s">
        <v>1106</v>
      </c>
      <c r="B365" s="1" t="s">
        <v>871</v>
      </c>
    </row>
    <row r="366">
      <c r="A366" s="6" t="s">
        <v>1107</v>
      </c>
      <c r="B366" s="1" t="s">
        <v>863</v>
      </c>
    </row>
    <row r="367">
      <c r="A367" s="6" t="s">
        <v>736</v>
      </c>
      <c r="B367" s="1" t="s">
        <v>871</v>
      </c>
    </row>
    <row r="368">
      <c r="A368" s="6" t="s">
        <v>1108</v>
      </c>
      <c r="B368" s="1" t="s">
        <v>871</v>
      </c>
    </row>
    <row r="369">
      <c r="A369" s="6" t="s">
        <v>1109</v>
      </c>
      <c r="B369" s="1" t="s">
        <v>871</v>
      </c>
    </row>
    <row r="370">
      <c r="A370" s="6" t="s">
        <v>1110</v>
      </c>
      <c r="B370" s="1" t="s">
        <v>871</v>
      </c>
    </row>
    <row r="371">
      <c r="A371" s="6" t="s">
        <v>1111</v>
      </c>
      <c r="B371" s="1" t="s">
        <v>871</v>
      </c>
    </row>
    <row r="372">
      <c r="A372" s="6" t="s">
        <v>1112</v>
      </c>
      <c r="B372" s="1" t="s">
        <v>863</v>
      </c>
    </row>
    <row r="373">
      <c r="A373" s="6" t="s">
        <v>1114</v>
      </c>
      <c r="B373" s="1" t="s">
        <v>871</v>
      </c>
    </row>
    <row r="374">
      <c r="A374" s="6" t="s">
        <v>1116</v>
      </c>
      <c r="B374" s="1" t="s">
        <v>871</v>
      </c>
    </row>
    <row r="375">
      <c r="A375" s="6" t="s">
        <v>1118</v>
      </c>
      <c r="B375" s="1" t="s">
        <v>863</v>
      </c>
    </row>
    <row r="376">
      <c r="A376" s="6" t="s">
        <v>1120</v>
      </c>
      <c r="B376" s="1" t="s">
        <v>863</v>
      </c>
    </row>
    <row r="377">
      <c r="A377" s="6" t="s">
        <v>1122</v>
      </c>
      <c r="B377" s="1" t="s">
        <v>863</v>
      </c>
    </row>
    <row r="378">
      <c r="A378" s="6" t="s">
        <v>1123</v>
      </c>
      <c r="B378" s="1" t="s">
        <v>863</v>
      </c>
    </row>
    <row r="379">
      <c r="A379" s="6" t="s">
        <v>1125</v>
      </c>
      <c r="B379" s="1" t="s">
        <v>861</v>
      </c>
    </row>
    <row r="380">
      <c r="A380" s="6" t="s">
        <v>1127</v>
      </c>
      <c r="B380" s="1" t="s">
        <v>861</v>
      </c>
    </row>
    <row r="381">
      <c r="A381" s="6" t="s">
        <v>1129</v>
      </c>
      <c r="B381" s="1" t="s">
        <v>861</v>
      </c>
    </row>
    <row r="382">
      <c r="A382" s="6" t="s">
        <v>1131</v>
      </c>
      <c r="B382" s="1" t="s">
        <v>871</v>
      </c>
    </row>
    <row r="383">
      <c r="A383" s="6" t="s">
        <v>1134</v>
      </c>
      <c r="B383" s="1" t="s">
        <v>871</v>
      </c>
    </row>
    <row r="384">
      <c r="A384" s="6" t="s">
        <v>1137</v>
      </c>
      <c r="B384" s="1" t="s">
        <v>871</v>
      </c>
    </row>
    <row r="385">
      <c r="A385" s="6" t="s">
        <v>1139</v>
      </c>
      <c r="B385" s="1" t="s">
        <v>871</v>
      </c>
    </row>
    <row r="386">
      <c r="A386" s="6" t="s">
        <v>1141</v>
      </c>
      <c r="B386" s="1" t="s">
        <v>871</v>
      </c>
    </row>
    <row r="387">
      <c r="A387" s="6" t="s">
        <v>1143</v>
      </c>
      <c r="B387" s="1" t="s">
        <v>871</v>
      </c>
    </row>
    <row r="388">
      <c r="A388" s="6" t="s">
        <v>1145</v>
      </c>
      <c r="B388" s="1" t="s">
        <v>871</v>
      </c>
    </row>
    <row r="389">
      <c r="A389" s="6" t="s">
        <v>1147</v>
      </c>
      <c r="B389" s="1" t="s">
        <v>863</v>
      </c>
    </row>
    <row r="390">
      <c r="A390" s="6" t="s">
        <v>1149</v>
      </c>
      <c r="B390" s="1" t="s">
        <v>871</v>
      </c>
    </row>
    <row r="391">
      <c r="A391" s="6" t="s">
        <v>1150</v>
      </c>
      <c r="B391" s="1" t="s">
        <v>863</v>
      </c>
    </row>
    <row r="392">
      <c r="A392" s="6" t="s">
        <v>1151</v>
      </c>
      <c r="B392" s="1" t="s">
        <v>871</v>
      </c>
    </row>
    <row r="393">
      <c r="A393" s="6" t="s">
        <v>1153</v>
      </c>
      <c r="B393" s="1" t="s">
        <v>863</v>
      </c>
    </row>
    <row r="394">
      <c r="A394" s="6" t="s">
        <v>1155</v>
      </c>
      <c r="B394" s="1" t="s">
        <v>871</v>
      </c>
    </row>
    <row r="395">
      <c r="A395" s="6" t="s">
        <v>1159</v>
      </c>
      <c r="B395" s="1" t="s">
        <v>871</v>
      </c>
    </row>
    <row r="396">
      <c r="A396" s="6" t="s">
        <v>1162</v>
      </c>
      <c r="B396" s="1" t="s">
        <v>871</v>
      </c>
    </row>
    <row r="397">
      <c r="A397" s="6" t="s">
        <v>1166</v>
      </c>
      <c r="B397" s="1" t="s">
        <v>871</v>
      </c>
    </row>
    <row r="398">
      <c r="A398" s="6" t="s">
        <v>1167</v>
      </c>
      <c r="B398" s="1" t="s">
        <v>871</v>
      </c>
    </row>
    <row r="399">
      <c r="A399" s="6" t="s">
        <v>1169</v>
      </c>
      <c r="B399" s="1" t="s">
        <v>871</v>
      </c>
    </row>
    <row r="400">
      <c r="A400" s="6" t="s">
        <v>1170</v>
      </c>
      <c r="B400" s="1" t="s">
        <v>871</v>
      </c>
    </row>
    <row r="401">
      <c r="A401" s="6" t="s">
        <v>1172</v>
      </c>
      <c r="B401" s="1" t="s">
        <v>871</v>
      </c>
    </row>
    <row r="402">
      <c r="A402" s="6" t="s">
        <v>854</v>
      </c>
      <c r="B402" s="1" t="s">
        <v>871</v>
      </c>
    </row>
    <row r="403">
      <c r="A403" s="6" t="s">
        <v>1173</v>
      </c>
      <c r="B403" s="1" t="s">
        <v>871</v>
      </c>
    </row>
    <row r="404">
      <c r="A404" s="6" t="s">
        <v>987</v>
      </c>
      <c r="B404" s="1" t="s">
        <v>863</v>
      </c>
    </row>
    <row r="405">
      <c r="A405" s="6" t="s">
        <v>1058</v>
      </c>
      <c r="B405" s="1" t="s">
        <v>863</v>
      </c>
    </row>
    <row r="406">
      <c r="A406" s="6" t="s">
        <v>1136</v>
      </c>
      <c r="B406" s="1" t="s">
        <v>871</v>
      </c>
    </row>
    <row r="407">
      <c r="A407" s="6" t="s">
        <v>833</v>
      </c>
      <c r="B407" s="1" t="s">
        <v>871</v>
      </c>
    </row>
    <row r="408">
      <c r="A408" s="6" t="s">
        <v>839</v>
      </c>
      <c r="B408" s="1" t="s">
        <v>871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859</v>
      </c>
    </row>
    <row r="2">
      <c r="A2" s="6" t="s">
        <v>21</v>
      </c>
      <c r="B2" s="1" t="s">
        <v>861</v>
      </c>
    </row>
    <row r="3">
      <c r="A3" s="6" t="s">
        <v>27</v>
      </c>
      <c r="B3" s="1" t="s">
        <v>863</v>
      </c>
    </row>
    <row r="4">
      <c r="A4" s="6" t="s">
        <v>33</v>
      </c>
      <c r="B4" s="1" t="s">
        <v>863</v>
      </c>
    </row>
    <row r="5">
      <c r="A5" s="6" t="s">
        <v>39</v>
      </c>
      <c r="B5" s="1" t="s">
        <v>863</v>
      </c>
    </row>
    <row r="6">
      <c r="A6" s="6" t="s">
        <v>45</v>
      </c>
      <c r="B6" s="1" t="s">
        <v>863</v>
      </c>
    </row>
    <row r="7">
      <c r="A7" s="6" t="s">
        <v>52</v>
      </c>
      <c r="B7" s="1" t="s">
        <v>871</v>
      </c>
    </row>
    <row r="8">
      <c r="A8" s="6" t="s">
        <v>58</v>
      </c>
      <c r="B8" s="1" t="s">
        <v>863</v>
      </c>
    </row>
    <row r="9">
      <c r="A9" s="6" t="s">
        <v>63</v>
      </c>
      <c r="B9" s="1" t="s">
        <v>871</v>
      </c>
    </row>
    <row r="10">
      <c r="A10" s="6" t="s">
        <v>70</v>
      </c>
      <c r="B10" s="1" t="s">
        <v>871</v>
      </c>
    </row>
    <row r="11">
      <c r="A11" s="6" t="s">
        <v>75</v>
      </c>
      <c r="B11" s="1" t="s">
        <v>871</v>
      </c>
    </row>
    <row r="12">
      <c r="A12" s="6" t="s">
        <v>81</v>
      </c>
      <c r="B12" s="1" t="s">
        <v>871</v>
      </c>
    </row>
    <row r="13">
      <c r="A13" s="6" t="s">
        <v>88</v>
      </c>
      <c r="B13" s="1" t="s">
        <v>863</v>
      </c>
    </row>
    <row r="14">
      <c r="A14" s="6" t="s">
        <v>93</v>
      </c>
      <c r="B14" s="1" t="s">
        <v>861</v>
      </c>
    </row>
    <row r="15">
      <c r="A15" s="6" t="s">
        <v>99</v>
      </c>
      <c r="B15" s="1" t="s">
        <v>871</v>
      </c>
    </row>
    <row r="16">
      <c r="A16" s="6" t="s">
        <v>105</v>
      </c>
      <c r="B16" s="1" t="s">
        <v>871</v>
      </c>
    </row>
    <row r="17">
      <c r="A17" s="6" t="s">
        <v>111</v>
      </c>
      <c r="B17" s="1" t="s">
        <v>871</v>
      </c>
    </row>
    <row r="18">
      <c r="A18" s="6" t="s">
        <v>115</v>
      </c>
      <c r="B18" s="1" t="s">
        <v>871</v>
      </c>
    </row>
    <row r="19">
      <c r="A19" s="6" t="s">
        <v>119</v>
      </c>
      <c r="B19" s="1" t="s">
        <v>871</v>
      </c>
    </row>
    <row r="20">
      <c r="A20" s="6" t="s">
        <v>121</v>
      </c>
      <c r="B20" s="1" t="s">
        <v>871</v>
      </c>
    </row>
    <row r="21">
      <c r="A21" s="6" t="s">
        <v>123</v>
      </c>
      <c r="B21" s="1" t="s">
        <v>871</v>
      </c>
    </row>
    <row r="22">
      <c r="A22" s="6" t="s">
        <v>126</v>
      </c>
      <c r="B22" s="1" t="s">
        <v>871</v>
      </c>
    </row>
    <row r="23">
      <c r="A23" s="6" t="s">
        <v>129</v>
      </c>
      <c r="B23" s="1" t="s">
        <v>871</v>
      </c>
    </row>
    <row r="24">
      <c r="A24" s="6" t="s">
        <v>131</v>
      </c>
      <c r="B24" s="1" t="s">
        <v>871</v>
      </c>
    </row>
    <row r="25">
      <c r="A25" s="6" t="s">
        <v>135</v>
      </c>
      <c r="B25" s="1" t="s">
        <v>871</v>
      </c>
    </row>
    <row r="26">
      <c r="A26" s="6" t="s">
        <v>137</v>
      </c>
      <c r="B26" s="1" t="s">
        <v>871</v>
      </c>
    </row>
    <row r="27">
      <c r="A27" s="6" t="s">
        <v>141</v>
      </c>
      <c r="B27" s="1" t="s">
        <v>871</v>
      </c>
    </row>
    <row r="28">
      <c r="A28" s="6" t="s">
        <v>144</v>
      </c>
      <c r="B28" s="1" t="s">
        <v>871</v>
      </c>
    </row>
    <row r="29">
      <c r="A29" s="6" t="s">
        <v>147</v>
      </c>
      <c r="B29" s="1" t="s">
        <v>871</v>
      </c>
    </row>
    <row r="30">
      <c r="A30" s="6" t="s">
        <v>151</v>
      </c>
      <c r="B30" s="1" t="s">
        <v>871</v>
      </c>
    </row>
    <row r="31">
      <c r="A31" s="6" t="s">
        <v>154</v>
      </c>
      <c r="B31" s="1" t="s">
        <v>861</v>
      </c>
    </row>
    <row r="32">
      <c r="A32" s="6" t="s">
        <v>158</v>
      </c>
      <c r="B32" s="1" t="s">
        <v>871</v>
      </c>
    </row>
    <row r="33">
      <c r="A33" s="6" t="s">
        <v>162</v>
      </c>
      <c r="B33" s="1" t="s">
        <v>861</v>
      </c>
    </row>
    <row r="34">
      <c r="A34" s="6" t="s">
        <v>166</v>
      </c>
      <c r="B34" s="1" t="s">
        <v>861</v>
      </c>
    </row>
    <row r="35">
      <c r="A35" s="6" t="s">
        <v>170</v>
      </c>
      <c r="B35" s="1" t="s">
        <v>861</v>
      </c>
    </row>
    <row r="36">
      <c r="A36" s="6" t="s">
        <v>172</v>
      </c>
      <c r="B36" s="1" t="s">
        <v>861</v>
      </c>
    </row>
    <row r="37">
      <c r="A37" s="6" t="s">
        <v>175</v>
      </c>
      <c r="B37" s="1" t="s">
        <v>861</v>
      </c>
    </row>
    <row r="38">
      <c r="A38" s="6" t="s">
        <v>177</v>
      </c>
      <c r="B38" s="1" t="s">
        <v>861</v>
      </c>
    </row>
    <row r="39">
      <c r="A39" s="6" t="s">
        <v>181</v>
      </c>
      <c r="B39" s="1" t="s">
        <v>871</v>
      </c>
    </row>
    <row r="40">
      <c r="A40" s="6" t="s">
        <v>183</v>
      </c>
      <c r="B40" s="1" t="s">
        <v>863</v>
      </c>
    </row>
    <row r="41">
      <c r="A41" s="6" t="s">
        <v>185</v>
      </c>
      <c r="B41" s="1" t="s">
        <v>871</v>
      </c>
    </row>
    <row r="42">
      <c r="A42" s="6" t="s">
        <v>187</v>
      </c>
      <c r="B42" s="1" t="s">
        <v>871</v>
      </c>
    </row>
    <row r="43">
      <c r="A43" s="6" t="s">
        <v>189</v>
      </c>
      <c r="B43" s="1" t="s">
        <v>871</v>
      </c>
    </row>
    <row r="44">
      <c r="A44" s="6" t="s">
        <v>191</v>
      </c>
      <c r="B44" s="1" t="s">
        <v>871</v>
      </c>
    </row>
    <row r="45">
      <c r="A45" s="6" t="s">
        <v>194</v>
      </c>
      <c r="B45" s="1" t="s">
        <v>871</v>
      </c>
    </row>
    <row r="46">
      <c r="A46" s="6" t="s">
        <v>196</v>
      </c>
      <c r="B46" s="1" t="s">
        <v>871</v>
      </c>
    </row>
    <row r="47">
      <c r="A47" s="6" t="s">
        <v>198</v>
      </c>
      <c r="B47" s="1" t="s">
        <v>871</v>
      </c>
    </row>
    <row r="48">
      <c r="A48" s="6" t="s">
        <v>200</v>
      </c>
      <c r="B48" s="1" t="s">
        <v>861</v>
      </c>
    </row>
    <row r="49">
      <c r="A49" s="6" t="s">
        <v>204</v>
      </c>
      <c r="B49" s="1" t="s">
        <v>871</v>
      </c>
    </row>
    <row r="50">
      <c r="A50" s="6" t="s">
        <v>208</v>
      </c>
      <c r="B50" s="1" t="s">
        <v>871</v>
      </c>
    </row>
    <row r="51">
      <c r="A51" s="6" t="s">
        <v>210</v>
      </c>
      <c r="B51" s="1" t="s">
        <v>871</v>
      </c>
    </row>
    <row r="52">
      <c r="A52" s="6" t="s">
        <v>212</v>
      </c>
      <c r="B52" s="1" t="s">
        <v>871</v>
      </c>
    </row>
    <row r="53">
      <c r="A53" s="6" t="s">
        <v>214</v>
      </c>
      <c r="B53" s="1" t="s">
        <v>871</v>
      </c>
    </row>
    <row r="54">
      <c r="A54" s="6" t="s">
        <v>912</v>
      </c>
      <c r="B54" s="1" t="s">
        <v>871</v>
      </c>
    </row>
    <row r="55">
      <c r="A55" s="6" t="s">
        <v>221</v>
      </c>
      <c r="B55" s="1" t="s">
        <v>871</v>
      </c>
    </row>
    <row r="56">
      <c r="A56" s="6" t="s">
        <v>225</v>
      </c>
      <c r="B56" s="1" t="s">
        <v>871</v>
      </c>
    </row>
    <row r="57">
      <c r="A57" s="6" t="s">
        <v>227</v>
      </c>
      <c r="B57" s="1" t="s">
        <v>871</v>
      </c>
    </row>
    <row r="58">
      <c r="A58" s="6" t="s">
        <v>230</v>
      </c>
      <c r="B58" s="1" t="s">
        <v>871</v>
      </c>
    </row>
    <row r="59">
      <c r="A59" s="6" t="s">
        <v>232</v>
      </c>
      <c r="B59" s="1" t="s">
        <v>871</v>
      </c>
    </row>
    <row r="60">
      <c r="A60" s="6" t="s">
        <v>235</v>
      </c>
      <c r="B60" s="1" t="s">
        <v>871</v>
      </c>
    </row>
    <row r="61">
      <c r="A61" s="6" t="s">
        <v>238</v>
      </c>
      <c r="B61" s="1" t="s">
        <v>871</v>
      </c>
    </row>
    <row r="62">
      <c r="A62" s="6" t="s">
        <v>243</v>
      </c>
      <c r="B62" s="1" t="s">
        <v>871</v>
      </c>
    </row>
    <row r="63">
      <c r="A63" s="6" t="s">
        <v>248</v>
      </c>
      <c r="B63" s="1" t="s">
        <v>871</v>
      </c>
    </row>
    <row r="64">
      <c r="A64" s="6" t="s">
        <v>252</v>
      </c>
      <c r="B64" s="1" t="s">
        <v>871</v>
      </c>
    </row>
    <row r="65">
      <c r="A65" s="6" t="s">
        <v>254</v>
      </c>
      <c r="B65" s="1" t="s">
        <v>871</v>
      </c>
    </row>
    <row r="66">
      <c r="A66" s="6" t="s">
        <v>257</v>
      </c>
      <c r="B66" s="1" t="s">
        <v>871</v>
      </c>
    </row>
    <row r="67">
      <c r="A67" s="6" t="s">
        <v>260</v>
      </c>
      <c r="B67" s="1" t="s">
        <v>871</v>
      </c>
    </row>
    <row r="68">
      <c r="A68" s="6" t="s">
        <v>263</v>
      </c>
      <c r="B68" s="1" t="s">
        <v>871</v>
      </c>
    </row>
    <row r="69">
      <c r="A69" s="6" t="s">
        <v>267</v>
      </c>
      <c r="B69" s="1" t="s">
        <v>871</v>
      </c>
    </row>
    <row r="70">
      <c r="A70" s="6" t="s">
        <v>269</v>
      </c>
      <c r="B70" s="1" t="s">
        <v>871</v>
      </c>
    </row>
    <row r="71">
      <c r="A71" s="6" t="s">
        <v>273</v>
      </c>
      <c r="B71" s="1" t="s">
        <v>871</v>
      </c>
    </row>
    <row r="72">
      <c r="A72" s="6" t="s">
        <v>277</v>
      </c>
      <c r="B72" s="1" t="s">
        <v>871</v>
      </c>
    </row>
    <row r="73">
      <c r="A73" s="6" t="s">
        <v>286</v>
      </c>
      <c r="B73" s="1" t="s">
        <v>871</v>
      </c>
    </row>
    <row r="74">
      <c r="A74" s="6" t="s">
        <v>288</v>
      </c>
      <c r="B74" s="1" t="s">
        <v>871</v>
      </c>
    </row>
    <row r="75">
      <c r="A75" s="6" t="s">
        <v>290</v>
      </c>
      <c r="B75" s="1" t="s">
        <v>871</v>
      </c>
    </row>
    <row r="76">
      <c r="A76" s="6" t="s">
        <v>294</v>
      </c>
      <c r="B76" s="1" t="s">
        <v>871</v>
      </c>
    </row>
    <row r="77">
      <c r="A77" s="6" t="s">
        <v>296</v>
      </c>
      <c r="B77" s="1" t="s">
        <v>871</v>
      </c>
    </row>
    <row r="78">
      <c r="A78" s="6" t="s">
        <v>300</v>
      </c>
      <c r="B78" s="1" t="s">
        <v>871</v>
      </c>
    </row>
    <row r="79">
      <c r="A79" s="6" t="s">
        <v>302</v>
      </c>
      <c r="B79" s="1" t="s">
        <v>871</v>
      </c>
    </row>
    <row r="80">
      <c r="A80" s="6" t="s">
        <v>308</v>
      </c>
      <c r="B80" s="1" t="s">
        <v>863</v>
      </c>
    </row>
    <row r="81">
      <c r="A81" s="6" t="s">
        <v>312</v>
      </c>
      <c r="B81" s="1" t="s">
        <v>863</v>
      </c>
    </row>
    <row r="82">
      <c r="A82" s="6" t="s">
        <v>316</v>
      </c>
      <c r="B82" s="1" t="s">
        <v>863</v>
      </c>
    </row>
    <row r="83">
      <c r="A83" s="6" t="s">
        <v>320</v>
      </c>
      <c r="B83" s="1" t="s">
        <v>863</v>
      </c>
    </row>
    <row r="84">
      <c r="A84" s="6" t="s">
        <v>324</v>
      </c>
      <c r="B84" s="1" t="s">
        <v>863</v>
      </c>
    </row>
    <row r="85">
      <c r="A85" s="6" t="s">
        <v>327</v>
      </c>
      <c r="B85" s="1" t="s">
        <v>871</v>
      </c>
    </row>
    <row r="86">
      <c r="A86" s="6" t="s">
        <v>331</v>
      </c>
      <c r="B86" s="1" t="s">
        <v>863</v>
      </c>
    </row>
    <row r="87">
      <c r="A87" s="6" t="s">
        <v>335</v>
      </c>
      <c r="B87" s="1" t="s">
        <v>863</v>
      </c>
    </row>
    <row r="88">
      <c r="A88" s="6" t="s">
        <v>339</v>
      </c>
      <c r="B88" s="1" t="s">
        <v>863</v>
      </c>
    </row>
    <row r="89">
      <c r="A89" s="6" t="s">
        <v>343</v>
      </c>
      <c r="B89" s="1" t="s">
        <v>863</v>
      </c>
    </row>
    <row r="90">
      <c r="A90" s="6" t="s">
        <v>346</v>
      </c>
      <c r="B90" s="1" t="s">
        <v>863</v>
      </c>
    </row>
    <row r="91">
      <c r="A91" s="6" t="s">
        <v>349</v>
      </c>
      <c r="B91" s="1" t="s">
        <v>863</v>
      </c>
    </row>
    <row r="92">
      <c r="A92" s="6" t="s">
        <v>353</v>
      </c>
      <c r="B92" s="1" t="s">
        <v>863</v>
      </c>
    </row>
    <row r="93">
      <c r="A93" s="6" t="s">
        <v>357</v>
      </c>
      <c r="B93" s="1" t="s">
        <v>863</v>
      </c>
    </row>
    <row r="94">
      <c r="A94" s="6" t="s">
        <v>363</v>
      </c>
      <c r="B94" s="1" t="s">
        <v>871</v>
      </c>
    </row>
    <row r="95">
      <c r="A95" s="6" t="s">
        <v>367</v>
      </c>
      <c r="B95" s="1" t="s">
        <v>871</v>
      </c>
    </row>
    <row r="96">
      <c r="A96" s="6" t="s">
        <v>371</v>
      </c>
      <c r="B96" s="1" t="s">
        <v>871</v>
      </c>
    </row>
    <row r="97">
      <c r="A97" s="6" t="s">
        <v>375</v>
      </c>
      <c r="B97" s="1" t="s">
        <v>863</v>
      </c>
    </row>
    <row r="98">
      <c r="A98" s="6" t="s">
        <v>380</v>
      </c>
      <c r="B98" s="1" t="s">
        <v>863</v>
      </c>
    </row>
    <row r="99">
      <c r="A99" s="6" t="s">
        <v>384</v>
      </c>
      <c r="B99" s="1" t="s">
        <v>863</v>
      </c>
    </row>
    <row r="100">
      <c r="A100" s="6" t="s">
        <v>388</v>
      </c>
      <c r="B100" s="1" t="s">
        <v>861</v>
      </c>
    </row>
    <row r="101">
      <c r="A101" s="6" t="s">
        <v>392</v>
      </c>
      <c r="B101" s="1" t="s">
        <v>863</v>
      </c>
    </row>
    <row r="102">
      <c r="A102" s="6" t="s">
        <v>396</v>
      </c>
      <c r="B102" s="1" t="s">
        <v>871</v>
      </c>
    </row>
    <row r="103">
      <c r="A103" s="6" t="s">
        <v>398</v>
      </c>
      <c r="B103" s="1" t="s">
        <v>871</v>
      </c>
    </row>
    <row r="104">
      <c r="A104" s="6" t="s">
        <v>402</v>
      </c>
      <c r="B104" s="1" t="s">
        <v>861</v>
      </c>
    </row>
    <row r="105">
      <c r="A105" s="6" t="s">
        <v>404</v>
      </c>
      <c r="B105" s="1" t="s">
        <v>863</v>
      </c>
    </row>
    <row r="106">
      <c r="A106" s="6" t="s">
        <v>408</v>
      </c>
      <c r="B106" s="1" t="s">
        <v>871</v>
      </c>
    </row>
    <row r="107">
      <c r="A107" s="6" t="s">
        <v>412</v>
      </c>
      <c r="B107" s="1" t="s">
        <v>863</v>
      </c>
    </row>
    <row r="108">
      <c r="A108" s="6" t="s">
        <v>416</v>
      </c>
      <c r="B108" s="1" t="s">
        <v>863</v>
      </c>
    </row>
    <row r="109">
      <c r="A109" s="6" t="s">
        <v>420</v>
      </c>
      <c r="B109" s="1" t="s">
        <v>871</v>
      </c>
    </row>
    <row r="110">
      <c r="A110" s="6" t="s">
        <v>424</v>
      </c>
      <c r="B110" s="1" t="s">
        <v>871</v>
      </c>
    </row>
    <row r="111">
      <c r="A111" s="6" t="s">
        <v>428</v>
      </c>
      <c r="B111" s="1" t="s">
        <v>863</v>
      </c>
    </row>
    <row r="112">
      <c r="A112" s="6" t="s">
        <v>432</v>
      </c>
      <c r="B112" s="1" t="s">
        <v>871</v>
      </c>
    </row>
    <row r="113">
      <c r="A113" s="6" t="s">
        <v>436</v>
      </c>
      <c r="B113" s="1" t="s">
        <v>861</v>
      </c>
    </row>
    <row r="114">
      <c r="A114" s="6" t="s">
        <v>982</v>
      </c>
      <c r="B114" s="1" t="s">
        <v>863</v>
      </c>
    </row>
    <row r="115">
      <c r="A115" s="6" t="s">
        <v>444</v>
      </c>
      <c r="B115" s="1" t="s">
        <v>863</v>
      </c>
    </row>
    <row r="116">
      <c r="A116" s="6" t="s">
        <v>448</v>
      </c>
      <c r="B116" s="1" t="s">
        <v>863</v>
      </c>
    </row>
    <row r="117">
      <c r="A117" s="6" t="s">
        <v>452</v>
      </c>
      <c r="B117" s="1" t="s">
        <v>863</v>
      </c>
    </row>
    <row r="118">
      <c r="A118" s="6" t="s">
        <v>456</v>
      </c>
      <c r="B118" s="1" t="s">
        <v>871</v>
      </c>
    </row>
    <row r="119">
      <c r="A119" s="6" t="s">
        <v>460</v>
      </c>
      <c r="B119" s="1" t="s">
        <v>863</v>
      </c>
    </row>
    <row r="120">
      <c r="A120" s="6" t="s">
        <v>464</v>
      </c>
      <c r="B120" s="1" t="s">
        <v>871</v>
      </c>
    </row>
    <row r="121">
      <c r="A121" s="6" t="s">
        <v>468</v>
      </c>
      <c r="B121" s="1" t="s">
        <v>871</v>
      </c>
    </row>
    <row r="122">
      <c r="A122" s="6" t="s">
        <v>471</v>
      </c>
      <c r="B122" s="1" t="s">
        <v>863</v>
      </c>
    </row>
    <row r="123">
      <c r="A123" s="6" t="s">
        <v>473</v>
      </c>
      <c r="B123" s="1" t="s">
        <v>863</v>
      </c>
    </row>
    <row r="124">
      <c r="A124" s="6" t="s">
        <v>477</v>
      </c>
      <c r="B124" s="1" t="s">
        <v>863</v>
      </c>
    </row>
    <row r="125">
      <c r="A125" s="6" t="s">
        <v>481</v>
      </c>
      <c r="B125" s="1" t="s">
        <v>871</v>
      </c>
    </row>
    <row r="126">
      <c r="A126" s="6" t="s">
        <v>485</v>
      </c>
      <c r="B126" s="1" t="s">
        <v>871</v>
      </c>
    </row>
    <row r="127">
      <c r="A127" s="6" t="s">
        <v>489</v>
      </c>
      <c r="B127" s="1" t="s">
        <v>861</v>
      </c>
    </row>
    <row r="128">
      <c r="A128" s="6" t="s">
        <v>493</v>
      </c>
      <c r="B128" s="1" t="s">
        <v>871</v>
      </c>
    </row>
    <row r="129">
      <c r="A129" s="6" t="s">
        <v>497</v>
      </c>
      <c r="B129" s="1" t="s">
        <v>871</v>
      </c>
    </row>
    <row r="130">
      <c r="A130" s="6" t="s">
        <v>500</v>
      </c>
      <c r="B130" s="1" t="s">
        <v>861</v>
      </c>
    </row>
    <row r="131">
      <c r="A131" s="6" t="s">
        <v>504</v>
      </c>
      <c r="B131" s="1" t="s">
        <v>863</v>
      </c>
    </row>
    <row r="132">
      <c r="A132" s="6" t="s">
        <v>508</v>
      </c>
      <c r="B132" s="1" t="s">
        <v>863</v>
      </c>
    </row>
    <row r="133">
      <c r="A133" s="6" t="s">
        <v>512</v>
      </c>
      <c r="B133" s="1" t="s">
        <v>871</v>
      </c>
    </row>
    <row r="134">
      <c r="A134" s="6" t="s">
        <v>516</v>
      </c>
      <c r="B134" s="1" t="s">
        <v>871</v>
      </c>
    </row>
    <row r="135">
      <c r="A135" s="6" t="s">
        <v>518</v>
      </c>
      <c r="B135" s="1" t="s">
        <v>863</v>
      </c>
    </row>
    <row r="136">
      <c r="A136" s="6" t="s">
        <v>522</v>
      </c>
      <c r="B136" s="1" t="s">
        <v>871</v>
      </c>
    </row>
    <row r="137">
      <c r="A137" s="6" t="s">
        <v>526</v>
      </c>
      <c r="B137" s="1" t="s">
        <v>863</v>
      </c>
    </row>
    <row r="138">
      <c r="A138" s="6" t="s">
        <v>530</v>
      </c>
      <c r="B138" s="1" t="s">
        <v>863</v>
      </c>
    </row>
    <row r="139">
      <c r="A139" s="6" t="s">
        <v>534</v>
      </c>
      <c r="B139" s="1" t="s">
        <v>871</v>
      </c>
    </row>
    <row r="140">
      <c r="A140" s="6" t="s">
        <v>538</v>
      </c>
      <c r="B140" s="1" t="s">
        <v>861</v>
      </c>
    </row>
    <row r="141">
      <c r="A141" s="6" t="s">
        <v>542</v>
      </c>
      <c r="B141" s="1" t="s">
        <v>863</v>
      </c>
    </row>
    <row r="142">
      <c r="A142" s="6" t="s">
        <v>546</v>
      </c>
      <c r="B142" s="1" t="s">
        <v>871</v>
      </c>
    </row>
    <row r="143">
      <c r="A143" s="6" t="s">
        <v>550</v>
      </c>
      <c r="B143" s="1" t="s">
        <v>863</v>
      </c>
    </row>
    <row r="144">
      <c r="A144" s="6" t="s">
        <v>554</v>
      </c>
      <c r="B144" s="1" t="s">
        <v>863</v>
      </c>
    </row>
    <row r="145">
      <c r="A145" s="6" t="s">
        <v>556</v>
      </c>
      <c r="B145" s="1" t="s">
        <v>863</v>
      </c>
    </row>
    <row r="146">
      <c r="A146" s="6" t="s">
        <v>561</v>
      </c>
      <c r="B146" s="1" t="s">
        <v>871</v>
      </c>
    </row>
    <row r="147">
      <c r="A147" s="6" t="s">
        <v>564</v>
      </c>
      <c r="B147" s="1" t="s">
        <v>871</v>
      </c>
    </row>
    <row r="148">
      <c r="A148" s="6" t="s">
        <v>570</v>
      </c>
      <c r="B148" s="1" t="s">
        <v>871</v>
      </c>
    </row>
    <row r="149">
      <c r="A149" s="6" t="s">
        <v>574</v>
      </c>
      <c r="B149" s="1" t="s">
        <v>871</v>
      </c>
    </row>
    <row r="150">
      <c r="A150" s="6" t="s">
        <v>577</v>
      </c>
      <c r="B150" s="1" t="s">
        <v>871</v>
      </c>
    </row>
    <row r="151">
      <c r="A151" s="6" t="s">
        <v>581</v>
      </c>
      <c r="B151" s="1" t="s">
        <v>871</v>
      </c>
    </row>
    <row r="152">
      <c r="A152" s="6" t="s">
        <v>585</v>
      </c>
      <c r="B152" s="1" t="s">
        <v>871</v>
      </c>
    </row>
    <row r="153">
      <c r="A153" s="6" t="s">
        <v>589</v>
      </c>
      <c r="B153" s="1" t="s">
        <v>871</v>
      </c>
    </row>
    <row r="154">
      <c r="A154" s="6" t="s">
        <v>593</v>
      </c>
      <c r="B154" s="1" t="s">
        <v>871</v>
      </c>
    </row>
    <row r="155">
      <c r="A155" s="6" t="s">
        <v>597</v>
      </c>
      <c r="B155" s="1" t="s">
        <v>863</v>
      </c>
    </row>
    <row r="156">
      <c r="A156" s="6" t="s">
        <v>601</v>
      </c>
      <c r="B156" s="1" t="s">
        <v>871</v>
      </c>
    </row>
    <row r="157">
      <c r="A157" s="6" t="s">
        <v>603</v>
      </c>
      <c r="B157" s="1" t="s">
        <v>871</v>
      </c>
    </row>
    <row r="158">
      <c r="A158" s="6" t="s">
        <v>606</v>
      </c>
      <c r="B158" s="1" t="s">
        <v>863</v>
      </c>
    </row>
    <row r="159">
      <c r="A159" s="6" t="s">
        <v>610</v>
      </c>
      <c r="B159" s="1" t="s">
        <v>871</v>
      </c>
    </row>
    <row r="160">
      <c r="A160" s="6" t="s">
        <v>616</v>
      </c>
      <c r="B160" s="1" t="s">
        <v>863</v>
      </c>
    </row>
    <row r="161">
      <c r="A161" s="6" t="s">
        <v>620</v>
      </c>
      <c r="B161" s="1" t="s">
        <v>871</v>
      </c>
    </row>
    <row r="162">
      <c r="A162" s="6" t="s">
        <v>621</v>
      </c>
      <c r="B162" s="1" t="s">
        <v>871</v>
      </c>
    </row>
    <row r="163">
      <c r="A163" s="6" t="s">
        <v>625</v>
      </c>
      <c r="B163" s="1" t="s">
        <v>861</v>
      </c>
    </row>
    <row r="164">
      <c r="A164" s="6" t="s">
        <v>629</v>
      </c>
      <c r="B164" s="1" t="s">
        <v>861</v>
      </c>
    </row>
    <row r="165">
      <c r="A165" s="6" t="s">
        <v>633</v>
      </c>
      <c r="B165" s="1" t="s">
        <v>871</v>
      </c>
    </row>
    <row r="166">
      <c r="A166" s="6" t="s">
        <v>637</v>
      </c>
      <c r="B166" s="1" t="s">
        <v>871</v>
      </c>
    </row>
    <row r="167">
      <c r="A167" s="6" t="s">
        <v>641</v>
      </c>
      <c r="B167" s="1" t="s">
        <v>863</v>
      </c>
    </row>
    <row r="168">
      <c r="A168" s="6" t="s">
        <v>645</v>
      </c>
      <c r="B168" s="1" t="s">
        <v>863</v>
      </c>
    </row>
    <row r="169">
      <c r="A169" s="6" t="s">
        <v>648</v>
      </c>
      <c r="B169" s="1" t="s">
        <v>863</v>
      </c>
    </row>
    <row r="170">
      <c r="A170" s="6" t="s">
        <v>651</v>
      </c>
      <c r="B170" s="1" t="s">
        <v>863</v>
      </c>
    </row>
    <row r="171">
      <c r="A171" s="6" t="s">
        <v>654</v>
      </c>
      <c r="B171" s="1" t="s">
        <v>863</v>
      </c>
    </row>
    <row r="172">
      <c r="A172" s="6" t="s">
        <v>659</v>
      </c>
      <c r="B172" s="1" t="s">
        <v>871</v>
      </c>
    </row>
    <row r="173">
      <c r="A173" s="6" t="s">
        <v>666</v>
      </c>
      <c r="B173" s="1" t="s">
        <v>871</v>
      </c>
    </row>
    <row r="174">
      <c r="A174" s="6" t="s">
        <v>670</v>
      </c>
      <c r="B174" s="1" t="s">
        <v>871</v>
      </c>
    </row>
    <row r="175">
      <c r="A175" s="6" t="s">
        <v>676</v>
      </c>
      <c r="B175" s="1" t="s">
        <v>871</v>
      </c>
    </row>
    <row r="176">
      <c r="A176" s="6" t="s">
        <v>680</v>
      </c>
      <c r="B176" s="1" t="s">
        <v>871</v>
      </c>
    </row>
    <row r="177">
      <c r="A177" s="6" t="s">
        <v>681</v>
      </c>
      <c r="B177" s="1" t="s">
        <v>871</v>
      </c>
    </row>
    <row r="178">
      <c r="A178" s="6" t="s">
        <v>683</v>
      </c>
      <c r="B178" s="1" t="s">
        <v>871</v>
      </c>
    </row>
    <row r="179">
      <c r="A179" s="6" t="s">
        <v>687</v>
      </c>
      <c r="B179" s="1" t="s">
        <v>871</v>
      </c>
    </row>
    <row r="180">
      <c r="A180" s="6" t="s">
        <v>692</v>
      </c>
      <c r="B180" s="1" t="s">
        <v>871</v>
      </c>
    </row>
    <row r="181">
      <c r="A181" s="6" t="s">
        <v>696</v>
      </c>
      <c r="B181" s="1" t="s">
        <v>871</v>
      </c>
    </row>
    <row r="182">
      <c r="A182" s="6" t="s">
        <v>699</v>
      </c>
      <c r="B182" s="1" t="s">
        <v>871</v>
      </c>
    </row>
    <row r="183">
      <c r="A183" s="6" t="s">
        <v>703</v>
      </c>
      <c r="B183" s="1" t="s">
        <v>871</v>
      </c>
    </row>
    <row r="184">
      <c r="A184" s="6" t="s">
        <v>705</v>
      </c>
      <c r="B184" s="1" t="s">
        <v>871</v>
      </c>
    </row>
    <row r="185">
      <c r="A185" s="6" t="s">
        <v>708</v>
      </c>
      <c r="B185" s="1" t="s">
        <v>863</v>
      </c>
    </row>
    <row r="186">
      <c r="A186" s="6" t="s">
        <v>711</v>
      </c>
      <c r="B186" s="1" t="s">
        <v>871</v>
      </c>
    </row>
    <row r="187">
      <c r="A187" s="6" t="s">
        <v>712</v>
      </c>
      <c r="B187" s="1" t="s">
        <v>863</v>
      </c>
    </row>
    <row r="188">
      <c r="A188" s="6" t="s">
        <v>715</v>
      </c>
      <c r="B188" s="1" t="s">
        <v>863</v>
      </c>
    </row>
    <row r="189">
      <c r="A189" s="6" t="s">
        <v>719</v>
      </c>
      <c r="B189" s="1" t="s">
        <v>861</v>
      </c>
    </row>
    <row r="190">
      <c r="A190" s="6" t="s">
        <v>722</v>
      </c>
      <c r="B190" s="1" t="s">
        <v>871</v>
      </c>
    </row>
    <row r="191">
      <c r="A191" s="6" t="s">
        <v>723</v>
      </c>
      <c r="B191" s="1" t="s">
        <v>863</v>
      </c>
    </row>
    <row r="192">
      <c r="A192" s="6" t="s">
        <v>727</v>
      </c>
      <c r="B192" s="1" t="s">
        <v>871</v>
      </c>
    </row>
    <row r="193">
      <c r="A193" s="6" t="s">
        <v>731</v>
      </c>
      <c r="B193" s="1" t="s">
        <v>863</v>
      </c>
    </row>
    <row r="194">
      <c r="A194" s="6" t="s">
        <v>735</v>
      </c>
      <c r="B194" s="1" t="s">
        <v>871</v>
      </c>
    </row>
    <row r="195">
      <c r="A195" s="6" t="s">
        <v>738</v>
      </c>
      <c r="B195" s="1" t="s">
        <v>871</v>
      </c>
    </row>
    <row r="196">
      <c r="A196" s="6" t="s">
        <v>740</v>
      </c>
      <c r="B196" s="1" t="s">
        <v>871</v>
      </c>
    </row>
    <row r="197">
      <c r="A197" s="6" t="s">
        <v>742</v>
      </c>
      <c r="B197" s="1" t="s">
        <v>871</v>
      </c>
    </row>
    <row r="198">
      <c r="A198" s="6" t="s">
        <v>747</v>
      </c>
      <c r="B198" s="1" t="s">
        <v>871</v>
      </c>
    </row>
    <row r="199">
      <c r="A199" s="6" t="s">
        <v>748</v>
      </c>
      <c r="B199" s="1" t="s">
        <v>871</v>
      </c>
    </row>
    <row r="200">
      <c r="A200" s="6" t="s">
        <v>751</v>
      </c>
      <c r="B200" s="1" t="s">
        <v>863</v>
      </c>
    </row>
    <row r="201">
      <c r="A201" s="6" t="s">
        <v>755</v>
      </c>
      <c r="B201" s="1" t="s">
        <v>871</v>
      </c>
    </row>
    <row r="202">
      <c r="A202" s="6" t="s">
        <v>758</v>
      </c>
      <c r="B202" s="1" t="s">
        <v>871</v>
      </c>
    </row>
    <row r="203">
      <c r="A203" s="6" t="s">
        <v>761</v>
      </c>
      <c r="B203" s="1" t="s">
        <v>863</v>
      </c>
    </row>
    <row r="204">
      <c r="A204" s="6" t="s">
        <v>765</v>
      </c>
      <c r="B204" s="1" t="s">
        <v>863</v>
      </c>
    </row>
    <row r="205">
      <c r="A205" s="6" t="s">
        <v>769</v>
      </c>
      <c r="B205" s="1" t="s">
        <v>863</v>
      </c>
    </row>
    <row r="206">
      <c r="A206" s="6" t="s">
        <v>772</v>
      </c>
      <c r="B206" s="1" t="s">
        <v>863</v>
      </c>
    </row>
    <row r="207">
      <c r="A207" s="6" t="s">
        <v>776</v>
      </c>
      <c r="B207" s="1" t="s">
        <v>861</v>
      </c>
    </row>
    <row r="208">
      <c r="A208" s="6" t="s">
        <v>779</v>
      </c>
      <c r="B208" s="1" t="s">
        <v>861</v>
      </c>
    </row>
    <row r="209">
      <c r="A209" s="6" t="s">
        <v>782</v>
      </c>
      <c r="B209" s="1" t="s">
        <v>861</v>
      </c>
    </row>
    <row r="210">
      <c r="A210" s="6" t="s">
        <v>785</v>
      </c>
      <c r="B210" s="1" t="s">
        <v>871</v>
      </c>
    </row>
    <row r="211">
      <c r="A211" s="6" t="s">
        <v>788</v>
      </c>
      <c r="B211" s="1" t="s">
        <v>871</v>
      </c>
    </row>
    <row r="212">
      <c r="A212" s="6" t="s">
        <v>792</v>
      </c>
      <c r="B212" s="1" t="s">
        <v>871</v>
      </c>
    </row>
    <row r="213">
      <c r="A213" s="6" t="s">
        <v>795</v>
      </c>
      <c r="B213" s="1" t="s">
        <v>871</v>
      </c>
    </row>
    <row r="214">
      <c r="A214" s="6" t="s">
        <v>799</v>
      </c>
      <c r="B214" s="1" t="s">
        <v>871</v>
      </c>
    </row>
    <row r="215">
      <c r="A215" s="6" t="s">
        <v>803</v>
      </c>
      <c r="B215" s="1" t="s">
        <v>871</v>
      </c>
    </row>
    <row r="216">
      <c r="A216" s="6" t="s">
        <v>806</v>
      </c>
      <c r="B216" s="1" t="s">
        <v>871</v>
      </c>
    </row>
    <row r="217">
      <c r="A217" s="6" t="s">
        <v>810</v>
      </c>
      <c r="B217" s="1" t="s">
        <v>871</v>
      </c>
    </row>
    <row r="218">
      <c r="A218" s="6" t="s">
        <v>813</v>
      </c>
      <c r="B218" s="1" t="s">
        <v>863</v>
      </c>
    </row>
    <row r="219">
      <c r="A219" s="6" t="s">
        <v>817</v>
      </c>
      <c r="B219" s="1" t="s">
        <v>871</v>
      </c>
    </row>
    <row r="220">
      <c r="A220" s="6" t="s">
        <v>820</v>
      </c>
      <c r="B220" s="1" t="s">
        <v>863</v>
      </c>
    </row>
    <row r="221">
      <c r="A221" s="6" t="s">
        <v>823</v>
      </c>
      <c r="B221" s="1" t="s">
        <v>871</v>
      </c>
    </row>
    <row r="222">
      <c r="A222" s="6" t="s">
        <v>826</v>
      </c>
      <c r="B222" s="1" t="s">
        <v>863</v>
      </c>
    </row>
    <row r="223">
      <c r="A223" s="6" t="s">
        <v>829</v>
      </c>
      <c r="B223" s="1" t="s">
        <v>871</v>
      </c>
    </row>
    <row r="224">
      <c r="A224" s="6" t="s">
        <v>1157</v>
      </c>
      <c r="B224" s="1" t="s">
        <v>871</v>
      </c>
    </row>
    <row r="225">
      <c r="A225" s="6" t="s">
        <v>835</v>
      </c>
      <c r="B225" s="1" t="s">
        <v>871</v>
      </c>
    </row>
    <row r="226">
      <c r="A226" s="6" t="s">
        <v>1164</v>
      </c>
      <c r="B226" s="1" t="s">
        <v>871</v>
      </c>
    </row>
    <row r="227">
      <c r="A227" s="6" t="s">
        <v>842</v>
      </c>
      <c r="B227" s="1" t="s">
        <v>871</v>
      </c>
    </row>
    <row r="228">
      <c r="A228" s="6" t="s">
        <v>844</v>
      </c>
      <c r="B228" s="1" t="s">
        <v>871</v>
      </c>
    </row>
    <row r="229">
      <c r="A229" s="6" t="s">
        <v>846</v>
      </c>
      <c r="B229" s="1" t="s">
        <v>871</v>
      </c>
    </row>
    <row r="230">
      <c r="A230" s="6" t="s">
        <v>849</v>
      </c>
      <c r="B230" s="1" t="s">
        <v>871</v>
      </c>
    </row>
    <row r="231">
      <c r="A231" s="6" t="s">
        <v>853</v>
      </c>
      <c r="B231" s="1" t="s">
        <v>871</v>
      </c>
    </row>
    <row r="232">
      <c r="A232" s="6" t="s">
        <v>856</v>
      </c>
      <c r="B232" s="1" t="s">
        <v>871</v>
      </c>
    </row>
    <row r="233">
      <c r="A233" s="6" t="s">
        <v>862</v>
      </c>
      <c r="B233" s="1" t="s">
        <v>861</v>
      </c>
    </row>
    <row r="234">
      <c r="A234" s="6" t="s">
        <v>864</v>
      </c>
      <c r="B234" s="1" t="s">
        <v>863</v>
      </c>
    </row>
    <row r="235">
      <c r="A235" s="6" t="s">
        <v>866</v>
      </c>
      <c r="B235" s="1" t="s">
        <v>863</v>
      </c>
    </row>
    <row r="236">
      <c r="A236" s="6" t="s">
        <v>868</v>
      </c>
      <c r="B236" s="1" t="s">
        <v>863</v>
      </c>
    </row>
    <row r="237">
      <c r="A237" s="6" t="s">
        <v>870</v>
      </c>
      <c r="B237" s="1" t="s">
        <v>863</v>
      </c>
    </row>
    <row r="238">
      <c r="A238" s="6" t="s">
        <v>872</v>
      </c>
      <c r="B238" s="1" t="s">
        <v>871</v>
      </c>
    </row>
    <row r="239">
      <c r="A239" s="6" t="s">
        <v>874</v>
      </c>
      <c r="B239" s="1" t="s">
        <v>863</v>
      </c>
    </row>
    <row r="240">
      <c r="A240" s="6" t="s">
        <v>876</v>
      </c>
      <c r="B240" s="1" t="s">
        <v>871</v>
      </c>
    </row>
    <row r="241">
      <c r="A241" s="6" t="s">
        <v>878</v>
      </c>
      <c r="B241" s="1" t="s">
        <v>871</v>
      </c>
    </row>
    <row r="242">
      <c r="A242" s="6" t="s">
        <v>880</v>
      </c>
      <c r="B242" s="1" t="s">
        <v>871</v>
      </c>
    </row>
    <row r="243">
      <c r="A243" s="6" t="s">
        <v>882</v>
      </c>
      <c r="B243" s="1" t="s">
        <v>863</v>
      </c>
    </row>
    <row r="244">
      <c r="A244" s="6" t="s">
        <v>884</v>
      </c>
      <c r="B244" s="1" t="s">
        <v>871</v>
      </c>
    </row>
    <row r="245">
      <c r="A245" s="6" t="s">
        <v>886</v>
      </c>
      <c r="B245" s="1" t="s">
        <v>871</v>
      </c>
    </row>
    <row r="246">
      <c r="A246" s="6" t="s">
        <v>888</v>
      </c>
      <c r="B246" s="1" t="s">
        <v>871</v>
      </c>
    </row>
    <row r="247">
      <c r="A247" s="6" t="s">
        <v>889</v>
      </c>
      <c r="B247" s="1" t="s">
        <v>871</v>
      </c>
    </row>
    <row r="248">
      <c r="A248" s="6" t="s">
        <v>893</v>
      </c>
      <c r="B248" s="1" t="s">
        <v>871</v>
      </c>
    </row>
    <row r="249">
      <c r="A249" s="6" t="s">
        <v>894</v>
      </c>
      <c r="B249" s="1" t="s">
        <v>871</v>
      </c>
    </row>
    <row r="250">
      <c r="A250" s="6" t="s">
        <v>897</v>
      </c>
      <c r="B250" s="1" t="s">
        <v>871</v>
      </c>
    </row>
    <row r="251">
      <c r="A251" s="6" t="s">
        <v>898</v>
      </c>
      <c r="B251" s="1" t="s">
        <v>871</v>
      </c>
    </row>
    <row r="252">
      <c r="A252" s="6" t="s">
        <v>899</v>
      </c>
      <c r="B252" s="1" t="s">
        <v>871</v>
      </c>
    </row>
    <row r="253">
      <c r="A253" s="6" t="s">
        <v>902</v>
      </c>
      <c r="B253" s="1" t="s">
        <v>861</v>
      </c>
    </row>
    <row r="254">
      <c r="A254" s="6" t="s">
        <v>903</v>
      </c>
      <c r="B254" s="1" t="s">
        <v>871</v>
      </c>
    </row>
    <row r="255">
      <c r="A255" s="6" t="s">
        <v>905</v>
      </c>
      <c r="B255" s="1" t="s">
        <v>861</v>
      </c>
    </row>
    <row r="256">
      <c r="A256" s="6" t="s">
        <v>906</v>
      </c>
      <c r="B256" s="1" t="s">
        <v>861</v>
      </c>
    </row>
    <row r="257">
      <c r="A257" s="6" t="s">
        <v>907</v>
      </c>
      <c r="B257" s="1" t="s">
        <v>861</v>
      </c>
    </row>
    <row r="258">
      <c r="A258" s="6" t="s">
        <v>909</v>
      </c>
      <c r="B258" s="1" t="s">
        <v>871</v>
      </c>
    </row>
    <row r="259">
      <c r="A259" s="6" t="s">
        <v>910</v>
      </c>
      <c r="B259" s="1" t="s">
        <v>861</v>
      </c>
    </row>
    <row r="260">
      <c r="A260" s="6" t="s">
        <v>913</v>
      </c>
      <c r="B260" s="1" t="s">
        <v>871</v>
      </c>
    </row>
    <row r="261">
      <c r="A261" s="6" t="s">
        <v>915</v>
      </c>
      <c r="B261" s="1" t="s">
        <v>871</v>
      </c>
    </row>
    <row r="262">
      <c r="A262" s="6" t="s">
        <v>917</v>
      </c>
      <c r="B262" s="1" t="s">
        <v>871</v>
      </c>
    </row>
    <row r="263">
      <c r="A263" s="6" t="s">
        <v>919</v>
      </c>
      <c r="B263" s="1" t="s">
        <v>871</v>
      </c>
    </row>
    <row r="264">
      <c r="A264" s="6" t="s">
        <v>920</v>
      </c>
      <c r="B264" s="1" t="s">
        <v>871</v>
      </c>
    </row>
    <row r="265">
      <c r="A265" s="6" t="s">
        <v>921</v>
      </c>
      <c r="B265" s="1" t="s">
        <v>871</v>
      </c>
    </row>
    <row r="266">
      <c r="A266" s="6" t="s">
        <v>922</v>
      </c>
      <c r="B266" s="1" t="s">
        <v>871</v>
      </c>
    </row>
    <row r="267">
      <c r="A267" s="6" t="s">
        <v>924</v>
      </c>
      <c r="B267" s="1" t="s">
        <v>871</v>
      </c>
    </row>
    <row r="268">
      <c r="A268" s="6" t="s">
        <v>926</v>
      </c>
      <c r="B268" s="1" t="s">
        <v>863</v>
      </c>
    </row>
    <row r="269">
      <c r="A269" s="6" t="s">
        <v>927</v>
      </c>
      <c r="B269" s="1" t="s">
        <v>863</v>
      </c>
    </row>
    <row r="270">
      <c r="A270" s="6" t="s">
        <v>929</v>
      </c>
      <c r="B270" s="1" t="s">
        <v>863</v>
      </c>
    </row>
    <row r="271">
      <c r="A271" s="6" t="s">
        <v>931</v>
      </c>
      <c r="B271" s="1" t="s">
        <v>863</v>
      </c>
    </row>
    <row r="272">
      <c r="A272" s="6" t="s">
        <v>932</v>
      </c>
      <c r="B272" s="1" t="s">
        <v>863</v>
      </c>
    </row>
    <row r="273">
      <c r="A273" s="6" t="s">
        <v>933</v>
      </c>
      <c r="B273" s="1" t="s">
        <v>871</v>
      </c>
    </row>
    <row r="274">
      <c r="A274" s="6" t="s">
        <v>935</v>
      </c>
      <c r="B274" s="1" t="s">
        <v>863</v>
      </c>
    </row>
    <row r="275">
      <c r="A275" s="6" t="s">
        <v>937</v>
      </c>
      <c r="B275" s="1" t="s">
        <v>863</v>
      </c>
    </row>
    <row r="276">
      <c r="A276" s="6" t="s">
        <v>939</v>
      </c>
      <c r="B276" s="1" t="s">
        <v>863</v>
      </c>
    </row>
    <row r="277">
      <c r="A277" s="6" t="s">
        <v>941</v>
      </c>
      <c r="B277" s="1" t="s">
        <v>863</v>
      </c>
    </row>
    <row r="278">
      <c r="A278" s="6" t="s">
        <v>943</v>
      </c>
      <c r="B278" s="1" t="s">
        <v>863</v>
      </c>
    </row>
    <row r="279">
      <c r="A279" s="6" t="s">
        <v>945</v>
      </c>
      <c r="B279" s="1" t="s">
        <v>863</v>
      </c>
    </row>
    <row r="280">
      <c r="A280" s="6" t="s">
        <v>947</v>
      </c>
      <c r="B280" s="1" t="s">
        <v>863</v>
      </c>
    </row>
    <row r="281">
      <c r="A281" s="6" t="s">
        <v>949</v>
      </c>
      <c r="B281" s="1" t="s">
        <v>863</v>
      </c>
    </row>
    <row r="282">
      <c r="A282" s="6" t="s">
        <v>950</v>
      </c>
      <c r="B282" s="1" t="s">
        <v>871</v>
      </c>
    </row>
    <row r="283">
      <c r="A283" s="6" t="s">
        <v>952</v>
      </c>
      <c r="B283" s="1" t="s">
        <v>871</v>
      </c>
    </row>
    <row r="284">
      <c r="A284" s="6" t="s">
        <v>953</v>
      </c>
      <c r="B284" s="1" t="s">
        <v>871</v>
      </c>
    </row>
    <row r="285">
      <c r="A285" s="6" t="s">
        <v>954</v>
      </c>
      <c r="B285" s="1" t="s">
        <v>863</v>
      </c>
    </row>
    <row r="286">
      <c r="A286" s="6" t="s">
        <v>956</v>
      </c>
      <c r="B286" s="1" t="s">
        <v>863</v>
      </c>
    </row>
    <row r="287">
      <c r="A287" s="6" t="s">
        <v>958</v>
      </c>
      <c r="B287" s="1" t="s">
        <v>863</v>
      </c>
    </row>
    <row r="288">
      <c r="A288" s="6" t="s">
        <v>960</v>
      </c>
      <c r="B288" s="1" t="s">
        <v>861</v>
      </c>
    </row>
    <row r="289">
      <c r="A289" s="6" t="s">
        <v>962</v>
      </c>
      <c r="B289" s="1" t="s">
        <v>863</v>
      </c>
    </row>
    <row r="290">
      <c r="A290" s="6" t="s">
        <v>964</v>
      </c>
      <c r="B290" s="1" t="s">
        <v>871</v>
      </c>
    </row>
    <row r="291">
      <c r="A291" s="6" t="s">
        <v>966</v>
      </c>
      <c r="B291" s="1" t="s">
        <v>863</v>
      </c>
    </row>
    <row r="292">
      <c r="A292" s="6" t="s">
        <v>968</v>
      </c>
      <c r="B292" s="1" t="s">
        <v>871</v>
      </c>
    </row>
    <row r="293">
      <c r="A293" s="6" t="s">
        <v>970</v>
      </c>
      <c r="B293" s="1" t="s">
        <v>863</v>
      </c>
    </row>
    <row r="294">
      <c r="A294" s="6" t="s">
        <v>972</v>
      </c>
      <c r="B294" s="1" t="s">
        <v>863</v>
      </c>
    </row>
    <row r="295">
      <c r="A295" s="6" t="s">
        <v>974</v>
      </c>
      <c r="B295" s="1" t="s">
        <v>871</v>
      </c>
    </row>
    <row r="296">
      <c r="A296" s="6" t="s">
        <v>976</v>
      </c>
      <c r="B296" s="1" t="s">
        <v>871</v>
      </c>
    </row>
    <row r="297">
      <c r="A297" s="6" t="s">
        <v>977</v>
      </c>
      <c r="B297" s="1" t="s">
        <v>863</v>
      </c>
    </row>
    <row r="298">
      <c r="A298" s="6" t="s">
        <v>978</v>
      </c>
      <c r="B298" s="1" t="s">
        <v>871</v>
      </c>
    </row>
    <row r="299">
      <c r="A299" s="6" t="s">
        <v>980</v>
      </c>
      <c r="B299" s="1" t="s">
        <v>861</v>
      </c>
    </row>
    <row r="300">
      <c r="A300" s="6" t="s">
        <v>984</v>
      </c>
      <c r="B300" s="1" t="s">
        <v>863</v>
      </c>
    </row>
    <row r="301">
      <c r="A301" s="6" t="s">
        <v>988</v>
      </c>
      <c r="B301" s="1" t="s">
        <v>863</v>
      </c>
    </row>
    <row r="302">
      <c r="A302" s="6" t="s">
        <v>990</v>
      </c>
      <c r="B302" s="1" t="s">
        <v>863</v>
      </c>
    </row>
    <row r="303">
      <c r="A303" s="6" t="s">
        <v>992</v>
      </c>
      <c r="B303" s="1" t="s">
        <v>863</v>
      </c>
    </row>
    <row r="304">
      <c r="A304" s="6" t="s">
        <v>994</v>
      </c>
      <c r="B304" s="1" t="s">
        <v>863</v>
      </c>
    </row>
    <row r="305">
      <c r="A305" s="6" t="s">
        <v>996</v>
      </c>
      <c r="B305" s="1" t="s">
        <v>871</v>
      </c>
    </row>
    <row r="306">
      <c r="A306" s="6" t="s">
        <v>998</v>
      </c>
      <c r="B306" s="1" t="s">
        <v>863</v>
      </c>
    </row>
    <row r="307">
      <c r="A307" s="6" t="s">
        <v>1000</v>
      </c>
      <c r="B307" s="1" t="s">
        <v>863</v>
      </c>
    </row>
    <row r="308">
      <c r="A308" s="6" t="s">
        <v>1002</v>
      </c>
      <c r="B308" s="1" t="s">
        <v>871</v>
      </c>
    </row>
    <row r="309">
      <c r="A309" s="6" t="s">
        <v>1004</v>
      </c>
      <c r="B309" s="1" t="s">
        <v>871</v>
      </c>
    </row>
    <row r="310">
      <c r="A310" s="6" t="s">
        <v>1006</v>
      </c>
      <c r="B310" s="1" t="s">
        <v>861</v>
      </c>
    </row>
    <row r="311">
      <c r="A311" s="6" t="s">
        <v>1007</v>
      </c>
      <c r="B311" s="1" t="s">
        <v>871</v>
      </c>
    </row>
    <row r="312">
      <c r="A312" s="6" t="s">
        <v>1009</v>
      </c>
      <c r="B312" s="1" t="s">
        <v>871</v>
      </c>
    </row>
    <row r="313">
      <c r="A313" s="6" t="s">
        <v>1010</v>
      </c>
      <c r="B313" s="1" t="s">
        <v>861</v>
      </c>
    </row>
    <row r="314">
      <c r="A314" s="6" t="s">
        <v>1012</v>
      </c>
      <c r="B314" s="1" t="s">
        <v>863</v>
      </c>
    </row>
    <row r="315">
      <c r="A315" s="6" t="s">
        <v>1014</v>
      </c>
      <c r="B315" s="1" t="s">
        <v>863</v>
      </c>
    </row>
    <row r="316">
      <c r="A316" s="6" t="s">
        <v>1016</v>
      </c>
      <c r="B316" s="1" t="s">
        <v>871</v>
      </c>
    </row>
    <row r="317">
      <c r="A317" s="6" t="s">
        <v>1018</v>
      </c>
      <c r="B317" s="1" t="s">
        <v>863</v>
      </c>
    </row>
    <row r="318">
      <c r="A318" s="6" t="s">
        <v>1020</v>
      </c>
      <c r="B318" s="1" t="s">
        <v>871</v>
      </c>
    </row>
    <row r="319">
      <c r="A319" s="6" t="s">
        <v>1022</v>
      </c>
      <c r="B319" s="1" t="s">
        <v>863</v>
      </c>
    </row>
    <row r="320">
      <c r="A320" s="6" t="s">
        <v>1024</v>
      </c>
      <c r="B320" s="1" t="s">
        <v>863</v>
      </c>
    </row>
    <row r="321">
      <c r="A321" s="6" t="s">
        <v>1026</v>
      </c>
      <c r="B321" s="1" t="s">
        <v>871</v>
      </c>
    </row>
    <row r="322">
      <c r="A322" s="6" t="s">
        <v>1028</v>
      </c>
      <c r="B322" s="1" t="s">
        <v>861</v>
      </c>
    </row>
    <row r="323">
      <c r="A323" s="6" t="s">
        <v>1030</v>
      </c>
      <c r="B323" s="1" t="s">
        <v>863</v>
      </c>
    </row>
    <row r="324">
      <c r="A324" s="6" t="s">
        <v>1032</v>
      </c>
      <c r="B324" s="1" t="s">
        <v>871</v>
      </c>
    </row>
    <row r="325">
      <c r="A325" s="6" t="s">
        <v>1034</v>
      </c>
      <c r="B325" s="1" t="s">
        <v>863</v>
      </c>
    </row>
    <row r="326">
      <c r="A326" s="6" t="s">
        <v>1036</v>
      </c>
      <c r="B326" s="1" t="s">
        <v>863</v>
      </c>
    </row>
    <row r="327">
      <c r="A327" s="6" t="s">
        <v>1037</v>
      </c>
      <c r="B327" s="1" t="s">
        <v>871</v>
      </c>
    </row>
    <row r="328">
      <c r="A328" s="6" t="s">
        <v>1039</v>
      </c>
      <c r="B328" s="1" t="s">
        <v>871</v>
      </c>
    </row>
    <row r="329">
      <c r="A329" s="6" t="s">
        <v>1041</v>
      </c>
      <c r="B329" s="1" t="s">
        <v>871</v>
      </c>
    </row>
    <row r="330">
      <c r="A330" s="6" t="s">
        <v>1042</v>
      </c>
      <c r="B330" s="1" t="s">
        <v>871</v>
      </c>
    </row>
    <row r="331">
      <c r="A331" s="6" t="s">
        <v>1044</v>
      </c>
      <c r="B331" s="1" t="s">
        <v>871</v>
      </c>
    </row>
    <row r="332">
      <c r="A332" s="6" t="s">
        <v>1046</v>
      </c>
      <c r="B332" s="1" t="s">
        <v>871</v>
      </c>
    </row>
    <row r="333">
      <c r="A333" s="6" t="s">
        <v>1047</v>
      </c>
      <c r="B333" s="1" t="s">
        <v>871</v>
      </c>
    </row>
    <row r="334">
      <c r="A334" s="6" t="s">
        <v>1049</v>
      </c>
      <c r="B334" s="1" t="s">
        <v>871</v>
      </c>
    </row>
    <row r="335">
      <c r="A335" s="6" t="s">
        <v>1051</v>
      </c>
      <c r="B335" s="1" t="s">
        <v>863</v>
      </c>
    </row>
    <row r="336">
      <c r="A336" s="6" t="s">
        <v>1053</v>
      </c>
      <c r="B336" s="1" t="s">
        <v>871</v>
      </c>
    </row>
    <row r="337">
      <c r="A337" s="6" t="s">
        <v>1056</v>
      </c>
      <c r="B337" s="1" t="s">
        <v>863</v>
      </c>
    </row>
    <row r="338">
      <c r="A338" s="6" t="s">
        <v>1059</v>
      </c>
      <c r="B338" s="1" t="s">
        <v>871</v>
      </c>
    </row>
    <row r="339">
      <c r="A339" s="6" t="s">
        <v>1061</v>
      </c>
      <c r="B339" s="1" t="s">
        <v>863</v>
      </c>
    </row>
    <row r="340">
      <c r="A340" s="6" t="s">
        <v>1063</v>
      </c>
      <c r="B340" s="1" t="s">
        <v>871</v>
      </c>
    </row>
    <row r="341">
      <c r="A341" s="6" t="s">
        <v>1065</v>
      </c>
      <c r="B341" s="1" t="s">
        <v>861</v>
      </c>
    </row>
    <row r="342">
      <c r="A342" s="6" t="s">
        <v>1067</v>
      </c>
      <c r="B342" s="1" t="s">
        <v>861</v>
      </c>
    </row>
    <row r="343">
      <c r="A343" s="6" t="s">
        <v>1069</v>
      </c>
      <c r="B343" s="1" t="s">
        <v>871</v>
      </c>
    </row>
    <row r="344">
      <c r="A344" s="6" t="s">
        <v>1071</v>
      </c>
      <c r="B344" s="1" t="s">
        <v>871</v>
      </c>
    </row>
    <row r="345">
      <c r="A345" s="6" t="s">
        <v>1072</v>
      </c>
      <c r="B345" s="1" t="s">
        <v>863</v>
      </c>
    </row>
    <row r="346">
      <c r="A346" s="6" t="s">
        <v>1073</v>
      </c>
      <c r="B346" s="1" t="s">
        <v>863</v>
      </c>
    </row>
    <row r="347">
      <c r="A347" s="6" t="s">
        <v>1075</v>
      </c>
      <c r="B347" s="1" t="s">
        <v>863</v>
      </c>
    </row>
    <row r="348">
      <c r="A348" s="6" t="s">
        <v>1077</v>
      </c>
      <c r="B348" s="1" t="s">
        <v>863</v>
      </c>
    </row>
    <row r="349">
      <c r="A349" s="6" t="s">
        <v>1079</v>
      </c>
      <c r="B349" s="1" t="s">
        <v>863</v>
      </c>
    </row>
    <row r="350">
      <c r="A350" s="6" t="s">
        <v>1081</v>
      </c>
      <c r="B350" s="1" t="s">
        <v>871</v>
      </c>
    </row>
    <row r="351">
      <c r="A351" s="6" t="s">
        <v>1083</v>
      </c>
      <c r="B351" s="1" t="s">
        <v>871</v>
      </c>
    </row>
    <row r="352">
      <c r="A352" s="6" t="s">
        <v>1085</v>
      </c>
      <c r="B352" s="1" t="s">
        <v>871</v>
      </c>
    </row>
    <row r="353">
      <c r="A353" s="6" t="s">
        <v>1086</v>
      </c>
      <c r="B353" s="1" t="s">
        <v>871</v>
      </c>
    </row>
    <row r="354">
      <c r="A354" s="6" t="s">
        <v>1087</v>
      </c>
      <c r="B354" s="1" t="s">
        <v>871</v>
      </c>
    </row>
    <row r="355">
      <c r="A355" s="6" t="s">
        <v>1089</v>
      </c>
      <c r="B355" s="1" t="s">
        <v>871</v>
      </c>
    </row>
    <row r="356">
      <c r="A356" s="6" t="s">
        <v>1091</v>
      </c>
      <c r="B356" s="1" t="s">
        <v>871</v>
      </c>
    </row>
    <row r="357">
      <c r="A357" s="6" t="s">
        <v>1093</v>
      </c>
      <c r="B357" s="1" t="s">
        <v>871</v>
      </c>
    </row>
    <row r="358">
      <c r="A358" s="6" t="s">
        <v>1094</v>
      </c>
      <c r="B358" s="1" t="s">
        <v>871</v>
      </c>
    </row>
    <row r="359">
      <c r="A359" s="6" t="s">
        <v>1096</v>
      </c>
      <c r="B359" s="1" t="s">
        <v>871</v>
      </c>
    </row>
    <row r="360">
      <c r="A360" s="6" t="s">
        <v>1098</v>
      </c>
      <c r="B360" s="1" t="s">
        <v>863</v>
      </c>
    </row>
    <row r="361">
      <c r="A361" s="6" t="s">
        <v>1100</v>
      </c>
      <c r="B361" s="1" t="s">
        <v>863</v>
      </c>
    </row>
    <row r="362">
      <c r="A362" s="6" t="s">
        <v>1102</v>
      </c>
      <c r="B362" s="1" t="s">
        <v>863</v>
      </c>
    </row>
    <row r="363">
      <c r="A363" s="6" t="s">
        <v>1103</v>
      </c>
      <c r="B363" s="1" t="s">
        <v>861</v>
      </c>
    </row>
    <row r="364">
      <c r="A364" s="6" t="s">
        <v>1105</v>
      </c>
      <c r="B364" s="1" t="s">
        <v>863</v>
      </c>
    </row>
    <row r="365">
      <c r="A365" s="6" t="s">
        <v>1106</v>
      </c>
      <c r="B365" s="1" t="s">
        <v>871</v>
      </c>
    </row>
    <row r="366">
      <c r="A366" s="6" t="s">
        <v>1107</v>
      </c>
      <c r="B366" s="1" t="s">
        <v>863</v>
      </c>
    </row>
    <row r="367">
      <c r="A367" s="6" t="s">
        <v>736</v>
      </c>
      <c r="B367" s="1" t="s">
        <v>871</v>
      </c>
    </row>
    <row r="368">
      <c r="A368" s="6" t="s">
        <v>1108</v>
      </c>
      <c r="B368" s="1" t="s">
        <v>871</v>
      </c>
    </row>
    <row r="369">
      <c r="A369" s="6" t="s">
        <v>1109</v>
      </c>
      <c r="B369" s="1" t="s">
        <v>871</v>
      </c>
    </row>
    <row r="370">
      <c r="A370" s="6" t="s">
        <v>1110</v>
      </c>
      <c r="B370" s="1" t="s">
        <v>871</v>
      </c>
    </row>
    <row r="371">
      <c r="A371" s="6" t="s">
        <v>1111</v>
      </c>
      <c r="B371" s="1" t="s">
        <v>871</v>
      </c>
    </row>
    <row r="372">
      <c r="A372" s="6" t="s">
        <v>1112</v>
      </c>
      <c r="B372" s="1" t="s">
        <v>863</v>
      </c>
    </row>
    <row r="373">
      <c r="A373" s="6" t="s">
        <v>1114</v>
      </c>
      <c r="B373" s="1" t="s">
        <v>871</v>
      </c>
    </row>
    <row r="374">
      <c r="A374" s="6" t="s">
        <v>1116</v>
      </c>
      <c r="B374" s="1" t="s">
        <v>871</v>
      </c>
    </row>
    <row r="375">
      <c r="A375" s="6" t="s">
        <v>1118</v>
      </c>
      <c r="B375" s="1" t="s">
        <v>863</v>
      </c>
    </row>
    <row r="376">
      <c r="A376" s="6" t="s">
        <v>1120</v>
      </c>
      <c r="B376" s="1" t="s">
        <v>863</v>
      </c>
    </row>
    <row r="377">
      <c r="A377" s="6" t="s">
        <v>1122</v>
      </c>
      <c r="B377" s="1" t="s">
        <v>863</v>
      </c>
    </row>
    <row r="378">
      <c r="A378" s="6" t="s">
        <v>1123</v>
      </c>
      <c r="B378" s="1" t="s">
        <v>863</v>
      </c>
    </row>
    <row r="379">
      <c r="A379" s="6" t="s">
        <v>1125</v>
      </c>
      <c r="B379" s="1" t="s">
        <v>861</v>
      </c>
    </row>
    <row r="380">
      <c r="A380" s="6" t="s">
        <v>1127</v>
      </c>
      <c r="B380" s="1" t="s">
        <v>861</v>
      </c>
    </row>
    <row r="381">
      <c r="A381" s="6" t="s">
        <v>1129</v>
      </c>
      <c r="B381" s="1" t="s">
        <v>861</v>
      </c>
    </row>
    <row r="382">
      <c r="A382" s="6" t="s">
        <v>1131</v>
      </c>
      <c r="B382" s="1" t="s">
        <v>871</v>
      </c>
    </row>
    <row r="383">
      <c r="A383" s="6" t="s">
        <v>1134</v>
      </c>
      <c r="B383" s="1" t="s">
        <v>871</v>
      </c>
    </row>
    <row r="384">
      <c r="A384" s="6" t="s">
        <v>1137</v>
      </c>
      <c r="B384" s="1" t="s">
        <v>871</v>
      </c>
    </row>
    <row r="385">
      <c r="A385" s="6" t="s">
        <v>1139</v>
      </c>
      <c r="B385" s="1" t="s">
        <v>871</v>
      </c>
    </row>
    <row r="386">
      <c r="A386" s="6" t="s">
        <v>1141</v>
      </c>
      <c r="B386" s="1" t="s">
        <v>871</v>
      </c>
    </row>
    <row r="387">
      <c r="A387" s="6" t="s">
        <v>1143</v>
      </c>
      <c r="B387" s="1" t="s">
        <v>871</v>
      </c>
    </row>
    <row r="388">
      <c r="A388" s="6" t="s">
        <v>1145</v>
      </c>
      <c r="B388" s="1" t="s">
        <v>871</v>
      </c>
    </row>
    <row r="389">
      <c r="A389" s="6" t="s">
        <v>1147</v>
      </c>
      <c r="B389" s="1" t="s">
        <v>863</v>
      </c>
    </row>
    <row r="390">
      <c r="A390" s="6" t="s">
        <v>1149</v>
      </c>
      <c r="B390" s="1" t="s">
        <v>871</v>
      </c>
    </row>
    <row r="391">
      <c r="A391" s="6" t="s">
        <v>1150</v>
      </c>
      <c r="B391" s="1" t="s">
        <v>863</v>
      </c>
    </row>
    <row r="392">
      <c r="A392" s="6" t="s">
        <v>1151</v>
      </c>
      <c r="B392" s="1" t="s">
        <v>871</v>
      </c>
    </row>
    <row r="393">
      <c r="A393" s="6" t="s">
        <v>1153</v>
      </c>
      <c r="B393" s="1" t="s">
        <v>863</v>
      </c>
    </row>
    <row r="394">
      <c r="A394" s="6" t="s">
        <v>1155</v>
      </c>
      <c r="B394" s="1" t="s">
        <v>871</v>
      </c>
    </row>
    <row r="395">
      <c r="A395" s="6" t="s">
        <v>1159</v>
      </c>
      <c r="B395" s="1" t="s">
        <v>871</v>
      </c>
    </row>
    <row r="396">
      <c r="A396" s="6" t="s">
        <v>1162</v>
      </c>
      <c r="B396" s="1" t="s">
        <v>871</v>
      </c>
    </row>
    <row r="397">
      <c r="A397" s="6" t="s">
        <v>1166</v>
      </c>
      <c r="B397" s="1" t="s">
        <v>871</v>
      </c>
    </row>
    <row r="398">
      <c r="A398" s="6" t="s">
        <v>1167</v>
      </c>
      <c r="B398" s="1" t="s">
        <v>871</v>
      </c>
    </row>
    <row r="399">
      <c r="A399" s="6" t="s">
        <v>1169</v>
      </c>
      <c r="B399" s="1" t="s">
        <v>871</v>
      </c>
    </row>
    <row r="400">
      <c r="A400" s="6" t="s">
        <v>1170</v>
      </c>
      <c r="B400" s="1" t="s">
        <v>871</v>
      </c>
    </row>
    <row r="401">
      <c r="A401" s="6" t="s">
        <v>1172</v>
      </c>
      <c r="B401" s="1" t="s">
        <v>871</v>
      </c>
    </row>
    <row r="402">
      <c r="A402" s="6" t="s">
        <v>854</v>
      </c>
      <c r="B402" s="1" t="s">
        <v>871</v>
      </c>
    </row>
    <row r="403">
      <c r="A403" s="6" t="s">
        <v>1173</v>
      </c>
      <c r="B403" s="1" t="s">
        <v>871</v>
      </c>
    </row>
    <row r="404">
      <c r="A404" s="6" t="s">
        <v>987</v>
      </c>
      <c r="B404" s="1" t="s">
        <v>863</v>
      </c>
    </row>
    <row r="405">
      <c r="A405" s="6" t="s">
        <v>1058</v>
      </c>
      <c r="B405" s="1" t="s">
        <v>863</v>
      </c>
    </row>
    <row r="406">
      <c r="A406" s="6" t="s">
        <v>1136</v>
      </c>
      <c r="B406" s="1" t="s">
        <v>871</v>
      </c>
    </row>
    <row r="407">
      <c r="A407" s="6" t="s">
        <v>833</v>
      </c>
      <c r="B407" s="1" t="s">
        <v>871</v>
      </c>
    </row>
    <row r="408">
      <c r="A408" s="6" t="s">
        <v>839</v>
      </c>
      <c r="B408" s="1" t="s">
        <v>871</v>
      </c>
    </row>
  </sheetData>
  <drawing r:id="rId1"/>
</worksheet>
</file>