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5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6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en_skoroszyt"/>
  <mc:AlternateContent xmlns:mc="http://schemas.openxmlformats.org/markup-compatibility/2006">
    <mc:Choice Requires="x15">
      <x15ac:absPath xmlns:x15ac="http://schemas.microsoft.com/office/spreadsheetml/2010/11/ac" url="C:\Users\tygrys012\Desktop\II Semestr 1\Chemometria i metodologia badań doświadczalnych\Laboratorium\"/>
    </mc:Choice>
  </mc:AlternateContent>
  <xr:revisionPtr revIDLastSave="0" documentId="13_ncr:1_{B1258AFA-1123-437E-A2BF-501D28C18C39}" xr6:coauthVersionLast="47" xr6:coauthVersionMax="47" xr10:uidLastSave="{00000000-0000-0000-0000-000000000000}"/>
  <bookViews>
    <workbookView xWindow="-120" yWindow="-120" windowWidth="29040" windowHeight="15840" firstSheet="3" activeTab="5" xr2:uid="{00000000-000D-0000-FFFF-FFFF00000000}"/>
  </bookViews>
  <sheets>
    <sheet name="Dane" sheetId="1" r:id="rId1"/>
    <sheet name="Dane po transformacji i odbieg" sheetId="2" r:id="rId2"/>
    <sheet name="Diagram Czekanowskiego" sheetId="4" r:id="rId3"/>
    <sheet name="Diagram Wiązkowy" sheetId="3" r:id="rId4"/>
    <sheet name="Autoskalowanie.Regresja liniowa" sheetId="5" r:id="rId5"/>
    <sheet name="Diagram Czekanowskiego obiektów" sheetId="6" r:id="rId6"/>
    <sheet name="PCA" sheetId="7" r:id="rId7"/>
  </sheets>
  <calcPr calcId="191029"/>
</workbook>
</file>

<file path=xl/calcChain.xml><?xml version="1.0" encoding="utf-8"?>
<calcChain xmlns="http://schemas.openxmlformats.org/spreadsheetml/2006/main">
  <c r="G17" i="7" l="1"/>
  <c r="H17" i="7"/>
  <c r="I17" i="7"/>
  <c r="G18" i="7"/>
  <c r="H18" i="7"/>
  <c r="I18" i="7"/>
  <c r="G19" i="7"/>
  <c r="H19" i="7"/>
  <c r="I19" i="7"/>
  <c r="G20" i="7"/>
  <c r="H20" i="7"/>
  <c r="I20" i="7"/>
  <c r="G21" i="7"/>
  <c r="H21" i="7"/>
  <c r="I21" i="7"/>
  <c r="G22" i="7"/>
  <c r="H22" i="7"/>
  <c r="I22" i="7"/>
  <c r="G23" i="7"/>
  <c r="H23" i="7"/>
  <c r="I23" i="7"/>
  <c r="G24" i="7"/>
  <c r="H24" i="7"/>
  <c r="I24" i="7"/>
  <c r="G25" i="7"/>
  <c r="H25" i="7"/>
  <c r="I25" i="7"/>
  <c r="G26" i="7"/>
  <c r="H26" i="7"/>
  <c r="I26" i="7"/>
  <c r="G27" i="7"/>
  <c r="H27" i="7"/>
  <c r="I27" i="7"/>
  <c r="G28" i="7"/>
  <c r="H28" i="7"/>
  <c r="I28" i="7"/>
  <c r="G29" i="7"/>
  <c r="H29" i="7"/>
  <c r="I29" i="7"/>
  <c r="G30" i="7"/>
  <c r="H30" i="7"/>
  <c r="I30" i="7"/>
  <c r="G31" i="7"/>
  <c r="H31" i="7"/>
  <c r="I31" i="7"/>
  <c r="G32" i="7"/>
  <c r="H32" i="7"/>
  <c r="I32" i="7"/>
  <c r="G33" i="7"/>
  <c r="H33" i="7"/>
  <c r="I33" i="7"/>
  <c r="G34" i="7"/>
  <c r="H34" i="7"/>
  <c r="I34" i="7"/>
  <c r="G35" i="7"/>
  <c r="H35" i="7"/>
  <c r="I35" i="7"/>
  <c r="G36" i="7"/>
  <c r="H36" i="7"/>
  <c r="I36" i="7"/>
  <c r="G37" i="7"/>
  <c r="H37" i="7"/>
  <c r="I37" i="7"/>
  <c r="G38" i="7"/>
  <c r="H38" i="7"/>
  <c r="I38" i="7"/>
  <c r="G39" i="7"/>
  <c r="H39" i="7"/>
  <c r="I39" i="7"/>
  <c r="G40" i="7"/>
  <c r="H40" i="7"/>
  <c r="I40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G16" i="7"/>
  <c r="F16" i="7"/>
  <c r="H16" i="7" s="1"/>
  <c r="I16" i="7"/>
  <c r="E223" i="2"/>
  <c r="J4" i="7" l="1"/>
  <c r="J5" i="7"/>
  <c r="J6" i="7"/>
  <c r="J7" i="7"/>
  <c r="J8" i="7"/>
  <c r="J9" i="7"/>
  <c r="J10" i="7"/>
  <c r="J3" i="7"/>
  <c r="H4" i="7"/>
  <c r="H5" i="7"/>
  <c r="H6" i="7"/>
  <c r="H7" i="7"/>
  <c r="H8" i="7"/>
  <c r="H9" i="7"/>
  <c r="H10" i="7"/>
  <c r="H3" i="7"/>
  <c r="G4" i="7"/>
  <c r="I4" i="7" s="1"/>
  <c r="G5" i="7"/>
  <c r="G6" i="7"/>
  <c r="G7" i="7"/>
  <c r="I7" i="7" s="1"/>
  <c r="G8" i="7"/>
  <c r="G9" i="7"/>
  <c r="G10" i="7"/>
  <c r="I10" i="7" s="1"/>
  <c r="G3" i="7"/>
  <c r="I5" i="7"/>
  <c r="I6" i="7"/>
  <c r="I8" i="7"/>
  <c r="I9" i="7"/>
  <c r="I3" i="7"/>
  <c r="N64" i="6"/>
  <c r="N63" i="6"/>
  <c r="N62" i="6"/>
  <c r="N61" i="6"/>
  <c r="J29" i="6"/>
  <c r="I29" i="6"/>
  <c r="H29" i="6"/>
  <c r="G29" i="6"/>
  <c r="F29" i="6"/>
  <c r="E29" i="6"/>
  <c r="D29" i="6"/>
  <c r="B29" i="6"/>
  <c r="A29" i="6"/>
  <c r="J28" i="6"/>
  <c r="I28" i="6"/>
  <c r="H28" i="6"/>
  <c r="G28" i="6"/>
  <c r="F28" i="6"/>
  <c r="E28" i="6"/>
  <c r="D28" i="6"/>
  <c r="B28" i="6"/>
  <c r="A28" i="6"/>
  <c r="J27" i="6"/>
  <c r="I27" i="6"/>
  <c r="H27" i="6"/>
  <c r="G27" i="6"/>
  <c r="F27" i="6"/>
  <c r="E27" i="6"/>
  <c r="D27" i="6"/>
  <c r="C27" i="6"/>
  <c r="J26" i="6"/>
  <c r="I26" i="6"/>
  <c r="H26" i="6"/>
  <c r="G26" i="6"/>
  <c r="F26" i="6"/>
  <c r="E26" i="6"/>
  <c r="D26" i="6"/>
  <c r="C26" i="6"/>
  <c r="J25" i="6"/>
  <c r="I25" i="6"/>
  <c r="H25" i="6"/>
  <c r="G25" i="6"/>
  <c r="F25" i="6"/>
  <c r="E25" i="6"/>
  <c r="D25" i="6"/>
  <c r="C25" i="6"/>
  <c r="J24" i="6"/>
  <c r="I24" i="6"/>
  <c r="H24" i="6"/>
  <c r="G24" i="6"/>
  <c r="F24" i="6"/>
  <c r="E24" i="6"/>
  <c r="D24" i="6"/>
  <c r="C24" i="6"/>
  <c r="J23" i="6"/>
  <c r="I23" i="6"/>
  <c r="H23" i="6"/>
  <c r="G23" i="6"/>
  <c r="F23" i="6"/>
  <c r="E23" i="6"/>
  <c r="D23" i="6"/>
  <c r="C23" i="6"/>
  <c r="J22" i="6"/>
  <c r="I22" i="6"/>
  <c r="H22" i="6"/>
  <c r="G22" i="6"/>
  <c r="F22" i="6"/>
  <c r="E22" i="6"/>
  <c r="D22" i="6"/>
  <c r="C22" i="6"/>
  <c r="J21" i="6"/>
  <c r="I21" i="6"/>
  <c r="H21" i="6"/>
  <c r="G21" i="6"/>
  <c r="F21" i="6"/>
  <c r="E21" i="6"/>
  <c r="D21" i="6"/>
  <c r="C21" i="6"/>
  <c r="J20" i="6"/>
  <c r="I20" i="6"/>
  <c r="H20" i="6"/>
  <c r="G20" i="6"/>
  <c r="F20" i="6"/>
  <c r="E20" i="6"/>
  <c r="D20" i="6"/>
  <c r="C20" i="6"/>
  <c r="J19" i="6"/>
  <c r="I19" i="6"/>
  <c r="H19" i="6"/>
  <c r="G19" i="6"/>
  <c r="F19" i="6"/>
  <c r="E19" i="6"/>
  <c r="D19" i="6"/>
  <c r="C19" i="6"/>
  <c r="J18" i="6"/>
  <c r="I18" i="6"/>
  <c r="H18" i="6"/>
  <c r="G18" i="6"/>
  <c r="F18" i="6"/>
  <c r="E18" i="6"/>
  <c r="D18" i="6"/>
  <c r="C18" i="6"/>
  <c r="J17" i="6"/>
  <c r="I17" i="6"/>
  <c r="H17" i="6"/>
  <c r="G17" i="6"/>
  <c r="F17" i="6"/>
  <c r="E17" i="6"/>
  <c r="D17" i="6"/>
  <c r="C17" i="6"/>
  <c r="J16" i="6"/>
  <c r="I16" i="6"/>
  <c r="H16" i="6"/>
  <c r="G16" i="6"/>
  <c r="F16" i="6"/>
  <c r="E16" i="6"/>
  <c r="D16" i="6"/>
  <c r="C16" i="6"/>
  <c r="J15" i="6"/>
  <c r="I15" i="6"/>
  <c r="H15" i="6"/>
  <c r="G15" i="6"/>
  <c r="F15" i="6"/>
  <c r="E15" i="6"/>
  <c r="D15" i="6"/>
  <c r="C15" i="6"/>
  <c r="J14" i="6"/>
  <c r="I14" i="6"/>
  <c r="H14" i="6"/>
  <c r="G14" i="6"/>
  <c r="F14" i="6"/>
  <c r="E14" i="6"/>
  <c r="D14" i="6"/>
  <c r="C14" i="6"/>
  <c r="J13" i="6"/>
  <c r="I13" i="6"/>
  <c r="H13" i="6"/>
  <c r="G13" i="6"/>
  <c r="F13" i="6"/>
  <c r="E13" i="6"/>
  <c r="D13" i="6"/>
  <c r="C13" i="6"/>
  <c r="J12" i="6"/>
  <c r="I12" i="6"/>
  <c r="H12" i="6"/>
  <c r="G12" i="6"/>
  <c r="F12" i="6"/>
  <c r="E12" i="6"/>
  <c r="D12" i="6"/>
  <c r="C12" i="6"/>
  <c r="J11" i="6"/>
  <c r="I11" i="6"/>
  <c r="H11" i="6"/>
  <c r="G11" i="6"/>
  <c r="F11" i="6"/>
  <c r="E11" i="6"/>
  <c r="D11" i="6"/>
  <c r="C11" i="6"/>
  <c r="J10" i="6"/>
  <c r="I10" i="6"/>
  <c r="H10" i="6"/>
  <c r="G10" i="6"/>
  <c r="F10" i="6"/>
  <c r="E10" i="6"/>
  <c r="D10" i="6"/>
  <c r="C10" i="6"/>
  <c r="J9" i="6"/>
  <c r="I9" i="6"/>
  <c r="H9" i="6"/>
  <c r="G9" i="6"/>
  <c r="F9" i="6"/>
  <c r="E9" i="6"/>
  <c r="D9" i="6"/>
  <c r="C9" i="6"/>
  <c r="J8" i="6"/>
  <c r="I8" i="6"/>
  <c r="H8" i="6"/>
  <c r="G8" i="6"/>
  <c r="F8" i="6"/>
  <c r="E8" i="6"/>
  <c r="D8" i="6"/>
  <c r="C8" i="6"/>
  <c r="J7" i="6"/>
  <c r="I7" i="6"/>
  <c r="H7" i="6"/>
  <c r="G7" i="6"/>
  <c r="F7" i="6"/>
  <c r="E7" i="6"/>
  <c r="D7" i="6"/>
  <c r="C7" i="6"/>
  <c r="J6" i="6"/>
  <c r="I6" i="6"/>
  <c r="H6" i="6"/>
  <c r="G6" i="6"/>
  <c r="F6" i="6"/>
  <c r="E6" i="6"/>
  <c r="D6" i="6"/>
  <c r="C6" i="6"/>
  <c r="J5" i="6"/>
  <c r="I5" i="6"/>
  <c r="H5" i="6"/>
  <c r="G5" i="6"/>
  <c r="F5" i="6"/>
  <c r="E5" i="6"/>
  <c r="D5" i="6"/>
  <c r="C5" i="6"/>
  <c r="J4" i="6"/>
  <c r="I4" i="6"/>
  <c r="H4" i="6"/>
  <c r="G4" i="6"/>
  <c r="F4" i="6"/>
  <c r="E4" i="6"/>
  <c r="D4" i="6"/>
  <c r="C4" i="6"/>
  <c r="J3" i="6"/>
  <c r="I3" i="6"/>
  <c r="H3" i="6"/>
  <c r="G3" i="6"/>
  <c r="F3" i="6"/>
  <c r="E3" i="6"/>
  <c r="D3" i="6"/>
  <c r="C3" i="6"/>
  <c r="J1" i="6"/>
  <c r="I1" i="6"/>
  <c r="H1" i="6"/>
  <c r="G1" i="6"/>
  <c r="F1" i="6"/>
  <c r="E1" i="6"/>
  <c r="D1" i="6"/>
  <c r="C1" i="6"/>
  <c r="B1" i="6"/>
  <c r="A1" i="6"/>
  <c r="C3" i="5"/>
  <c r="D3" i="5"/>
  <c r="E3" i="5"/>
  <c r="F3" i="5"/>
  <c r="G3" i="5"/>
  <c r="H3" i="5"/>
  <c r="I3" i="5"/>
  <c r="J3" i="5"/>
  <c r="C4" i="5"/>
  <c r="D4" i="5"/>
  <c r="E4" i="5"/>
  <c r="F4" i="5"/>
  <c r="G4" i="5"/>
  <c r="H4" i="5"/>
  <c r="I4" i="5"/>
  <c r="J4" i="5"/>
  <c r="C5" i="5"/>
  <c r="D5" i="5"/>
  <c r="E5" i="5"/>
  <c r="F5" i="5"/>
  <c r="G5" i="5"/>
  <c r="H5" i="5"/>
  <c r="I5" i="5"/>
  <c r="J5" i="5"/>
  <c r="C6" i="5"/>
  <c r="D6" i="5"/>
  <c r="E6" i="5"/>
  <c r="F6" i="5"/>
  <c r="G6" i="5"/>
  <c r="H6" i="5"/>
  <c r="I6" i="5"/>
  <c r="J6" i="5"/>
  <c r="C7" i="5"/>
  <c r="D7" i="5"/>
  <c r="E7" i="5"/>
  <c r="F7" i="5"/>
  <c r="G7" i="5"/>
  <c r="H7" i="5"/>
  <c r="I7" i="5"/>
  <c r="J7" i="5"/>
  <c r="C8" i="5"/>
  <c r="D8" i="5"/>
  <c r="E8" i="5"/>
  <c r="F8" i="5"/>
  <c r="G8" i="5"/>
  <c r="H8" i="5"/>
  <c r="I8" i="5"/>
  <c r="J8" i="5"/>
  <c r="C9" i="5"/>
  <c r="D9" i="5"/>
  <c r="E9" i="5"/>
  <c r="F9" i="5"/>
  <c r="G9" i="5"/>
  <c r="H9" i="5"/>
  <c r="I9" i="5"/>
  <c r="J9" i="5"/>
  <c r="C10" i="5"/>
  <c r="D10" i="5"/>
  <c r="E10" i="5"/>
  <c r="F10" i="5"/>
  <c r="G10" i="5"/>
  <c r="H10" i="5"/>
  <c r="I10" i="5"/>
  <c r="J10" i="5"/>
  <c r="C11" i="5"/>
  <c r="D11" i="5"/>
  <c r="E11" i="5"/>
  <c r="F11" i="5"/>
  <c r="G11" i="5"/>
  <c r="H11" i="5"/>
  <c r="I11" i="5"/>
  <c r="J11" i="5"/>
  <c r="C12" i="5"/>
  <c r="D12" i="5"/>
  <c r="E12" i="5"/>
  <c r="F12" i="5"/>
  <c r="G12" i="5"/>
  <c r="H12" i="5"/>
  <c r="I12" i="5"/>
  <c r="J12" i="5"/>
  <c r="C13" i="5"/>
  <c r="D13" i="5"/>
  <c r="E13" i="5"/>
  <c r="F13" i="5"/>
  <c r="G13" i="5"/>
  <c r="H13" i="5"/>
  <c r="I13" i="5"/>
  <c r="J13" i="5"/>
  <c r="C14" i="5"/>
  <c r="D14" i="5"/>
  <c r="E14" i="5"/>
  <c r="F14" i="5"/>
  <c r="G14" i="5"/>
  <c r="H14" i="5"/>
  <c r="I14" i="5"/>
  <c r="J14" i="5"/>
  <c r="C15" i="5"/>
  <c r="D15" i="5"/>
  <c r="E15" i="5"/>
  <c r="F15" i="5"/>
  <c r="G15" i="5"/>
  <c r="H15" i="5"/>
  <c r="I15" i="5"/>
  <c r="J15" i="5"/>
  <c r="C16" i="5"/>
  <c r="D16" i="5"/>
  <c r="E16" i="5"/>
  <c r="F16" i="5"/>
  <c r="G16" i="5"/>
  <c r="H16" i="5"/>
  <c r="I16" i="5"/>
  <c r="J16" i="5"/>
  <c r="C17" i="5"/>
  <c r="D17" i="5"/>
  <c r="E17" i="5"/>
  <c r="F17" i="5"/>
  <c r="G17" i="5"/>
  <c r="H17" i="5"/>
  <c r="I17" i="5"/>
  <c r="J17" i="5"/>
  <c r="C18" i="5"/>
  <c r="D18" i="5"/>
  <c r="E18" i="5"/>
  <c r="F18" i="5"/>
  <c r="G18" i="5"/>
  <c r="H18" i="5"/>
  <c r="I18" i="5"/>
  <c r="J18" i="5"/>
  <c r="C19" i="5"/>
  <c r="D19" i="5"/>
  <c r="E19" i="5"/>
  <c r="F19" i="5"/>
  <c r="G19" i="5"/>
  <c r="H19" i="5"/>
  <c r="I19" i="5"/>
  <c r="J19" i="5"/>
  <c r="C20" i="5"/>
  <c r="D20" i="5"/>
  <c r="E20" i="5"/>
  <c r="F20" i="5"/>
  <c r="G20" i="5"/>
  <c r="H20" i="5"/>
  <c r="I20" i="5"/>
  <c r="J20" i="5"/>
  <c r="C21" i="5"/>
  <c r="D21" i="5"/>
  <c r="E21" i="5"/>
  <c r="F21" i="5"/>
  <c r="G21" i="5"/>
  <c r="H21" i="5"/>
  <c r="I21" i="5"/>
  <c r="J21" i="5"/>
  <c r="C22" i="5"/>
  <c r="D22" i="5"/>
  <c r="E22" i="5"/>
  <c r="F22" i="5"/>
  <c r="G22" i="5"/>
  <c r="H22" i="5"/>
  <c r="I22" i="5"/>
  <c r="J22" i="5"/>
  <c r="C23" i="5"/>
  <c r="D23" i="5"/>
  <c r="E23" i="5"/>
  <c r="F23" i="5"/>
  <c r="G23" i="5"/>
  <c r="H23" i="5"/>
  <c r="I23" i="5"/>
  <c r="J23" i="5"/>
  <c r="C24" i="5"/>
  <c r="D24" i="5"/>
  <c r="E24" i="5"/>
  <c r="F24" i="5"/>
  <c r="G24" i="5"/>
  <c r="H24" i="5"/>
  <c r="I24" i="5"/>
  <c r="J24" i="5"/>
  <c r="C25" i="5"/>
  <c r="D25" i="5"/>
  <c r="E25" i="5"/>
  <c r="F25" i="5"/>
  <c r="G25" i="5"/>
  <c r="H25" i="5"/>
  <c r="I25" i="5"/>
  <c r="J25" i="5"/>
  <c r="C26" i="5"/>
  <c r="D26" i="5"/>
  <c r="E26" i="5"/>
  <c r="F26" i="5"/>
  <c r="G26" i="5"/>
  <c r="H26" i="5"/>
  <c r="I26" i="5"/>
  <c r="J26" i="5"/>
  <c r="C27" i="5"/>
  <c r="D27" i="5"/>
  <c r="E27" i="5"/>
  <c r="F27" i="5"/>
  <c r="G27" i="5"/>
  <c r="H27" i="5"/>
  <c r="I27" i="5"/>
  <c r="J27" i="5"/>
  <c r="A1" i="5"/>
  <c r="B1" i="5"/>
  <c r="C1" i="5"/>
  <c r="D1" i="5"/>
  <c r="E1" i="5"/>
  <c r="F1" i="5"/>
  <c r="G1" i="5"/>
  <c r="H1" i="5"/>
  <c r="I1" i="5"/>
  <c r="J1" i="5"/>
  <c r="A28" i="5"/>
  <c r="B28" i="5"/>
  <c r="C28" i="5"/>
  <c r="D28" i="5"/>
  <c r="E28" i="5"/>
  <c r="F28" i="5"/>
  <c r="G28" i="5"/>
  <c r="H28" i="5"/>
  <c r="I28" i="5"/>
  <c r="J28" i="5"/>
  <c r="A29" i="5"/>
  <c r="B29" i="5"/>
  <c r="D29" i="5"/>
  <c r="E29" i="5"/>
  <c r="F29" i="5"/>
  <c r="G29" i="5"/>
  <c r="H29" i="5"/>
  <c r="I29" i="5"/>
  <c r="J29" i="5"/>
  <c r="F244" i="2"/>
  <c r="G244" i="2"/>
  <c r="H244" i="2"/>
  <c r="I244" i="2"/>
  <c r="J244" i="2"/>
  <c r="K244" i="2"/>
  <c r="L244" i="2"/>
  <c r="F243" i="2"/>
  <c r="G243" i="2"/>
  <c r="H243" i="2"/>
  <c r="I243" i="2"/>
  <c r="J243" i="2"/>
  <c r="K243" i="2"/>
  <c r="L243" i="2"/>
  <c r="E244" i="2"/>
  <c r="C29" i="6" s="1"/>
  <c r="E243" i="2"/>
  <c r="C28" i="6" s="1"/>
  <c r="F218" i="2"/>
  <c r="G218" i="2"/>
  <c r="H218" i="2"/>
  <c r="I218" i="2"/>
  <c r="J218" i="2"/>
  <c r="K218" i="2"/>
  <c r="L218" i="2"/>
  <c r="F219" i="2"/>
  <c r="G219" i="2"/>
  <c r="H219" i="2"/>
  <c r="I219" i="2"/>
  <c r="J219" i="2"/>
  <c r="K219" i="2"/>
  <c r="L219" i="2"/>
  <c r="F220" i="2"/>
  <c r="G220" i="2"/>
  <c r="H220" i="2"/>
  <c r="I220" i="2"/>
  <c r="J220" i="2"/>
  <c r="K220" i="2"/>
  <c r="L220" i="2"/>
  <c r="F221" i="2"/>
  <c r="G221" i="2"/>
  <c r="H221" i="2"/>
  <c r="I221" i="2"/>
  <c r="J221" i="2"/>
  <c r="K221" i="2"/>
  <c r="L221" i="2"/>
  <c r="F222" i="2"/>
  <c r="G222" i="2"/>
  <c r="H222" i="2"/>
  <c r="I222" i="2"/>
  <c r="J222" i="2"/>
  <c r="K222" i="2"/>
  <c r="L222" i="2"/>
  <c r="F223" i="2"/>
  <c r="G223" i="2"/>
  <c r="H223" i="2"/>
  <c r="I223" i="2"/>
  <c r="J223" i="2"/>
  <c r="K223" i="2"/>
  <c r="L223" i="2"/>
  <c r="F224" i="2"/>
  <c r="G224" i="2"/>
  <c r="H224" i="2"/>
  <c r="I224" i="2"/>
  <c r="J224" i="2"/>
  <c r="K224" i="2"/>
  <c r="L224" i="2"/>
  <c r="F225" i="2"/>
  <c r="G225" i="2"/>
  <c r="H225" i="2"/>
  <c r="I225" i="2"/>
  <c r="J225" i="2"/>
  <c r="K225" i="2"/>
  <c r="L225" i="2"/>
  <c r="F226" i="2"/>
  <c r="G226" i="2"/>
  <c r="H226" i="2"/>
  <c r="I226" i="2"/>
  <c r="J226" i="2"/>
  <c r="K226" i="2"/>
  <c r="L226" i="2"/>
  <c r="F227" i="2"/>
  <c r="G227" i="2"/>
  <c r="H227" i="2"/>
  <c r="I227" i="2"/>
  <c r="J227" i="2"/>
  <c r="K227" i="2"/>
  <c r="L227" i="2"/>
  <c r="F228" i="2"/>
  <c r="G228" i="2"/>
  <c r="H228" i="2"/>
  <c r="I228" i="2"/>
  <c r="J228" i="2"/>
  <c r="K228" i="2"/>
  <c r="L228" i="2"/>
  <c r="F229" i="2"/>
  <c r="G229" i="2"/>
  <c r="H229" i="2"/>
  <c r="I229" i="2"/>
  <c r="J229" i="2"/>
  <c r="K229" i="2"/>
  <c r="L229" i="2"/>
  <c r="F230" i="2"/>
  <c r="G230" i="2"/>
  <c r="H230" i="2"/>
  <c r="I230" i="2"/>
  <c r="J230" i="2"/>
  <c r="K230" i="2"/>
  <c r="L230" i="2"/>
  <c r="F231" i="2"/>
  <c r="G231" i="2"/>
  <c r="H231" i="2"/>
  <c r="I231" i="2"/>
  <c r="J231" i="2"/>
  <c r="K231" i="2"/>
  <c r="L231" i="2"/>
  <c r="F232" i="2"/>
  <c r="G232" i="2"/>
  <c r="H232" i="2"/>
  <c r="I232" i="2"/>
  <c r="J232" i="2"/>
  <c r="K232" i="2"/>
  <c r="L232" i="2"/>
  <c r="F233" i="2"/>
  <c r="G233" i="2"/>
  <c r="H233" i="2"/>
  <c r="I233" i="2"/>
  <c r="J233" i="2"/>
  <c r="K233" i="2"/>
  <c r="L233" i="2"/>
  <c r="F234" i="2"/>
  <c r="G234" i="2"/>
  <c r="H234" i="2"/>
  <c r="I234" i="2"/>
  <c r="J234" i="2"/>
  <c r="K234" i="2"/>
  <c r="L234" i="2"/>
  <c r="F235" i="2"/>
  <c r="G235" i="2"/>
  <c r="H235" i="2"/>
  <c r="I235" i="2"/>
  <c r="J235" i="2"/>
  <c r="K235" i="2"/>
  <c r="L235" i="2"/>
  <c r="F236" i="2"/>
  <c r="G236" i="2"/>
  <c r="H236" i="2"/>
  <c r="I236" i="2"/>
  <c r="J236" i="2"/>
  <c r="K236" i="2"/>
  <c r="L236" i="2"/>
  <c r="F237" i="2"/>
  <c r="G237" i="2"/>
  <c r="H237" i="2"/>
  <c r="I237" i="2"/>
  <c r="J237" i="2"/>
  <c r="K237" i="2"/>
  <c r="L237" i="2"/>
  <c r="F238" i="2"/>
  <c r="G238" i="2"/>
  <c r="H238" i="2"/>
  <c r="I238" i="2"/>
  <c r="J238" i="2"/>
  <c r="K238" i="2"/>
  <c r="L238" i="2"/>
  <c r="F239" i="2"/>
  <c r="G239" i="2"/>
  <c r="H239" i="2"/>
  <c r="I239" i="2"/>
  <c r="J239" i="2"/>
  <c r="K239" i="2"/>
  <c r="L239" i="2"/>
  <c r="F240" i="2"/>
  <c r="G240" i="2"/>
  <c r="H240" i="2"/>
  <c r="I240" i="2"/>
  <c r="J240" i="2"/>
  <c r="K240" i="2"/>
  <c r="L240" i="2"/>
  <c r="F241" i="2"/>
  <c r="G241" i="2"/>
  <c r="H241" i="2"/>
  <c r="I241" i="2"/>
  <c r="J241" i="2"/>
  <c r="K241" i="2"/>
  <c r="L241" i="2"/>
  <c r="F242" i="2"/>
  <c r="G242" i="2"/>
  <c r="H242" i="2"/>
  <c r="I242" i="2"/>
  <c r="J242" i="2"/>
  <c r="K242" i="2"/>
  <c r="L242" i="2"/>
  <c r="E219" i="2"/>
  <c r="E220" i="2"/>
  <c r="E221" i="2"/>
  <c r="E222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18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C241" i="2"/>
  <c r="D241" i="2"/>
  <c r="C242" i="2"/>
  <c r="D242" i="2"/>
  <c r="E217" i="2"/>
  <c r="F217" i="2"/>
  <c r="G217" i="2"/>
  <c r="H217" i="2"/>
  <c r="I217" i="2"/>
  <c r="J217" i="2"/>
  <c r="K217" i="2"/>
  <c r="L217" i="2"/>
  <c r="O9" i="4"/>
  <c r="O219" i="2"/>
  <c r="O230" i="2" s="1"/>
  <c r="P219" i="2"/>
  <c r="P230" i="2" s="1"/>
  <c r="Q219" i="2"/>
  <c r="Q230" i="2" s="1"/>
  <c r="X37" i="2" s="1"/>
  <c r="R219" i="2"/>
  <c r="R230" i="2" s="1"/>
  <c r="AG37" i="2" s="1"/>
  <c r="S219" i="2"/>
  <c r="S230" i="2" s="1"/>
  <c r="AP37" i="2" s="1"/>
  <c r="T219" i="2"/>
  <c r="T230" i="2" s="1"/>
  <c r="AY37" i="2" s="1"/>
  <c r="U219" i="2"/>
  <c r="U230" i="2" s="1"/>
  <c r="BH37" i="2" s="1"/>
  <c r="V219" i="2"/>
  <c r="V230" i="2" s="1"/>
  <c r="BQ37" i="2" s="1"/>
  <c r="O220" i="2"/>
  <c r="O231" i="2" s="1"/>
  <c r="P220" i="2"/>
  <c r="P231" i="2" s="1"/>
  <c r="Q220" i="2"/>
  <c r="Q231" i="2" s="1"/>
  <c r="R220" i="2"/>
  <c r="R231" i="2" s="1"/>
  <c r="X62" i="2" s="1"/>
  <c r="S220" i="2"/>
  <c r="S231" i="2" s="1"/>
  <c r="AG62" i="2" s="1"/>
  <c r="T220" i="2"/>
  <c r="T231" i="2" s="1"/>
  <c r="AP62" i="2" s="1"/>
  <c r="U220" i="2"/>
  <c r="U231" i="2" s="1"/>
  <c r="AY62" i="2" s="1"/>
  <c r="V220" i="2"/>
  <c r="V231" i="2" s="1"/>
  <c r="BH62" i="2" s="1"/>
  <c r="O221" i="2"/>
  <c r="O232" i="2" s="1"/>
  <c r="P221" i="2"/>
  <c r="P232" i="2" s="1"/>
  <c r="Q221" i="2"/>
  <c r="Q232" i="2" s="1"/>
  <c r="R221" i="2"/>
  <c r="R232" i="2" s="1"/>
  <c r="S221" i="2"/>
  <c r="S232" i="2" s="1"/>
  <c r="X87" i="2" s="1"/>
  <c r="T221" i="2"/>
  <c r="T232" i="2" s="1"/>
  <c r="AG87" i="2" s="1"/>
  <c r="U221" i="2"/>
  <c r="U232" i="2" s="1"/>
  <c r="AP87" i="2" s="1"/>
  <c r="V221" i="2"/>
  <c r="V232" i="2" s="1"/>
  <c r="AY87" i="2" s="1"/>
  <c r="O222" i="2"/>
  <c r="O233" i="2" s="1"/>
  <c r="P222" i="2"/>
  <c r="P233" i="2" s="1"/>
  <c r="Q222" i="2"/>
  <c r="Q233" i="2" s="1"/>
  <c r="R222" i="2"/>
  <c r="R233" i="2" s="1"/>
  <c r="S222" i="2"/>
  <c r="S233" i="2" s="1"/>
  <c r="T222" i="2"/>
  <c r="T233" i="2" s="1"/>
  <c r="X113" i="2" s="1"/>
  <c r="U222" i="2"/>
  <c r="U233" i="2" s="1"/>
  <c r="AG113" i="2" s="1"/>
  <c r="V222" i="2"/>
  <c r="V233" i="2" s="1"/>
  <c r="AP113" i="2" s="1"/>
  <c r="O223" i="2"/>
  <c r="O234" i="2" s="1"/>
  <c r="P223" i="2"/>
  <c r="P234" i="2" s="1"/>
  <c r="Q223" i="2"/>
  <c r="Q234" i="2" s="1"/>
  <c r="R223" i="2"/>
  <c r="R234" i="2" s="1"/>
  <c r="S223" i="2"/>
  <c r="S234" i="2" s="1"/>
  <c r="T223" i="2"/>
  <c r="T234" i="2" s="1"/>
  <c r="U223" i="2"/>
  <c r="U234" i="2" s="1"/>
  <c r="X138" i="2" s="1"/>
  <c r="V223" i="2"/>
  <c r="V234" i="2" s="1"/>
  <c r="AG138" i="2" s="1"/>
  <c r="O224" i="2"/>
  <c r="O235" i="2" s="1"/>
  <c r="P224" i="2"/>
  <c r="P235" i="2" s="1"/>
  <c r="Q224" i="2"/>
  <c r="Q235" i="2" s="1"/>
  <c r="R224" i="2"/>
  <c r="R235" i="2" s="1"/>
  <c r="S224" i="2"/>
  <c r="S235" i="2" s="1"/>
  <c r="T224" i="2"/>
  <c r="T235" i="2" s="1"/>
  <c r="U224" i="2"/>
  <c r="U235" i="2" s="1"/>
  <c r="V224" i="2"/>
  <c r="V235" i="2" s="1"/>
  <c r="X163" i="2" s="1"/>
  <c r="O225" i="2"/>
  <c r="O236" i="2" s="1"/>
  <c r="P225" i="2"/>
  <c r="P236" i="2" s="1"/>
  <c r="Q225" i="2"/>
  <c r="Q236" i="2" s="1"/>
  <c r="R225" i="2"/>
  <c r="R236" i="2" s="1"/>
  <c r="S225" i="2"/>
  <c r="S236" i="2" s="1"/>
  <c r="T225" i="2"/>
  <c r="T236" i="2" s="1"/>
  <c r="U225" i="2"/>
  <c r="U236" i="2" s="1"/>
  <c r="V225" i="2"/>
  <c r="V236" i="2" s="1"/>
  <c r="P218" i="2"/>
  <c r="P229" i="2" s="1"/>
  <c r="X11" i="2" s="1"/>
  <c r="Q218" i="2"/>
  <c r="Q229" i="2" s="1"/>
  <c r="AG11" i="2" s="1"/>
  <c r="R218" i="2"/>
  <c r="R229" i="2" s="1"/>
  <c r="AP11" i="2" s="1"/>
  <c r="S218" i="2"/>
  <c r="S229" i="2" s="1"/>
  <c r="AY11" i="2" s="1"/>
  <c r="T218" i="2"/>
  <c r="T229" i="2" s="1"/>
  <c r="BH11" i="2" s="1"/>
  <c r="U218" i="2"/>
  <c r="U229" i="2" s="1"/>
  <c r="BQ11" i="2" s="1"/>
  <c r="V218" i="2"/>
  <c r="V229" i="2" s="1"/>
  <c r="BZ11" i="2" s="1"/>
  <c r="O218" i="2"/>
  <c r="O229" i="2" s="1"/>
  <c r="E40" i="1"/>
  <c r="E44" i="1" s="1"/>
  <c r="F40" i="1"/>
  <c r="F44" i="1" s="1"/>
  <c r="G40" i="1"/>
  <c r="G44" i="1" s="1"/>
  <c r="H40" i="1"/>
  <c r="H44" i="1" s="1"/>
  <c r="I40" i="1"/>
  <c r="I44" i="1" s="1"/>
  <c r="J40" i="1"/>
  <c r="J44" i="1" s="1"/>
  <c r="K40" i="1"/>
  <c r="K44" i="1" s="1"/>
  <c r="D40" i="1"/>
  <c r="D44" i="1" s="1"/>
  <c r="E39" i="1"/>
  <c r="F39" i="1"/>
  <c r="G39" i="1"/>
  <c r="H39" i="1"/>
  <c r="I39" i="1"/>
  <c r="J39" i="1"/>
  <c r="K39" i="1"/>
  <c r="E38" i="1"/>
  <c r="F38" i="1"/>
  <c r="G38" i="1"/>
  <c r="H38" i="1"/>
  <c r="I38" i="1"/>
  <c r="J38" i="1"/>
  <c r="K38" i="1"/>
  <c r="J36" i="1"/>
  <c r="J43" i="1" s="1"/>
  <c r="D39" i="1"/>
  <c r="D38" i="1"/>
  <c r="E34" i="1"/>
  <c r="E36" i="1" s="1"/>
  <c r="F34" i="1"/>
  <c r="F36" i="1" s="1"/>
  <c r="G34" i="1"/>
  <c r="H34" i="1"/>
  <c r="H36" i="1" s="1"/>
  <c r="I34" i="1"/>
  <c r="I36" i="1" s="1"/>
  <c r="J34" i="1"/>
  <c r="K34" i="1"/>
  <c r="K36" i="1" s="1"/>
  <c r="D34" i="1"/>
  <c r="D36" i="1" s="1"/>
  <c r="E33" i="1"/>
  <c r="E35" i="1" s="1"/>
  <c r="E41" i="1" s="1"/>
  <c r="F33" i="1"/>
  <c r="F35" i="1" s="1"/>
  <c r="F41" i="1" s="1"/>
  <c r="G33" i="1"/>
  <c r="G36" i="1" s="1"/>
  <c r="H33" i="1"/>
  <c r="H35" i="1" s="1"/>
  <c r="H41" i="1" s="1"/>
  <c r="I33" i="1"/>
  <c r="I35" i="1" s="1"/>
  <c r="I41" i="1" s="1"/>
  <c r="J33" i="1"/>
  <c r="J35" i="1" s="1"/>
  <c r="J41" i="1" s="1"/>
  <c r="K33" i="1"/>
  <c r="K35" i="1" s="1"/>
  <c r="K41" i="1" s="1"/>
  <c r="D33" i="1"/>
  <c r="D35" i="1" s="1"/>
  <c r="D41" i="1" s="1"/>
  <c r="C29" i="5" l="1"/>
  <c r="N19" i="6"/>
  <c r="P4" i="6"/>
  <c r="U21" i="6"/>
  <c r="X4" i="6"/>
  <c r="AC18" i="6"/>
  <c r="AF4" i="6"/>
  <c r="AK15" i="6"/>
  <c r="N28" i="6"/>
  <c r="P5" i="6"/>
  <c r="Q5" i="6"/>
  <c r="W5" i="6"/>
  <c r="AB4" i="6"/>
  <c r="AK4" i="6"/>
  <c r="AK26" i="6"/>
  <c r="U24" i="6"/>
  <c r="AC21" i="6"/>
  <c r="AK18" i="6"/>
  <c r="U16" i="6"/>
  <c r="S4" i="6"/>
  <c r="X5" i="6"/>
  <c r="AG5" i="6"/>
  <c r="AC26" i="6"/>
  <c r="AK23" i="6"/>
  <c r="O4" i="6"/>
  <c r="U6" i="6"/>
  <c r="U12" i="6"/>
  <c r="U14" i="6"/>
  <c r="U13" i="6"/>
  <c r="U8" i="6"/>
  <c r="U5" i="6"/>
  <c r="U7" i="6"/>
  <c r="U9" i="6"/>
  <c r="U10" i="6"/>
  <c r="V25" i="6"/>
  <c r="V26" i="6"/>
  <c r="V27" i="6"/>
  <c r="V28" i="6"/>
  <c r="W4" i="6"/>
  <c r="AC6" i="6"/>
  <c r="AC10" i="6"/>
  <c r="AC12" i="6"/>
  <c r="AC11" i="6"/>
  <c r="AC5" i="6"/>
  <c r="AC7" i="6"/>
  <c r="AC9" i="6"/>
  <c r="AC8" i="6"/>
  <c r="AD24" i="6"/>
  <c r="AD25" i="6"/>
  <c r="AD26" i="6"/>
  <c r="AD27" i="6"/>
  <c r="AD28" i="6"/>
  <c r="AE4" i="6"/>
  <c r="AK9" i="6"/>
  <c r="AK5" i="6"/>
  <c r="AK13" i="6"/>
  <c r="AK6" i="6"/>
  <c r="AK10" i="6"/>
  <c r="AK8" i="6"/>
  <c r="AK12" i="6"/>
  <c r="AK7" i="6"/>
  <c r="AK11" i="6"/>
  <c r="AL23" i="6"/>
  <c r="AL24" i="6"/>
  <c r="AL25" i="6"/>
  <c r="AL26" i="6"/>
  <c r="AL27" i="6"/>
  <c r="N27" i="6"/>
  <c r="AK28" i="6"/>
  <c r="U26" i="6"/>
  <c r="AC23" i="6"/>
  <c r="AK20" i="6"/>
  <c r="U18" i="6"/>
  <c r="AC15" i="6"/>
  <c r="N20" i="6"/>
  <c r="AC28" i="6"/>
  <c r="AK25" i="6"/>
  <c r="U23" i="6"/>
  <c r="AC20" i="6"/>
  <c r="AK17" i="6"/>
  <c r="U15" i="6"/>
  <c r="U28" i="6"/>
  <c r="AC25" i="6"/>
  <c r="AK22" i="6"/>
  <c r="U20" i="6"/>
  <c r="AC17" i="6"/>
  <c r="AK14" i="6"/>
  <c r="U4" i="6"/>
  <c r="AA4" i="6"/>
  <c r="AE5" i="6"/>
  <c r="AH5" i="6"/>
  <c r="AL5" i="6"/>
  <c r="AK19" i="6"/>
  <c r="AC14" i="6"/>
  <c r="T4" i="6"/>
  <c r="Y5" i="6"/>
  <c r="AC4" i="6"/>
  <c r="AF5" i="6"/>
  <c r="AJ4" i="6"/>
  <c r="N12" i="6"/>
  <c r="U25" i="6"/>
  <c r="U17" i="6"/>
  <c r="V23" i="6"/>
  <c r="AD22" i="6"/>
  <c r="AL21" i="6"/>
  <c r="AL22" i="6"/>
  <c r="N11" i="6"/>
  <c r="AC27" i="6"/>
  <c r="AK24" i="6"/>
  <c r="U22" i="6"/>
  <c r="AK16" i="6"/>
  <c r="AC13" i="6"/>
  <c r="R5" i="6"/>
  <c r="V5" i="6"/>
  <c r="Z5" i="6"/>
  <c r="AD5" i="6"/>
  <c r="AI4" i="6"/>
  <c r="AC22" i="6"/>
  <c r="U27" i="6"/>
  <c r="AC24" i="6"/>
  <c r="AK21" i="6"/>
  <c r="U19" i="6"/>
  <c r="AC16" i="6"/>
  <c r="N26" i="6"/>
  <c r="N18" i="6"/>
  <c r="N10" i="6"/>
  <c r="Q4" i="6"/>
  <c r="Y4" i="6"/>
  <c r="AG4" i="6"/>
  <c r="AJ28" i="6"/>
  <c r="AB28" i="6"/>
  <c r="T28" i="6"/>
  <c r="AJ27" i="6"/>
  <c r="AB27" i="6"/>
  <c r="T27" i="6"/>
  <c r="AB26" i="6"/>
  <c r="T26" i="6"/>
  <c r="AJ25" i="6"/>
  <c r="AB25" i="6"/>
  <c r="T25" i="6"/>
  <c r="AJ24" i="6"/>
  <c r="AB24" i="6"/>
  <c r="T24" i="6"/>
  <c r="AJ23" i="6"/>
  <c r="AB23" i="6"/>
  <c r="T23" i="6"/>
  <c r="AJ22" i="6"/>
  <c r="AB22" i="6"/>
  <c r="T22" i="6"/>
  <c r="AJ21" i="6"/>
  <c r="AB21" i="6"/>
  <c r="T21" i="6"/>
  <c r="AJ20" i="6"/>
  <c r="AB20" i="6"/>
  <c r="T20" i="6"/>
  <c r="AJ19" i="6"/>
  <c r="AB19" i="6"/>
  <c r="T19" i="6"/>
  <c r="AJ18" i="6"/>
  <c r="T18" i="6"/>
  <c r="AJ17" i="6"/>
  <c r="AB17" i="6"/>
  <c r="T17" i="6"/>
  <c r="AJ16" i="6"/>
  <c r="AB16" i="6"/>
  <c r="T16" i="6"/>
  <c r="AJ15" i="6"/>
  <c r="AB15" i="6"/>
  <c r="T15" i="6"/>
  <c r="AJ14" i="6"/>
  <c r="AB14" i="6"/>
  <c r="T14" i="6"/>
  <c r="AJ13" i="6"/>
  <c r="AB13" i="6"/>
  <c r="T13" i="6"/>
  <c r="AJ12" i="6"/>
  <c r="AB12" i="6"/>
  <c r="T12" i="6"/>
  <c r="AJ11" i="6"/>
  <c r="AB11" i="6"/>
  <c r="T11" i="6"/>
  <c r="AJ10" i="6"/>
  <c r="AB10" i="6"/>
  <c r="AJ9" i="6"/>
  <c r="AB9" i="6"/>
  <c r="T9" i="6"/>
  <c r="AJ8" i="6"/>
  <c r="AB8" i="6"/>
  <c r="T8" i="6"/>
  <c r="AJ7" i="6"/>
  <c r="AB7" i="6"/>
  <c r="T7" i="6"/>
  <c r="AJ6" i="6"/>
  <c r="AB6" i="6"/>
  <c r="T6" i="6"/>
  <c r="AJ5" i="6"/>
  <c r="AB5" i="6"/>
  <c r="T5" i="6"/>
  <c r="N25" i="6"/>
  <c r="N17" i="6"/>
  <c r="N9" i="6"/>
  <c r="R4" i="6"/>
  <c r="Z4" i="6"/>
  <c r="AH4" i="6"/>
  <c r="AI28" i="6"/>
  <c r="AA28" i="6"/>
  <c r="S28" i="6"/>
  <c r="AI27" i="6"/>
  <c r="AA27" i="6"/>
  <c r="S27" i="6"/>
  <c r="AI26" i="6"/>
  <c r="AA26" i="6"/>
  <c r="S26" i="6"/>
  <c r="AA25" i="6"/>
  <c r="S25" i="6"/>
  <c r="AI24" i="6"/>
  <c r="AA24" i="6"/>
  <c r="S24" i="6"/>
  <c r="AI23" i="6"/>
  <c r="AA23" i="6"/>
  <c r="S23" i="6"/>
  <c r="AI22" i="6"/>
  <c r="AA22" i="6"/>
  <c r="S22" i="6"/>
  <c r="AI21" i="6"/>
  <c r="AA21" i="6"/>
  <c r="S21" i="6"/>
  <c r="AI20" i="6"/>
  <c r="AA20" i="6"/>
  <c r="S20" i="6"/>
  <c r="AI19" i="6"/>
  <c r="AA19" i="6"/>
  <c r="S19" i="6"/>
  <c r="AI18" i="6"/>
  <c r="AA18" i="6"/>
  <c r="S18" i="6"/>
  <c r="AI17" i="6"/>
  <c r="S17" i="6"/>
  <c r="AI16" i="6"/>
  <c r="AA16" i="6"/>
  <c r="S16" i="6"/>
  <c r="AI15" i="6"/>
  <c r="AA15" i="6"/>
  <c r="S15" i="6"/>
  <c r="AI14" i="6"/>
  <c r="AA14" i="6"/>
  <c r="S14" i="6"/>
  <c r="AI13" i="6"/>
  <c r="AA13" i="6"/>
  <c r="S13" i="6"/>
  <c r="AI12" i="6"/>
  <c r="AA12" i="6"/>
  <c r="S12" i="6"/>
  <c r="AI11" i="6"/>
  <c r="AA11" i="6"/>
  <c r="S11" i="6"/>
  <c r="AI10" i="6"/>
  <c r="AA10" i="6"/>
  <c r="S10" i="6"/>
  <c r="AI9" i="6"/>
  <c r="AA9" i="6"/>
  <c r="AI8" i="6"/>
  <c r="AA8" i="6"/>
  <c r="S8" i="6"/>
  <c r="AI7" i="6"/>
  <c r="AA7" i="6"/>
  <c r="S7" i="6"/>
  <c r="AI6" i="6"/>
  <c r="AA6" i="6"/>
  <c r="S6" i="6"/>
  <c r="AI5" i="6"/>
  <c r="AA5" i="6"/>
  <c r="S5" i="6"/>
  <c r="N24" i="6"/>
  <c r="N16" i="6"/>
  <c r="N8" i="6"/>
  <c r="AH28" i="6"/>
  <c r="Z28" i="6"/>
  <c r="R28" i="6"/>
  <c r="AH27" i="6"/>
  <c r="Z27" i="6"/>
  <c r="R27" i="6"/>
  <c r="AH26" i="6"/>
  <c r="Z26" i="6"/>
  <c r="R26" i="6"/>
  <c r="AH25" i="6"/>
  <c r="Z25" i="6"/>
  <c r="R25" i="6"/>
  <c r="Z24" i="6"/>
  <c r="R24" i="6"/>
  <c r="AH23" i="6"/>
  <c r="Z23" i="6"/>
  <c r="R23" i="6"/>
  <c r="AH22" i="6"/>
  <c r="Z22" i="6"/>
  <c r="R22" i="6"/>
  <c r="AH21" i="6"/>
  <c r="Z21" i="6"/>
  <c r="R21" i="6"/>
  <c r="AH20" i="6"/>
  <c r="Z20" i="6"/>
  <c r="R20" i="6"/>
  <c r="AH19" i="6"/>
  <c r="Z19" i="6"/>
  <c r="R19" i="6"/>
  <c r="AH18" i="6"/>
  <c r="Z18" i="6"/>
  <c r="R18" i="6"/>
  <c r="AH17" i="6"/>
  <c r="Z17" i="6"/>
  <c r="R17" i="6"/>
  <c r="AH16" i="6"/>
  <c r="R16" i="6"/>
  <c r="AH15" i="6"/>
  <c r="Z15" i="6"/>
  <c r="R15" i="6"/>
  <c r="AH14" i="6"/>
  <c r="Z14" i="6"/>
  <c r="R14" i="6"/>
  <c r="AH13" i="6"/>
  <c r="Z13" i="6"/>
  <c r="R13" i="6"/>
  <c r="AH12" i="6"/>
  <c r="Z12" i="6"/>
  <c r="R12" i="6"/>
  <c r="AH11" i="6"/>
  <c r="Z11" i="6"/>
  <c r="R11" i="6"/>
  <c r="AH10" i="6"/>
  <c r="Z10" i="6"/>
  <c r="R10" i="6"/>
  <c r="AH9" i="6"/>
  <c r="Z9" i="6"/>
  <c r="R9" i="6"/>
  <c r="AH8" i="6"/>
  <c r="Z8" i="6"/>
  <c r="AH7" i="6"/>
  <c r="Z7" i="6"/>
  <c r="R7" i="6"/>
  <c r="AH6" i="6"/>
  <c r="Z6" i="6"/>
  <c r="R6" i="6"/>
  <c r="N23" i="6"/>
  <c r="N15" i="6"/>
  <c r="N7" i="6"/>
  <c r="AG28" i="6"/>
  <c r="Y28" i="6"/>
  <c r="Q28" i="6"/>
  <c r="AG27" i="6"/>
  <c r="Y27" i="6"/>
  <c r="Q27" i="6"/>
  <c r="AG26" i="6"/>
  <c r="Y26" i="6"/>
  <c r="Q26" i="6"/>
  <c r="AG25" i="6"/>
  <c r="Y25" i="6"/>
  <c r="Q25" i="6"/>
  <c r="AG24" i="6"/>
  <c r="Y24" i="6"/>
  <c r="Q24" i="6"/>
  <c r="Y23" i="6"/>
  <c r="Q23" i="6"/>
  <c r="AG22" i="6"/>
  <c r="Y22" i="6"/>
  <c r="Q22" i="6"/>
  <c r="AG21" i="6"/>
  <c r="Y21" i="6"/>
  <c r="Q21" i="6"/>
  <c r="AG20" i="6"/>
  <c r="Y20" i="6"/>
  <c r="Q20" i="6"/>
  <c r="AG19" i="6"/>
  <c r="Y19" i="6"/>
  <c r="Q19" i="6"/>
  <c r="AG18" i="6"/>
  <c r="Y18" i="6"/>
  <c r="Q18" i="6"/>
  <c r="AG17" i="6"/>
  <c r="Y17" i="6"/>
  <c r="Q17" i="6"/>
  <c r="AG16" i="6"/>
  <c r="Y16" i="6"/>
  <c r="Q16" i="6"/>
  <c r="AG15" i="6"/>
  <c r="Q15" i="6"/>
  <c r="AG14" i="6"/>
  <c r="Y14" i="6"/>
  <c r="Q14" i="6"/>
  <c r="AG13" i="6"/>
  <c r="Y13" i="6"/>
  <c r="Q13" i="6"/>
  <c r="AG12" i="6"/>
  <c r="Y12" i="6"/>
  <c r="Q12" i="6"/>
  <c r="AG11" i="6"/>
  <c r="Y11" i="6"/>
  <c r="Q11" i="6"/>
  <c r="AG10" i="6"/>
  <c r="Y10" i="6"/>
  <c r="Q10" i="6"/>
  <c r="AG9" i="6"/>
  <c r="Y9" i="6"/>
  <c r="Q9" i="6"/>
  <c r="AG8" i="6"/>
  <c r="Y8" i="6"/>
  <c r="Q8" i="6"/>
  <c r="AG7" i="6"/>
  <c r="Y7" i="6"/>
  <c r="AG6" i="6"/>
  <c r="Y6" i="6"/>
  <c r="Q6" i="6"/>
  <c r="N22" i="6"/>
  <c r="N14" i="6"/>
  <c r="N6" i="6"/>
  <c r="AF28" i="6"/>
  <c r="X28" i="6"/>
  <c r="P28" i="6"/>
  <c r="AF27" i="6"/>
  <c r="X27" i="6"/>
  <c r="P27" i="6"/>
  <c r="AF26" i="6"/>
  <c r="X26" i="6"/>
  <c r="P26" i="6"/>
  <c r="AF25" i="6"/>
  <c r="X25" i="6"/>
  <c r="P25" i="6"/>
  <c r="AF24" i="6"/>
  <c r="X24" i="6"/>
  <c r="P24" i="6"/>
  <c r="AF23" i="6"/>
  <c r="X23" i="6"/>
  <c r="P23" i="6"/>
  <c r="X22" i="6"/>
  <c r="P22" i="6"/>
  <c r="AF21" i="6"/>
  <c r="X21" i="6"/>
  <c r="P21" i="6"/>
  <c r="AF20" i="6"/>
  <c r="X20" i="6"/>
  <c r="P20" i="6"/>
  <c r="AF19" i="6"/>
  <c r="X19" i="6"/>
  <c r="P19" i="6"/>
  <c r="AF18" i="6"/>
  <c r="X18" i="6"/>
  <c r="P18" i="6"/>
  <c r="AF17" i="6"/>
  <c r="X17" i="6"/>
  <c r="P17" i="6"/>
  <c r="AF16" i="6"/>
  <c r="X16" i="6"/>
  <c r="P16" i="6"/>
  <c r="AF15" i="6"/>
  <c r="X15" i="6"/>
  <c r="P15" i="6"/>
  <c r="AF14" i="6"/>
  <c r="P14" i="6"/>
  <c r="AF13" i="6"/>
  <c r="X13" i="6"/>
  <c r="P13" i="6"/>
  <c r="AF12" i="6"/>
  <c r="X12" i="6"/>
  <c r="P12" i="6"/>
  <c r="AF11" i="6"/>
  <c r="X11" i="6"/>
  <c r="P11" i="6"/>
  <c r="AF10" i="6"/>
  <c r="X10" i="6"/>
  <c r="P10" i="6"/>
  <c r="AF9" i="6"/>
  <c r="X9" i="6"/>
  <c r="P9" i="6"/>
  <c r="AF8" i="6"/>
  <c r="X8" i="6"/>
  <c r="P8" i="6"/>
  <c r="AF7" i="6"/>
  <c r="X7" i="6"/>
  <c r="P7" i="6"/>
  <c r="AF6" i="6"/>
  <c r="X6" i="6"/>
  <c r="N21" i="6"/>
  <c r="N13" i="6"/>
  <c r="N5" i="6"/>
  <c r="V4" i="6"/>
  <c r="AD4" i="6"/>
  <c r="AL4" i="6"/>
  <c r="AE28" i="6"/>
  <c r="W28" i="6"/>
  <c r="O28" i="6"/>
  <c r="AE27" i="6"/>
  <c r="W27" i="6"/>
  <c r="O27" i="6"/>
  <c r="AE26" i="6"/>
  <c r="W26" i="6"/>
  <c r="O26" i="6"/>
  <c r="AE25" i="6"/>
  <c r="W25" i="6"/>
  <c r="O25" i="6"/>
  <c r="AE24" i="6"/>
  <c r="W24" i="6"/>
  <c r="O24" i="6"/>
  <c r="AE23" i="6"/>
  <c r="W23" i="6"/>
  <c r="O23" i="6"/>
  <c r="AE22" i="6"/>
  <c r="W22" i="6"/>
  <c r="O22" i="6"/>
  <c r="W21" i="6"/>
  <c r="O21" i="6"/>
  <c r="AE20" i="6"/>
  <c r="W20" i="6"/>
  <c r="O20" i="6"/>
  <c r="AE19" i="6"/>
  <c r="W19" i="6"/>
  <c r="O19" i="6"/>
  <c r="AE18" i="6"/>
  <c r="W18" i="6"/>
  <c r="O18" i="6"/>
  <c r="AE17" i="6"/>
  <c r="W17" i="6"/>
  <c r="O17" i="6"/>
  <c r="AE16" i="6"/>
  <c r="W16" i="6"/>
  <c r="O16" i="6"/>
  <c r="AE15" i="6"/>
  <c r="W15" i="6"/>
  <c r="O15" i="6"/>
  <c r="AE14" i="6"/>
  <c r="W14" i="6"/>
  <c r="O14" i="6"/>
  <c r="AE13" i="6"/>
  <c r="O13" i="6"/>
  <c r="AE12" i="6"/>
  <c r="W12" i="6"/>
  <c r="O12" i="6"/>
  <c r="AE11" i="6"/>
  <c r="W11" i="6"/>
  <c r="O11" i="6"/>
  <c r="AE10" i="6"/>
  <c r="W10" i="6"/>
  <c r="O10" i="6"/>
  <c r="AE9" i="6"/>
  <c r="W9" i="6"/>
  <c r="O9" i="6"/>
  <c r="AE8" i="6"/>
  <c r="W8" i="6"/>
  <c r="O8" i="6"/>
  <c r="AE7" i="6"/>
  <c r="W7" i="6"/>
  <c r="O7" i="6"/>
  <c r="AE6" i="6"/>
  <c r="W6" i="6"/>
  <c r="O6" i="6"/>
  <c r="V24" i="6"/>
  <c r="AD23" i="6"/>
  <c r="V22" i="6"/>
  <c r="AD21" i="6"/>
  <c r="V21" i="6"/>
  <c r="AL20" i="6"/>
  <c r="V20" i="6"/>
  <c r="AL19" i="6"/>
  <c r="AD19" i="6"/>
  <c r="V19" i="6"/>
  <c r="AL18" i="6"/>
  <c r="AD18" i="6"/>
  <c r="V18" i="6"/>
  <c r="AL17" i="6"/>
  <c r="AD17" i="6"/>
  <c r="V17" i="6"/>
  <c r="AL16" i="6"/>
  <c r="AD16" i="6"/>
  <c r="V16" i="6"/>
  <c r="AL15" i="6"/>
  <c r="AD15" i="6"/>
  <c r="V15" i="6"/>
  <c r="AL14" i="6"/>
  <c r="AD14" i="6"/>
  <c r="V14" i="6"/>
  <c r="AL13" i="6"/>
  <c r="AD13" i="6"/>
  <c r="V13" i="6"/>
  <c r="AL12" i="6"/>
  <c r="AD12" i="6"/>
  <c r="AL11" i="6"/>
  <c r="AD11" i="6"/>
  <c r="V11" i="6"/>
  <c r="AL10" i="6"/>
  <c r="AD10" i="6"/>
  <c r="V10" i="6"/>
  <c r="AL9" i="6"/>
  <c r="AD9" i="6"/>
  <c r="V9" i="6"/>
  <c r="AL8" i="6"/>
  <c r="AD8" i="6"/>
  <c r="V8" i="6"/>
  <c r="AL7" i="6"/>
  <c r="AD7" i="6"/>
  <c r="V7" i="6"/>
  <c r="AL6" i="6"/>
  <c r="AD6" i="6"/>
  <c r="V6" i="6"/>
  <c r="X8" i="2"/>
  <c r="AP34" i="2"/>
  <c r="Y218" i="2"/>
  <c r="AF225" i="2"/>
  <c r="AF224" i="2"/>
  <c r="AF223" i="2"/>
  <c r="AF222" i="2"/>
  <c r="AF221" i="2"/>
  <c r="AF220" i="2"/>
  <c r="AF219" i="2"/>
  <c r="AF218" i="2"/>
  <c r="AE225" i="2"/>
  <c r="AE224" i="2"/>
  <c r="AE223" i="2"/>
  <c r="AE222" i="2"/>
  <c r="AE221" i="2"/>
  <c r="AE220" i="2"/>
  <c r="AE219" i="2"/>
  <c r="AG8" i="2"/>
  <c r="X59" i="2"/>
  <c r="BH59" i="2"/>
  <c r="X135" i="2"/>
  <c r="AE218" i="2"/>
  <c r="AD225" i="2"/>
  <c r="AD224" i="2"/>
  <c r="AD223" i="2"/>
  <c r="AD222" i="2"/>
  <c r="AD221" i="2"/>
  <c r="AD220" i="2"/>
  <c r="AD219" i="2"/>
  <c r="AP8" i="2"/>
  <c r="AG135" i="2"/>
  <c r="AD218" i="2"/>
  <c r="AC225" i="2"/>
  <c r="AC224" i="2"/>
  <c r="AC223" i="2"/>
  <c r="AC222" i="2"/>
  <c r="AC221" i="2"/>
  <c r="AC220" i="2"/>
  <c r="AC219" i="2"/>
  <c r="AY8" i="2"/>
  <c r="AY34" i="2"/>
  <c r="AG59" i="2"/>
  <c r="X84" i="2"/>
  <c r="X110" i="2"/>
  <c r="AC218" i="2"/>
  <c r="AB225" i="2"/>
  <c r="AB224" i="2"/>
  <c r="AB223" i="2"/>
  <c r="AB222" i="2"/>
  <c r="AB221" i="2"/>
  <c r="AB220" i="2"/>
  <c r="AB219" i="2"/>
  <c r="BH8" i="2"/>
  <c r="BH34" i="2"/>
  <c r="AP59" i="2"/>
  <c r="AG84" i="2"/>
  <c r="AG110" i="2"/>
  <c r="AB218" i="2"/>
  <c r="AA225" i="2"/>
  <c r="AA224" i="2"/>
  <c r="AA223" i="2"/>
  <c r="AA222" i="2"/>
  <c r="AA221" i="2"/>
  <c r="AA220" i="2"/>
  <c r="AA219" i="2"/>
  <c r="BQ8" i="2"/>
  <c r="X34" i="2"/>
  <c r="BQ34" i="2"/>
  <c r="AY59" i="2"/>
  <c r="AP84" i="2"/>
  <c r="AP110" i="2"/>
  <c r="X160" i="2"/>
  <c r="AA218" i="2"/>
  <c r="Z225" i="2"/>
  <c r="Z224" i="2"/>
  <c r="Z223" i="2"/>
  <c r="Z222" i="2"/>
  <c r="Z221" i="2"/>
  <c r="Z220" i="2"/>
  <c r="Z219" i="2"/>
  <c r="BZ8" i="2"/>
  <c r="AG34" i="2"/>
  <c r="AY84" i="2"/>
  <c r="Z218" i="2"/>
  <c r="Y225" i="2"/>
  <c r="Y224" i="2"/>
  <c r="Y223" i="2"/>
  <c r="Y222" i="2"/>
  <c r="Y221" i="2"/>
  <c r="Y220" i="2"/>
  <c r="Y219" i="2"/>
  <c r="K45" i="1"/>
  <c r="K43" i="1"/>
  <c r="K37" i="1"/>
  <c r="K42" i="1" s="1"/>
  <c r="I43" i="1"/>
  <c r="I37" i="1"/>
  <c r="I42" i="1" s="1"/>
  <c r="I45" i="1" s="1"/>
  <c r="F43" i="1"/>
  <c r="F37" i="1"/>
  <c r="F42" i="1" s="1"/>
  <c r="F45" i="1" s="1"/>
  <c r="H45" i="1"/>
  <c r="H43" i="1"/>
  <c r="H37" i="1"/>
  <c r="H42" i="1" s="1"/>
  <c r="G43" i="1"/>
  <c r="G37" i="1"/>
  <c r="G42" i="1" s="1"/>
  <c r="E37" i="1"/>
  <c r="E42" i="1" s="1"/>
  <c r="E45" i="1" s="1"/>
  <c r="E43" i="1"/>
  <c r="D37" i="1"/>
  <c r="D42" i="1" s="1"/>
  <c r="D43" i="1"/>
  <c r="G35" i="1"/>
  <c r="G41" i="1" s="1"/>
  <c r="J37" i="1"/>
  <c r="J42" i="1" s="1"/>
  <c r="J45" i="1" s="1"/>
  <c r="C30" i="1"/>
  <c r="D28" i="2" s="1"/>
  <c r="C31" i="1"/>
  <c r="D29" i="2" s="1"/>
  <c r="C28" i="1"/>
  <c r="D26" i="2" s="1"/>
  <c r="C8" i="1"/>
  <c r="D6" i="2" s="1"/>
  <c r="C9" i="1"/>
  <c r="D7" i="2" s="1"/>
  <c r="C10" i="1"/>
  <c r="D8" i="2" s="1"/>
  <c r="C11" i="1"/>
  <c r="D9" i="2" s="1"/>
  <c r="C12" i="1"/>
  <c r="D10" i="2" s="1"/>
  <c r="C13" i="1"/>
  <c r="D11" i="2" s="1"/>
  <c r="C14" i="1"/>
  <c r="D12" i="2" s="1"/>
  <c r="C15" i="1"/>
  <c r="D13" i="2" s="1"/>
  <c r="C16" i="1"/>
  <c r="D14" i="2" s="1"/>
  <c r="C17" i="1"/>
  <c r="D15" i="2" s="1"/>
  <c r="C18" i="1"/>
  <c r="D16" i="2" s="1"/>
  <c r="C19" i="1"/>
  <c r="D17" i="2" s="1"/>
  <c r="C20" i="1"/>
  <c r="D18" i="2" s="1"/>
  <c r="C21" i="1"/>
  <c r="D19" i="2" s="1"/>
  <c r="D232" i="2" s="1"/>
  <c r="C22" i="1"/>
  <c r="D20" i="2" s="1"/>
  <c r="C23" i="1"/>
  <c r="D21" i="2" s="1"/>
  <c r="C24" i="1"/>
  <c r="D22" i="2" s="1"/>
  <c r="C25" i="1"/>
  <c r="D23" i="2" s="1"/>
  <c r="C26" i="1"/>
  <c r="D24" i="2" s="1"/>
  <c r="C27" i="1"/>
  <c r="D25" i="2" s="1"/>
  <c r="C29" i="1"/>
  <c r="D27" i="2" s="1"/>
  <c r="D240" i="2" s="1"/>
  <c r="C7" i="1"/>
  <c r="D5" i="2" s="1"/>
  <c r="E3" i="1"/>
  <c r="J3" i="1"/>
  <c r="G45" i="1" l="1"/>
  <c r="D45" i="1"/>
</calcChain>
</file>

<file path=xl/sharedStrings.xml><?xml version="1.0" encoding="utf-8"?>
<sst xmlns="http://schemas.openxmlformats.org/spreadsheetml/2006/main" count="1078" uniqueCount="221">
  <si>
    <t>data utworzenia:</t>
  </si>
  <si>
    <t>data ostatniej modyfikacji:</t>
  </si>
  <si>
    <t>l.p</t>
  </si>
  <si>
    <t>Problem:</t>
  </si>
  <si>
    <t>Legenda</t>
  </si>
  <si>
    <t>źródło danych</t>
  </si>
  <si>
    <t>xxxx</t>
  </si>
  <si>
    <t xml:space="preserve"> </t>
  </si>
  <si>
    <t>wykonał:</t>
  </si>
  <si>
    <t>Jan Latt</t>
  </si>
  <si>
    <t>Koszt [zł]</t>
  </si>
  <si>
    <t>Pobór mocy [W]</t>
  </si>
  <si>
    <t>Przepustowość pamięci [GB/s]</t>
  </si>
  <si>
    <t>Prędkość zegara [MHz]</t>
  </si>
  <si>
    <t>FPS w RDR 2 (Ryzen 7 7800X3D na 1920x1080)</t>
  </si>
  <si>
    <t>https://gpu.userbenchmark.com/</t>
  </si>
  <si>
    <t>https://howmanyfps.com/</t>
  </si>
  <si>
    <t>Nvidia RTX 4060</t>
  </si>
  <si>
    <t>Dane dotyczące parametrów i udziału losowo wybranych kart graficznych firmy Nvidia</t>
  </si>
  <si>
    <t>Udział w rynku [%] na 24.02.2024</t>
  </si>
  <si>
    <t>Wiekowość [miesięcy]</t>
  </si>
  <si>
    <t>Ilość benchmarkujących</t>
  </si>
  <si>
    <t>Karty</t>
  </si>
  <si>
    <t>Nvidia RTX 3060</t>
  </si>
  <si>
    <t>Nvidia GTX 1080</t>
  </si>
  <si>
    <t>Nvidia RTX 2060</t>
  </si>
  <si>
    <t>Nvidia RTX 4090</t>
  </si>
  <si>
    <t>Nvidia GTX 970</t>
  </si>
  <si>
    <t>RTX4060</t>
  </si>
  <si>
    <t>RTX3060</t>
  </si>
  <si>
    <t>GTX1080</t>
  </si>
  <si>
    <t>RTX2060</t>
  </si>
  <si>
    <t>RTX4090</t>
  </si>
  <si>
    <t>GTX970</t>
  </si>
  <si>
    <t>GTX660</t>
  </si>
  <si>
    <t>GTX580</t>
  </si>
  <si>
    <t>GTX960M</t>
  </si>
  <si>
    <t>Nvidia GTX 660</t>
  </si>
  <si>
    <t>Nvidia GTX 580</t>
  </si>
  <si>
    <t>Nvidia GTX 960 M</t>
  </si>
  <si>
    <t>RTX4080</t>
  </si>
  <si>
    <t>RTX3050</t>
  </si>
  <si>
    <t>GTX1070</t>
  </si>
  <si>
    <t>GTX980</t>
  </si>
  <si>
    <t>Nvidia RTX 4080</t>
  </si>
  <si>
    <t>Nvidia RTX 3050</t>
  </si>
  <si>
    <t>Nvidia GTX 1070</t>
  </si>
  <si>
    <t>Nvidia GTX 980</t>
  </si>
  <si>
    <t>GTX460</t>
  </si>
  <si>
    <t>Nvidia GTX 460</t>
  </si>
  <si>
    <t>RTX4070T</t>
  </si>
  <si>
    <t>Nvidia RTX 4070 Ti</t>
  </si>
  <si>
    <t>RTX3070</t>
  </si>
  <si>
    <t>RTX4070</t>
  </si>
  <si>
    <t>GTX780</t>
  </si>
  <si>
    <t>Nvidia GTX 650</t>
  </si>
  <si>
    <t>Nvidia RTX 3070</t>
  </si>
  <si>
    <t>Nvidia RTX 4070</t>
  </si>
  <si>
    <t>Nvidia GTX 780</t>
  </si>
  <si>
    <t>RTX3080T</t>
  </si>
  <si>
    <t>Nvidia RTX 3080 Ti</t>
  </si>
  <si>
    <t>RTX3060T</t>
  </si>
  <si>
    <t>Nvidia RTX 3060 Ti</t>
  </si>
  <si>
    <t>RTX2080T</t>
  </si>
  <si>
    <t>Nvidia RTX 2080 Ti</t>
  </si>
  <si>
    <t>RTX2080</t>
  </si>
  <si>
    <t>RTX3080</t>
  </si>
  <si>
    <t>Nvidia RTX 2080</t>
  </si>
  <si>
    <t>Nvidia RTX 3080</t>
  </si>
  <si>
    <t>Analiza podobieństwa zmiennych i obiektów</t>
  </si>
  <si>
    <t>Przecinki</t>
  </si>
  <si>
    <t>MIN</t>
  </si>
  <si>
    <t>MAX</t>
  </si>
  <si>
    <t>MIN/MAX</t>
  </si>
  <si>
    <t>MAX-MIN</t>
  </si>
  <si>
    <t>r</t>
  </si>
  <si>
    <t>d</t>
  </si>
  <si>
    <t>(MAX-MIN)/2</t>
  </si>
  <si>
    <t>m</t>
  </si>
  <si>
    <t>Średnia</t>
  </si>
  <si>
    <t>s</t>
  </si>
  <si>
    <t>Odch. Próbki</t>
  </si>
  <si>
    <t>q</t>
  </si>
  <si>
    <t>Skośność</t>
  </si>
  <si>
    <t>MIN/MAX???</t>
  </si>
  <si>
    <t>TAK???</t>
  </si>
  <si>
    <t>KOS</t>
  </si>
  <si>
    <t>UDZ</t>
  </si>
  <si>
    <t>WIK</t>
  </si>
  <si>
    <t>BEC</t>
  </si>
  <si>
    <t>MOC</t>
  </si>
  <si>
    <t>ZEG</t>
  </si>
  <si>
    <t>PRP</t>
  </si>
  <si>
    <t>FPS</t>
  </si>
  <si>
    <t>Wielo?</t>
  </si>
  <si>
    <t>Sym?</t>
  </si>
  <si>
    <t>Skoś?</t>
  </si>
  <si>
    <t>Odb?</t>
  </si>
  <si>
    <t>Dla jednomodalnych</t>
  </si>
  <si>
    <t>NIE</t>
  </si>
  <si>
    <t>TAK</t>
  </si>
  <si>
    <t>r/s &lt;3,5&gt;</t>
  </si>
  <si>
    <t>|d-m| &lt; s</t>
  </si>
  <si>
    <t>|q| &lt;1,5</t>
  </si>
  <si>
    <t>PRAWO</t>
  </si>
  <si>
    <t>f</t>
  </si>
  <si>
    <t>*KOS</t>
  </si>
  <si>
    <t>*UDZ</t>
  </si>
  <si>
    <t>*BEC</t>
  </si>
  <si>
    <t>*ZEG</t>
  </si>
  <si>
    <t>*PRP</t>
  </si>
  <si>
    <t>*FPS</t>
  </si>
  <si>
    <t>Tylko KOS i FPS posiadają punkty odbiegające, po usunięciu wartości pojawia się kolejny punkt odbiegający albo wielomodalność, w tym wypadku przywracam punkt odbiegający i dokonuję transformacji histogramów</t>
  </si>
  <si>
    <t>Każdy (oprócz MOC) jest prawoskośny, więc dokonuję transformacji</t>
  </si>
  <si>
    <t>Te są podejrzane</t>
  </si>
  <si>
    <t>1/(x-0,036)</t>
  </si>
  <si>
    <t>LOG10(x/(4400000-x))</t>
  </si>
  <si>
    <t>LOG10(x)</t>
  </si>
  <si>
    <t>LOG10(x+154)</t>
  </si>
  <si>
    <t>LOG10(x+40)</t>
  </si>
  <si>
    <t>WIK - po dogadaniu z prowadzącym pozostawiam funkcję bez zmian ze względu na wielomodalność</t>
  </si>
  <si>
    <t>UDZ, BEC, WIK - dogadane z prowadzącym</t>
  </si>
  <si>
    <t>Funkcja</t>
  </si>
  <si>
    <t>Współczynniki korelacji</t>
  </si>
  <si>
    <t>Współczynniki determinacji</t>
  </si>
  <si>
    <t>Diagram Czekanowskiego</t>
  </si>
  <si>
    <t>#</t>
  </si>
  <si>
    <t>+</t>
  </si>
  <si>
    <t>-</t>
  </si>
  <si>
    <t>Macierz odległości tangensowych między cechami</t>
  </si>
  <si>
    <t>&lt;0,7</t>
  </si>
  <si>
    <t>0,7…1,2</t>
  </si>
  <si>
    <t>1,2…4</t>
  </si>
  <si>
    <t>4&lt;</t>
  </si>
  <si>
    <t>Diagram Wiązkowy</t>
  </si>
  <si>
    <t>Najbliższy sąsiad</t>
  </si>
  <si>
    <t>A</t>
  </si>
  <si>
    <t>B</t>
  </si>
  <si>
    <t>C</t>
  </si>
  <si>
    <t>D</t>
  </si>
  <si>
    <t>E</t>
  </si>
  <si>
    <t>F</t>
  </si>
  <si>
    <t>G</t>
  </si>
  <si>
    <t>Oryginalne odl.</t>
  </si>
  <si>
    <t>Najdalszy sąsiad</t>
  </si>
  <si>
    <t>Ze zmiennych *KOS, MOC powstało skupienie B w odległości 0,518</t>
  </si>
  <si>
    <t>Ze zmiennych *PRP, *FPS powstało skupienie A w odległości 0,371</t>
  </si>
  <si>
    <t>Ze skupienia A, B powstało skupienie C w odległości 0,885</t>
  </si>
  <si>
    <t>Ze zmiennych WIK, *ZEG powstało skupienie D w odległości 0,982</t>
  </si>
  <si>
    <t>Ze skupienia D, C powstało skupienie E w odległości 2,285</t>
  </si>
  <si>
    <t>Ze zmiennych *UDZ, BEC powstało skupienie F w odległości 8,665</t>
  </si>
  <si>
    <t>Ze skupienia E, F powstało skupienie G w odległości 54,432</t>
  </si>
  <si>
    <t>Dla modelu zależności</t>
  </si>
  <si>
    <t>Dla analizy podobieństwa</t>
  </si>
  <si>
    <t>Diagram Czekanowskiego modyfikowalny, koloryzowany</t>
  </si>
  <si>
    <t>Modyfikowalne wartości progowe</t>
  </si>
  <si>
    <t>Autoskalowane dane</t>
  </si>
  <si>
    <t>Odch. stand.</t>
  </si>
  <si>
    <t>GTX650</t>
  </si>
  <si>
    <t>Po procesie MEOD.EXE</t>
  </si>
  <si>
    <t>znaleziona</t>
  </si>
  <si>
    <t>obliczona</t>
  </si>
  <si>
    <t>roznica</t>
  </si>
  <si>
    <t>BEZ ZNACZENIA - Model zależności FPS od innych zmiennych</t>
  </si>
  <si>
    <t>Diagram Czekanowskiego obiektów</t>
  </si>
  <si>
    <t>Macierz odległości euklidesowych</t>
  </si>
  <si>
    <t>0.8738</t>
  </si>
  <si>
    <t>-0.2369</t>
  </si>
  <si>
    <t>-0.0979</t>
  </si>
  <si>
    <t>0.8828</t>
  </si>
  <si>
    <t>0.0217</t>
  </si>
  <si>
    <t>-0.3308</t>
  </si>
  <si>
    <t>-0.2189</t>
  </si>
  <si>
    <t>0.0293</t>
  </si>
  <si>
    <t>0.9632</t>
  </si>
  <si>
    <t>0.8134</t>
  </si>
  <si>
    <t>-0.3301</t>
  </si>
  <si>
    <t>-0.1631</t>
  </si>
  <si>
    <t>0.7954</t>
  </si>
  <si>
    <t>0.3637</t>
  </si>
  <si>
    <t>0.0365</t>
  </si>
  <si>
    <t>0.9388</t>
  </si>
  <si>
    <t>-0.0953</t>
  </si>
  <si>
    <t>0.1036</t>
  </si>
  <si>
    <t>0.9566</t>
  </si>
  <si>
    <t>0.0694</t>
  </si>
  <si>
    <t>0.0067</t>
  </si>
  <si>
    <t>PCA - 3 składowe</t>
  </si>
  <si>
    <t>Ładunki</t>
  </si>
  <si>
    <t>Długość składowych</t>
  </si>
  <si>
    <t>W Y L I C Z O N E   C Z Y N N I K I :</t>
  </si>
  <si>
    <t>Iluzja 3D</t>
  </si>
  <si>
    <t>x'</t>
  </si>
  <si>
    <t>y'</t>
  </si>
  <si>
    <t>z</t>
  </si>
  <si>
    <t>x"</t>
  </si>
  <si>
    <t>y"</t>
  </si>
  <si>
    <t>x</t>
  </si>
  <si>
    <t>y</t>
  </si>
  <si>
    <t>Oś pozioma</t>
  </si>
  <si>
    <t>Oś pionowa</t>
  </si>
  <si>
    <t>Oś Z</t>
  </si>
  <si>
    <t>-0.261</t>
  </si>
  <si>
    <t>-0.742</t>
  </si>
  <si>
    <t>-0.053</t>
  </si>
  <si>
    <t>3D punkty do Desmos</t>
  </si>
  <si>
    <t>x1</t>
  </si>
  <si>
    <t>y1</t>
  </si>
  <si>
    <t>z1</t>
  </si>
  <si>
    <t>https://www.math3d.org/bBucTwhHx</t>
  </si>
  <si>
    <t>vwI</t>
  </si>
  <si>
    <t>vwII</t>
  </si>
  <si>
    <t>vwIII</t>
  </si>
  <si>
    <t>Zainteresowanie kartą</t>
  </si>
  <si>
    <t>Sprzedaż/popularność karty</t>
  </si>
  <si>
    <t>Wydajność/koszt karty</t>
  </si>
  <si>
    <t>lp</t>
  </si>
  <si>
    <t>karta</t>
  </si>
  <si>
    <t>Koszt rośnie wraz z wydajnością</t>
  </si>
  <si>
    <t>RTX4070S</t>
  </si>
  <si>
    <t>Nvidia RTX 4070S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</si>
</sst>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0"/>
    <numFmt numFmtId="167" formatCode="0.0000"/>
  </numFmts>
  <fonts count="32" x14ac:knownFonts="1">
    <font>
      <sz val="10"/>
      <color rgb="FF000000"/>
      <name val="Arial"/>
      <scheme val="minor"/>
    </font>
    <font>
      <sz val="12"/>
      <color rgb="FF000000"/>
      <name val="Arial"/>
      <family val="2"/>
      <charset val="238"/>
      <scheme val="minor"/>
    </font>
    <font>
      <sz val="12"/>
      <color theme="1"/>
      <name val="Arial"/>
      <family val="2"/>
      <charset val="238"/>
    </font>
    <font>
      <b/>
      <sz val="12"/>
      <color theme="1"/>
      <name val="Arial"/>
      <family val="2"/>
      <charset val="238"/>
    </font>
    <font>
      <i/>
      <sz val="12"/>
      <color rgb="FF000000"/>
      <name val="Arial"/>
      <family val="2"/>
      <charset val="238"/>
    </font>
    <font>
      <sz val="12"/>
      <color rgb="FF333333"/>
      <name val="Arial"/>
      <family val="2"/>
      <charset val="238"/>
    </font>
    <font>
      <sz val="12"/>
      <color rgb="FF000000"/>
      <name val="Arial"/>
      <family val="2"/>
      <charset val="238"/>
    </font>
    <font>
      <sz val="8"/>
      <color theme="1"/>
      <name val="Arial"/>
      <family val="2"/>
      <charset val="238"/>
    </font>
    <font>
      <sz val="8"/>
      <color rgb="FF000000"/>
      <name val="Arial"/>
      <family val="2"/>
      <charset val="238"/>
      <scheme val="minor"/>
    </font>
    <font>
      <i/>
      <sz val="12"/>
      <color rgb="FF000000"/>
      <name val="Arial"/>
      <family val="2"/>
      <charset val="238"/>
      <scheme val="minor"/>
    </font>
    <font>
      <b/>
      <sz val="12"/>
      <name val="Arial"/>
      <family val="2"/>
      <charset val="238"/>
    </font>
    <font>
      <b/>
      <sz val="12"/>
      <color rgb="FF000000"/>
      <name val="Arial"/>
      <family val="2"/>
      <charset val="238"/>
      <scheme val="minor"/>
    </font>
    <font>
      <sz val="10"/>
      <color rgb="FF000000"/>
      <name val="Arial"/>
      <family val="2"/>
      <charset val="238"/>
      <scheme val="minor"/>
    </font>
    <font>
      <b/>
      <sz val="10"/>
      <color rgb="FF000000"/>
      <name val="Arial"/>
      <family val="2"/>
      <charset val="238"/>
      <scheme val="minor"/>
    </font>
    <font>
      <i/>
      <sz val="12"/>
      <color theme="1"/>
      <name val="Arial"/>
      <family val="2"/>
      <charset val="238"/>
    </font>
    <font>
      <sz val="12"/>
      <color theme="1"/>
      <name val="Arial"/>
      <family val="2"/>
      <charset val="238"/>
      <scheme val="minor"/>
    </font>
    <font>
      <sz val="10"/>
      <color rgb="FFFF0000"/>
      <name val="Arial"/>
      <family val="2"/>
      <charset val="238"/>
      <scheme val="minor"/>
    </font>
    <font>
      <u/>
      <sz val="10"/>
      <color rgb="FF000000"/>
      <name val="Arial"/>
      <family val="2"/>
      <charset val="238"/>
      <scheme val="minor"/>
    </font>
    <font>
      <i/>
      <sz val="10"/>
      <color rgb="FF000000"/>
      <name val="Arial"/>
      <family val="2"/>
      <charset val="238"/>
      <scheme val="minor"/>
    </font>
    <font>
      <sz val="10"/>
      <name val="Arial"/>
      <family val="2"/>
      <charset val="238"/>
      <scheme val="minor"/>
    </font>
    <font>
      <sz val="10"/>
      <color rgb="FF000000"/>
      <name val="Arial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  <font>
      <b/>
      <u/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rgb="FF333333"/>
      <name val="Arial"/>
      <family val="2"/>
    </font>
    <font>
      <sz val="11"/>
      <color rgb="FF000000"/>
      <name val="Arial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1" fontId="5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center"/>
    </xf>
    <xf numFmtId="0" fontId="2" fillId="2" borderId="0" xfId="0" applyFont="1" applyFill="1" applyAlignment="1">
      <alignment vertical="center" wrapText="1"/>
    </xf>
    <xf numFmtId="0" fontId="8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9" fillId="2" borderId="0" xfId="0" applyFont="1" applyFill="1" applyAlignment="1">
      <alignment vertical="center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165" fontId="5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4" fillId="0" borderId="9" xfId="0" applyFont="1" applyBorder="1" applyAlignment="1">
      <alignment horizontal="left" vertical="center" wrapText="1"/>
    </xf>
    <xf numFmtId="165" fontId="5" fillId="0" borderId="9" xfId="0" applyNumberFormat="1" applyFont="1" applyBorder="1" applyAlignment="1">
      <alignment horizontal="center" vertical="center"/>
    </xf>
    <xf numFmtId="165" fontId="2" fillId="0" borderId="9" xfId="0" applyNumberFormat="1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165" fontId="2" fillId="0" borderId="9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165" fontId="15" fillId="0" borderId="9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 wrapText="1"/>
    </xf>
    <xf numFmtId="165" fontId="15" fillId="0" borderId="4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165" fontId="15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166" fontId="0" fillId="0" borderId="1" xfId="0" applyNumberFormat="1" applyBorder="1" applyAlignment="1">
      <alignment vertical="center"/>
    </xf>
    <xf numFmtId="165" fontId="0" fillId="0" borderId="1" xfId="0" applyNumberFormat="1" applyBorder="1" applyAlignment="1">
      <alignment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2" fontId="12" fillId="0" borderId="1" xfId="0" quotePrefix="1" applyNumberFormat="1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12" fillId="0" borderId="13" xfId="0" applyNumberFormat="1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165" fontId="0" fillId="0" borderId="0" xfId="0" applyNumberFormat="1" applyAlignment="1">
      <alignment vertical="center"/>
    </xf>
    <xf numFmtId="165" fontId="0" fillId="0" borderId="1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165" fontId="0" fillId="7" borderId="18" xfId="0" applyNumberFormat="1" applyFill="1" applyBorder="1" applyAlignment="1">
      <alignment horizontal="center" vertical="center"/>
    </xf>
    <xf numFmtId="165" fontId="17" fillId="0" borderId="18" xfId="0" applyNumberFormat="1" applyFont="1" applyBorder="1" applyAlignment="1">
      <alignment horizontal="center" vertical="center"/>
    </xf>
    <xf numFmtId="165" fontId="18" fillId="0" borderId="13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5" fontId="18" fillId="0" borderId="18" xfId="0" applyNumberFormat="1" applyFont="1" applyBorder="1" applyAlignment="1">
      <alignment horizontal="center" vertical="center"/>
    </xf>
    <xf numFmtId="165" fontId="17" fillId="0" borderId="14" xfId="0" applyNumberFormat="1" applyFont="1" applyBorder="1" applyAlignment="1">
      <alignment horizontal="center" vertical="center"/>
    </xf>
    <xf numFmtId="165" fontId="18" fillId="0" borderId="17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2" fontId="12" fillId="0" borderId="0" xfId="0" quotePrefix="1" applyNumberFormat="1" applyFont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horizontal="center" vertical="center"/>
    </xf>
    <xf numFmtId="0" fontId="13" fillId="0" borderId="0" xfId="0" applyFont="1" applyAlignment="1">
      <alignment vertical="center"/>
    </xf>
    <xf numFmtId="165" fontId="12" fillId="0" borderId="14" xfId="0" applyNumberFormat="1" applyFont="1" applyBorder="1" applyAlignment="1">
      <alignment horizontal="center" vertical="center"/>
    </xf>
    <xf numFmtId="165" fontId="12" fillId="0" borderId="18" xfId="0" applyNumberFormat="1" applyFont="1" applyBorder="1" applyAlignment="1">
      <alignment horizontal="center" vertical="center"/>
    </xf>
    <xf numFmtId="165" fontId="0" fillId="7" borderId="14" xfId="0" applyNumberFormat="1" applyFill="1" applyBorder="1" applyAlignment="1">
      <alignment horizontal="center" vertical="center"/>
    </xf>
    <xf numFmtId="165" fontId="12" fillId="7" borderId="18" xfId="0" applyNumberFormat="1" applyFont="1" applyFill="1" applyBorder="1" applyAlignment="1">
      <alignment horizontal="center" vertical="center"/>
    </xf>
    <xf numFmtId="165" fontId="18" fillId="0" borderId="14" xfId="0" applyNumberFormat="1" applyFont="1" applyBorder="1" applyAlignment="1">
      <alignment horizontal="center" vertical="center"/>
    </xf>
    <xf numFmtId="165" fontId="12" fillId="7" borderId="1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5" fontId="16" fillId="0" borderId="0" xfId="0" applyNumberFormat="1" applyFont="1"/>
    <xf numFmtId="164" fontId="0" fillId="0" borderId="0" xfId="0" applyNumberFormat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10" borderId="13" xfId="0" applyFont="1" applyFill="1" applyBorder="1" applyAlignment="1">
      <alignment horizontal="center" vertical="center"/>
    </xf>
    <xf numFmtId="0" fontId="12" fillId="10" borderId="13" xfId="0" applyFont="1" applyFill="1" applyBorder="1" applyAlignment="1">
      <alignment horizontal="center" vertical="center"/>
    </xf>
    <xf numFmtId="0" fontId="12" fillId="10" borderId="14" xfId="0" applyFont="1" applyFill="1" applyBorder="1" applyAlignment="1">
      <alignment horizontal="center" vertical="center"/>
    </xf>
    <xf numFmtId="0" fontId="12" fillId="10" borderId="16" xfId="0" applyFont="1" applyFill="1" applyBorder="1" applyAlignment="1">
      <alignment horizontal="center" vertical="center"/>
    </xf>
    <xf numFmtId="0" fontId="19" fillId="10" borderId="15" xfId="0" applyFont="1" applyFill="1" applyBorder="1" applyAlignment="1">
      <alignment horizontal="center" vertical="center"/>
    </xf>
    <xf numFmtId="0" fontId="19" fillId="11" borderId="13" xfId="0" applyFont="1" applyFill="1" applyBorder="1" applyAlignment="1">
      <alignment horizontal="center" vertical="center"/>
    </xf>
    <xf numFmtId="165" fontId="12" fillId="11" borderId="13" xfId="0" applyNumberFormat="1" applyFont="1" applyFill="1" applyBorder="1" applyAlignment="1">
      <alignment horizontal="center" vertical="center"/>
    </xf>
    <xf numFmtId="0" fontId="12" fillId="11" borderId="13" xfId="0" applyFont="1" applyFill="1" applyBorder="1" applyAlignment="1">
      <alignment horizontal="center" vertical="center"/>
    </xf>
    <xf numFmtId="0" fontId="19" fillId="12" borderId="13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center" vertical="center"/>
    </xf>
    <xf numFmtId="165" fontId="12" fillId="2" borderId="13" xfId="0" applyNumberFormat="1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165" fontId="20" fillId="0" borderId="14" xfId="0" applyNumberFormat="1" applyFont="1" applyBorder="1" applyAlignment="1">
      <alignment horizontal="center" vertical="center"/>
    </xf>
    <xf numFmtId="165" fontId="20" fillId="0" borderId="13" xfId="0" applyNumberFormat="1" applyFont="1" applyBorder="1" applyAlignment="1">
      <alignment horizontal="center" vertical="center"/>
    </xf>
    <xf numFmtId="165" fontId="20" fillId="0" borderId="17" xfId="0" applyNumberFormat="1" applyFont="1" applyBorder="1" applyAlignment="1">
      <alignment horizontal="center" vertical="center"/>
    </xf>
    <xf numFmtId="165" fontId="20" fillId="0" borderId="18" xfId="0" applyNumberFormat="1" applyFont="1" applyBorder="1" applyAlignment="1">
      <alignment horizontal="center" vertical="center"/>
    </xf>
    <xf numFmtId="0" fontId="20" fillId="0" borderId="0" xfId="0" applyFont="1"/>
    <xf numFmtId="0" fontId="21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165" fontId="20" fillId="8" borderId="17" xfId="0" applyNumberFormat="1" applyFont="1" applyFill="1" applyBorder="1" applyAlignment="1">
      <alignment horizontal="center" vertical="center"/>
    </xf>
    <xf numFmtId="165" fontId="0" fillId="9" borderId="14" xfId="0" applyNumberFormat="1" applyFill="1" applyBorder="1" applyAlignment="1">
      <alignment horizontal="center" vertical="center"/>
    </xf>
    <xf numFmtId="165" fontId="0" fillId="9" borderId="13" xfId="0" applyNumberFormat="1" applyFill="1" applyBorder="1" applyAlignment="1">
      <alignment horizontal="center" vertical="center"/>
    </xf>
    <xf numFmtId="165" fontId="20" fillId="9" borderId="18" xfId="0" applyNumberFormat="1" applyFont="1" applyFill="1" applyBorder="1" applyAlignment="1">
      <alignment horizontal="center" vertical="center"/>
    </xf>
    <xf numFmtId="165" fontId="20" fillId="9" borderId="13" xfId="0" applyNumberFormat="1" applyFont="1" applyFill="1" applyBorder="1" applyAlignment="1">
      <alignment horizontal="center" vertical="center"/>
    </xf>
    <xf numFmtId="165" fontId="20" fillId="9" borderId="14" xfId="0" applyNumberFormat="1" applyFont="1" applyFill="1" applyBorder="1" applyAlignment="1">
      <alignment horizontal="center" vertical="center"/>
    </xf>
    <xf numFmtId="165" fontId="20" fillId="8" borderId="18" xfId="0" applyNumberFormat="1" applyFont="1" applyFill="1" applyBorder="1" applyAlignment="1">
      <alignment horizontal="center" vertical="center"/>
    </xf>
    <xf numFmtId="165" fontId="0" fillId="8" borderId="18" xfId="0" applyNumberFormat="1" applyFill="1" applyBorder="1" applyAlignment="1">
      <alignment horizontal="center" vertical="center"/>
    </xf>
    <xf numFmtId="165" fontId="20" fillId="9" borderId="17" xfId="0" applyNumberFormat="1" applyFont="1" applyFill="1" applyBorder="1" applyAlignment="1">
      <alignment horizontal="center" vertical="center"/>
    </xf>
    <xf numFmtId="165" fontId="20" fillId="8" borderId="13" xfId="0" applyNumberFormat="1" applyFont="1" applyFill="1" applyBorder="1" applyAlignment="1">
      <alignment horizontal="center" vertical="center"/>
    </xf>
    <xf numFmtId="165" fontId="0" fillId="8" borderId="13" xfId="0" applyNumberFormat="1" applyFill="1" applyBorder="1" applyAlignment="1">
      <alignment horizontal="center" vertical="center"/>
    </xf>
    <xf numFmtId="165" fontId="20" fillId="7" borderId="18" xfId="0" applyNumberFormat="1" applyFont="1" applyFill="1" applyBorder="1" applyAlignment="1">
      <alignment horizontal="center" vertical="center"/>
    </xf>
    <xf numFmtId="165" fontId="0" fillId="7" borderId="13" xfId="0" applyNumberForma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/>
    <xf numFmtId="0" fontId="10" fillId="5" borderId="6" xfId="0" applyFont="1" applyFill="1" applyBorder="1" applyAlignment="1">
      <alignment horizontal="center" vertical="center" wrapText="1"/>
    </xf>
    <xf numFmtId="2" fontId="12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7" fillId="5" borderId="9" xfId="0" applyFont="1" applyFill="1" applyBorder="1" applyAlignment="1">
      <alignment horizontal="center" vertical="center"/>
    </xf>
    <xf numFmtId="0" fontId="27" fillId="5" borderId="9" xfId="0" applyFont="1" applyFill="1" applyBorder="1" applyAlignment="1">
      <alignment horizontal="center" vertical="center" wrapText="1"/>
    </xf>
    <xf numFmtId="0" fontId="27" fillId="5" borderId="3" xfId="0" applyFont="1" applyFill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/>
    </xf>
    <xf numFmtId="165" fontId="30" fillId="0" borderId="1" xfId="0" applyNumberFormat="1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165" fontId="30" fillId="0" borderId="3" xfId="0" applyNumberFormat="1" applyFont="1" applyBorder="1" applyAlignment="1">
      <alignment horizontal="center" vertical="center"/>
    </xf>
    <xf numFmtId="1" fontId="26" fillId="0" borderId="19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 wrapText="1"/>
    </xf>
    <xf numFmtId="0" fontId="25" fillId="13" borderId="0" xfId="0" applyFont="1" applyFill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 wrapText="1"/>
    </xf>
    <xf numFmtId="167" fontId="1" fillId="0" borderId="2" xfId="0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65" fontId="26" fillId="0" borderId="0" xfId="0" applyNumberFormat="1" applyFont="1" applyAlignment="1">
      <alignment horizontal="center" vertical="center"/>
    </xf>
    <xf numFmtId="0" fontId="25" fillId="13" borderId="1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5" fillId="13" borderId="10" xfId="0" applyFont="1" applyFill="1" applyBorder="1" applyAlignment="1">
      <alignment horizontal="center" vertical="center"/>
    </xf>
    <xf numFmtId="0" fontId="25" fillId="13" borderId="7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7" fontId="1" fillId="0" borderId="4" xfId="0" applyNumberFormat="1" applyFont="1" applyBorder="1" applyAlignment="1">
      <alignment horizontal="center" vertical="center"/>
    </xf>
    <xf numFmtId="167" fontId="1" fillId="0" borderId="21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 wrapText="1"/>
    </xf>
    <xf numFmtId="0" fontId="11" fillId="2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4" fillId="0" borderId="0" xfId="0" applyFont="1" applyAlignment="1">
      <alignment horizontal="center"/>
    </xf>
    <xf numFmtId="0" fontId="25" fillId="0" borderId="12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7" fillId="5" borderId="10" xfId="0" applyFont="1" applyFill="1" applyBorder="1" applyAlignment="1">
      <alignment horizontal="center" vertical="center" wrapText="1"/>
    </xf>
    <xf numFmtId="0" fontId="27" fillId="5" borderId="0" xfId="0" applyFont="1" applyFill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/>
    </xf>
    <xf numFmtId="165" fontId="1" fillId="0" borderId="9" xfId="0" applyNumberFormat="1" applyFont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165" fontId="1" fillId="0" borderId="12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5" fontId="1" fillId="0" borderId="20" xfId="0" applyNumberFormat="1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165" fontId="1" fillId="14" borderId="0" xfId="0" applyNumberFormat="1" applyFont="1" applyFill="1" applyAlignment="1">
      <alignment horizontal="center" vertical="center"/>
    </xf>
    <xf numFmtId="2" fontId="1" fillId="14" borderId="6" xfId="0" applyNumberFormat="1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2" fontId="1" fillId="14" borderId="1" xfId="0" quotePrefix="1" applyNumberFormat="1" applyFont="1" applyFill="1" applyBorder="1" applyAlignment="1">
      <alignment horizontal="center" vertical="center"/>
    </xf>
    <xf numFmtId="2" fontId="1" fillId="14" borderId="1" xfId="0" applyNumberFormat="1" applyFont="1" applyFill="1" applyBorder="1" applyAlignment="1">
      <alignment horizontal="center" vertical="center"/>
    </xf>
    <xf numFmtId="1" fontId="1" fillId="14" borderId="1" xfId="0" applyNumberFormat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</cellXfs>
  <cellStyles count="1">
    <cellStyle name="Normalny" xfId="0" builtinId="0"/>
  </cellStyles>
  <dxfs count="28">
    <dxf>
      <font>
        <color theme="0"/>
      </font>
      <fill>
        <patternFill>
          <bgColor theme="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7" tint="-0.24994659260841701"/>
      </font>
      <fill>
        <patternFill>
          <bgColor theme="7" tint="-0.24994659260841701"/>
        </patternFill>
      </fill>
    </dxf>
    <dxf>
      <font>
        <color theme="7" tint="-0.24994659260841701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Arial"/>
        <family val="2"/>
        <charset val="238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Arial"/>
        <family val="2"/>
        <charset val="238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charset val="238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charset val="238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charset val="238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charset val="238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Arial"/>
        <family val="2"/>
        <charset val="238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charset val="238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charset val="238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charset val="238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FF66"/>
      <color rgb="FF33CC33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KOS/UDZ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'Dane po transformacji i odbieg'!$E$5:$E$29</c:f>
              <c:numCache>
                <c:formatCode>0.000</c:formatCode>
                <c:ptCount val="25"/>
                <c:pt idx="0">
                  <c:v>3.1451964061141817</c:v>
                </c:pt>
                <c:pt idx="1">
                  <c:v>3.1528995963937474</c:v>
                </c:pt>
                <c:pt idx="2">
                  <c:v>3.2778383330020473</c:v>
                </c:pt>
                <c:pt idx="3">
                  <c:v>3.1866738674997452</c:v>
                </c:pt>
                <c:pt idx="4">
                  <c:v>3.9832202146481031</c:v>
                </c:pt>
                <c:pt idx="5">
                  <c:v>2.976808337338066</c:v>
                </c:pt>
                <c:pt idx="6">
                  <c:v>2.9063350418050908</c:v>
                </c:pt>
                <c:pt idx="7">
                  <c:v>3.3289908554494287</c:v>
                </c:pt>
                <c:pt idx="8">
                  <c:v>2.8041394323353503</c:v>
                </c:pt>
                <c:pt idx="9">
                  <c:v>3.7476448193282481</c:v>
                </c:pt>
                <c:pt idx="10">
                  <c:v>3.095518042323151</c:v>
                </c:pt>
                <c:pt idx="11">
                  <c:v>2.7979596437371961</c:v>
                </c:pt>
                <c:pt idx="12">
                  <c:v>3.374748346010104</c:v>
                </c:pt>
                <c:pt idx="13">
                  <c:v>2.9831750720378132</c:v>
                </c:pt>
                <c:pt idx="14">
                  <c:v>2.725094521081469</c:v>
                </c:pt>
                <c:pt idx="15">
                  <c:v>3.3040594662175993</c:v>
                </c:pt>
                <c:pt idx="16">
                  <c:v>3.4000196350651586</c:v>
                </c:pt>
                <c:pt idx="17">
                  <c:v>3.1928461151888419</c:v>
                </c:pt>
                <c:pt idx="18">
                  <c:v>3.5508396050657849</c:v>
                </c:pt>
                <c:pt idx="19">
                  <c:v>3.4610480916706576</c:v>
                </c:pt>
                <c:pt idx="20">
                  <c:v>3.2073650374690716</c:v>
                </c:pt>
                <c:pt idx="21">
                  <c:v>3.3201462861110542</c:v>
                </c:pt>
                <c:pt idx="22">
                  <c:v>3.4000196350651586</c:v>
                </c:pt>
                <c:pt idx="23">
                  <c:v>3.2853322276438846</c:v>
                </c:pt>
                <c:pt idx="24">
                  <c:v>3.5018804937550585</c:v>
                </c:pt>
              </c:numCache>
            </c:numRef>
          </c:xVal>
          <c:yVal>
            <c:numRef>
              <c:f>'Dane po transformacji i odbieg'!$F$5:$F$29</c:f>
              <c:numCache>
                <c:formatCode>0.000</c:formatCode>
                <c:ptCount val="25"/>
                <c:pt idx="0">
                  <c:v>0.50658561296859173</c:v>
                </c:pt>
                <c:pt idx="1">
                  <c:v>0.24073182474723154</c:v>
                </c:pt>
                <c:pt idx="2">
                  <c:v>0.54824561403508765</c:v>
                </c:pt>
                <c:pt idx="3">
                  <c:v>0.44762757385854968</c:v>
                </c:pt>
                <c:pt idx="4">
                  <c:v>0.71225071225071235</c:v>
                </c:pt>
                <c:pt idx="5">
                  <c:v>1.0706638115631693</c:v>
                </c:pt>
                <c:pt idx="6">
                  <c:v>7.4626865671641784</c:v>
                </c:pt>
                <c:pt idx="7">
                  <c:v>-62.500000000000014</c:v>
                </c:pt>
                <c:pt idx="8">
                  <c:v>71.428571428571402</c:v>
                </c:pt>
                <c:pt idx="9">
                  <c:v>1.1709601873536299</c:v>
                </c:pt>
                <c:pt idx="10">
                  <c:v>1.6286644951140066</c:v>
                </c:pt>
                <c:pt idx="11">
                  <c:v>0.48685491723466412</c:v>
                </c:pt>
                <c:pt idx="12">
                  <c:v>4.4642857142857144</c:v>
                </c:pt>
                <c:pt idx="13">
                  <c:v>-38.461538461538467</c:v>
                </c:pt>
                <c:pt idx="14">
                  <c:v>22.727272727272727</c:v>
                </c:pt>
                <c:pt idx="15">
                  <c:v>0.32530904359141188</c:v>
                </c:pt>
                <c:pt idx="16">
                  <c:v>0.47755491881566381</c:v>
                </c:pt>
                <c:pt idx="17">
                  <c:v>41.666666666666664</c:v>
                </c:pt>
                <c:pt idx="18">
                  <c:v>0.62344139650872821</c:v>
                </c:pt>
                <c:pt idx="19">
                  <c:v>0.93109869646182486</c:v>
                </c:pt>
                <c:pt idx="20">
                  <c:v>0.37965072133637057</c:v>
                </c:pt>
                <c:pt idx="21">
                  <c:v>1.2594458438287155</c:v>
                </c:pt>
                <c:pt idx="22">
                  <c:v>0.47984644913627639</c:v>
                </c:pt>
                <c:pt idx="23">
                  <c:v>1.5290519877675843</c:v>
                </c:pt>
                <c:pt idx="24">
                  <c:v>0.47755491881566381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D-4E9C-994B-1731C5185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39960"/>
        <c:axId val="521440320"/>
      </c:scatterChart>
      <c:valAx>
        <c:axId val="521439960"/>
        <c:scaling>
          <c:orientation val="minMax"/>
          <c:min val="2.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440320"/>
        <c:crosses val="autoZero"/>
        <c:crossBetween val="midCat"/>
      </c:valAx>
      <c:valAx>
        <c:axId val="52144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439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BEC/MOC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'Dane po transformacji i odbieg'!$H$5:$H$29</c:f>
              <c:numCache>
                <c:formatCode>0.000</c:formatCode>
                <c:ptCount val="25"/>
                <c:pt idx="0">
                  <c:v>-2.2665983157327756</c:v>
                </c:pt>
                <c:pt idx="1">
                  <c:v>-0.94601834165116139</c:v>
                </c:pt>
                <c:pt idx="2">
                  <c:v>-0.48640750373717689</c:v>
                </c:pt>
                <c:pt idx="3">
                  <c:v>-0.76492400248178516</c:v>
                </c:pt>
                <c:pt idx="4">
                  <c:v>-2.2266453819531487</c:v>
                </c:pt>
                <c:pt idx="5">
                  <c:v>-0.63086238411685391</c:v>
                </c:pt>
                <c:pt idx="6">
                  <c:v>-1.5377746120788371</c:v>
                </c:pt>
                <c:pt idx="7">
                  <c:v>-2.4545507815330256</c:v>
                </c:pt>
                <c:pt idx="8">
                  <c:v>-1.7706733774733252</c:v>
                </c:pt>
                <c:pt idx="9">
                  <c:v>-2.2794866754189762</c:v>
                </c:pt>
                <c:pt idx="10">
                  <c:v>-1.9964135400295535</c:v>
                </c:pt>
                <c:pt idx="11">
                  <c:v>-0.3043145995953021</c:v>
                </c:pt>
                <c:pt idx="12">
                  <c:v>-1.4036426478427486</c:v>
                </c:pt>
                <c:pt idx="13">
                  <c:v>-2.1399713564596086</c:v>
                </c:pt>
                <c:pt idx="14">
                  <c:v>-1.7934561819603538</c:v>
                </c:pt>
                <c:pt idx="15">
                  <c:v>-0.78539208245228709</c:v>
                </c:pt>
                <c:pt idx="16">
                  <c:v>-1.9801078582247456</c:v>
                </c:pt>
                <c:pt idx="17">
                  <c:v>-1.9370747699033011</c:v>
                </c:pt>
                <c:pt idx="18">
                  <c:v>-1.975348925855567</c:v>
                </c:pt>
                <c:pt idx="19">
                  <c:v>-1.4365740985251962</c:v>
                </c:pt>
                <c:pt idx="20">
                  <c:v>-0.95154365916318262</c:v>
                </c:pt>
                <c:pt idx="21">
                  <c:v>-1.0527845975978549</c:v>
                </c:pt>
                <c:pt idx="22">
                  <c:v>-1.9801078582247456</c:v>
                </c:pt>
                <c:pt idx="23">
                  <c:v>-1.1107712264469305</c:v>
                </c:pt>
                <c:pt idx="24">
                  <c:v>-0.97202271330817314</c:v>
                </c:pt>
              </c:numCache>
            </c:numRef>
          </c:xVal>
          <c:yVal>
            <c:numRef>
              <c:f>'Dane po transformacji i odbieg'!$I$5:$I$29</c:f>
              <c:numCache>
                <c:formatCode>0</c:formatCode>
                <c:ptCount val="25"/>
                <c:pt idx="0">
                  <c:v>115</c:v>
                </c:pt>
                <c:pt idx="1">
                  <c:v>170</c:v>
                </c:pt>
                <c:pt idx="2">
                  <c:v>180</c:v>
                </c:pt>
                <c:pt idx="3">
                  <c:v>160</c:v>
                </c:pt>
                <c:pt idx="4">
                  <c:v>450</c:v>
                </c:pt>
                <c:pt idx="5">
                  <c:v>148</c:v>
                </c:pt>
                <c:pt idx="6">
                  <c:v>140</c:v>
                </c:pt>
                <c:pt idx="7">
                  <c:v>244</c:v>
                </c:pt>
                <c:pt idx="8">
                  <c:v>75</c:v>
                </c:pt>
                <c:pt idx="9">
                  <c:v>320</c:v>
                </c:pt>
                <c:pt idx="10">
                  <c:v>130</c:v>
                </c:pt>
                <c:pt idx="11">
                  <c:v>150</c:v>
                </c:pt>
                <c:pt idx="12">
                  <c:v>165</c:v>
                </c:pt>
                <c:pt idx="13">
                  <c:v>160</c:v>
                </c:pt>
                <c:pt idx="14">
                  <c:v>65</c:v>
                </c:pt>
                <c:pt idx="15">
                  <c:v>220</c:v>
                </c:pt>
                <c:pt idx="16">
                  <c:v>200</c:v>
                </c:pt>
                <c:pt idx="17" formatCode="General">
                  <c:v>250</c:v>
                </c:pt>
                <c:pt idx="18">
                  <c:v>285</c:v>
                </c:pt>
                <c:pt idx="19">
                  <c:v>350</c:v>
                </c:pt>
                <c:pt idx="20">
                  <c:v>200</c:v>
                </c:pt>
                <c:pt idx="21">
                  <c:v>250</c:v>
                </c:pt>
                <c:pt idx="22">
                  <c:v>200</c:v>
                </c:pt>
                <c:pt idx="23" formatCode="General">
                  <c:v>215</c:v>
                </c:pt>
                <c:pt idx="24" formatCode="General">
                  <c:v>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D-4E9C-994B-1731C5185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39960"/>
        <c:axId val="521440320"/>
      </c:scatterChart>
      <c:valAx>
        <c:axId val="521439960"/>
        <c:scaling>
          <c:orientation val="minMax"/>
          <c:max val="-0.2"/>
          <c:min val="-2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440320"/>
        <c:crosses val="autoZero"/>
        <c:crossBetween val="midCat"/>
        <c:majorUnit val="0.4"/>
      </c:valAx>
      <c:valAx>
        <c:axId val="521440320"/>
        <c:scaling>
          <c:orientation val="minMax"/>
          <c:max val="4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439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MOC/ZEG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'Dane po transformacji i odbieg'!$I$5:$I$29</c:f>
              <c:numCache>
                <c:formatCode>0</c:formatCode>
                <c:ptCount val="25"/>
                <c:pt idx="0">
                  <c:v>115</c:v>
                </c:pt>
                <c:pt idx="1">
                  <c:v>170</c:v>
                </c:pt>
                <c:pt idx="2">
                  <c:v>180</c:v>
                </c:pt>
                <c:pt idx="3">
                  <c:v>160</c:v>
                </c:pt>
                <c:pt idx="4">
                  <c:v>450</c:v>
                </c:pt>
                <c:pt idx="5">
                  <c:v>148</c:v>
                </c:pt>
                <c:pt idx="6">
                  <c:v>140</c:v>
                </c:pt>
                <c:pt idx="7">
                  <c:v>244</c:v>
                </c:pt>
                <c:pt idx="8">
                  <c:v>75</c:v>
                </c:pt>
                <c:pt idx="9">
                  <c:v>320</c:v>
                </c:pt>
                <c:pt idx="10">
                  <c:v>130</c:v>
                </c:pt>
                <c:pt idx="11">
                  <c:v>150</c:v>
                </c:pt>
                <c:pt idx="12">
                  <c:v>165</c:v>
                </c:pt>
                <c:pt idx="13">
                  <c:v>160</c:v>
                </c:pt>
                <c:pt idx="14">
                  <c:v>65</c:v>
                </c:pt>
                <c:pt idx="15">
                  <c:v>220</c:v>
                </c:pt>
                <c:pt idx="16">
                  <c:v>200</c:v>
                </c:pt>
                <c:pt idx="17" formatCode="General">
                  <c:v>250</c:v>
                </c:pt>
                <c:pt idx="18">
                  <c:v>285</c:v>
                </c:pt>
                <c:pt idx="19">
                  <c:v>350</c:v>
                </c:pt>
                <c:pt idx="20">
                  <c:v>200</c:v>
                </c:pt>
                <c:pt idx="21">
                  <c:v>250</c:v>
                </c:pt>
                <c:pt idx="22">
                  <c:v>200</c:v>
                </c:pt>
                <c:pt idx="23" formatCode="General">
                  <c:v>215</c:v>
                </c:pt>
                <c:pt idx="24" formatCode="General">
                  <c:v>320</c:v>
                </c:pt>
              </c:numCache>
            </c:numRef>
          </c:xVal>
          <c:yVal>
            <c:numRef>
              <c:f>'Dane po transformacji i odbieg'!$J$5:$J$29</c:f>
              <c:numCache>
                <c:formatCode>0.000</c:formatCode>
                <c:ptCount val="25"/>
                <c:pt idx="0">
                  <c:v>3.2624510897304293</c:v>
                </c:pt>
                <c:pt idx="1">
                  <c:v>3.12057393120585</c:v>
                </c:pt>
                <c:pt idx="2">
                  <c:v>3.2060158767633444</c:v>
                </c:pt>
                <c:pt idx="3">
                  <c:v>3.1351326513767748</c:v>
                </c:pt>
                <c:pt idx="4">
                  <c:v>3.3492775274679554</c:v>
                </c:pt>
                <c:pt idx="5">
                  <c:v>3.0211892990699383</c:v>
                </c:pt>
                <c:pt idx="6">
                  <c:v>2.9912260756924947</c:v>
                </c:pt>
                <c:pt idx="7">
                  <c:v>2.8876173003357359</c:v>
                </c:pt>
                <c:pt idx="8">
                  <c:v>3.0402066275747113</c:v>
                </c:pt>
                <c:pt idx="9">
                  <c:v>3.3434085938038574</c:v>
                </c:pt>
                <c:pt idx="10">
                  <c:v>3.1908917169221698</c:v>
                </c:pt>
                <c:pt idx="11">
                  <c:v>3.1778249718646818</c:v>
                </c:pt>
                <c:pt idx="12">
                  <c:v>3.0519239160461065</c:v>
                </c:pt>
                <c:pt idx="13">
                  <c:v>2.8293037728310249</c:v>
                </c:pt>
                <c:pt idx="14">
                  <c:v>3.0244856676991669</c:v>
                </c:pt>
                <c:pt idx="15">
                  <c:v>3.1760912590556813</c:v>
                </c:pt>
                <c:pt idx="16">
                  <c:v>3.2833012287035497</c:v>
                </c:pt>
                <c:pt idx="17">
                  <c:v>2.9360107957152097</c:v>
                </c:pt>
                <c:pt idx="18">
                  <c:v>3.3636119798921444</c:v>
                </c:pt>
                <c:pt idx="19">
                  <c:v>3.1351326513767748</c:v>
                </c:pt>
                <c:pt idx="20">
                  <c:v>3.1492191126553797</c:v>
                </c:pt>
                <c:pt idx="21">
                  <c:v>3.1303337684950061</c:v>
                </c:pt>
                <c:pt idx="22">
                  <c:v>3.2833012287035497</c:v>
                </c:pt>
                <c:pt idx="23">
                  <c:v>3.180412632838324</c:v>
                </c:pt>
                <c:pt idx="24">
                  <c:v>3.1583624920952498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D-4E9C-994B-1731C5185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39960"/>
        <c:axId val="521440320"/>
      </c:scatterChart>
      <c:valAx>
        <c:axId val="521439960"/>
        <c:scaling>
          <c:orientation val="minMax"/>
          <c:max val="45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440320"/>
        <c:crosses val="autoZero"/>
        <c:crossBetween val="midCat"/>
      </c:valAx>
      <c:valAx>
        <c:axId val="52144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439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ZEG/PRP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'Dane po transformacji i odbieg'!$J$5:$J$29</c:f>
              <c:numCache>
                <c:formatCode>0.000</c:formatCode>
                <c:ptCount val="25"/>
                <c:pt idx="0">
                  <c:v>3.2624510897304293</c:v>
                </c:pt>
                <c:pt idx="1">
                  <c:v>3.12057393120585</c:v>
                </c:pt>
                <c:pt idx="2">
                  <c:v>3.2060158767633444</c:v>
                </c:pt>
                <c:pt idx="3">
                  <c:v>3.1351326513767748</c:v>
                </c:pt>
                <c:pt idx="4">
                  <c:v>3.3492775274679554</c:v>
                </c:pt>
                <c:pt idx="5">
                  <c:v>3.0211892990699383</c:v>
                </c:pt>
                <c:pt idx="6">
                  <c:v>2.9912260756924947</c:v>
                </c:pt>
                <c:pt idx="7">
                  <c:v>2.8876173003357359</c:v>
                </c:pt>
                <c:pt idx="8">
                  <c:v>3.0402066275747113</c:v>
                </c:pt>
                <c:pt idx="9">
                  <c:v>3.3434085938038574</c:v>
                </c:pt>
                <c:pt idx="10">
                  <c:v>3.1908917169221698</c:v>
                </c:pt>
                <c:pt idx="11">
                  <c:v>3.1778249718646818</c:v>
                </c:pt>
                <c:pt idx="12">
                  <c:v>3.0519239160461065</c:v>
                </c:pt>
                <c:pt idx="13">
                  <c:v>2.8293037728310249</c:v>
                </c:pt>
                <c:pt idx="14">
                  <c:v>3.0244856676991669</c:v>
                </c:pt>
                <c:pt idx="15">
                  <c:v>3.1760912590556813</c:v>
                </c:pt>
                <c:pt idx="16">
                  <c:v>3.2833012287035497</c:v>
                </c:pt>
                <c:pt idx="17">
                  <c:v>2.9360107957152097</c:v>
                </c:pt>
                <c:pt idx="18">
                  <c:v>3.3636119798921444</c:v>
                </c:pt>
                <c:pt idx="19">
                  <c:v>3.1351326513767748</c:v>
                </c:pt>
                <c:pt idx="20">
                  <c:v>3.1492191126553797</c:v>
                </c:pt>
                <c:pt idx="21">
                  <c:v>3.1303337684950061</c:v>
                </c:pt>
                <c:pt idx="22">
                  <c:v>3.2833012287035497</c:v>
                </c:pt>
                <c:pt idx="23">
                  <c:v>3.180412632838324</c:v>
                </c:pt>
                <c:pt idx="24">
                  <c:v>3.1583624920952498</c:v>
                </c:pt>
              </c:numCache>
            </c:numRef>
          </c:xVal>
          <c:yVal>
            <c:numRef>
              <c:f>'Dane po transformacji i odbieg'!$K$5:$K$29</c:f>
              <c:numCache>
                <c:formatCode>0.000</c:formatCode>
                <c:ptCount val="25"/>
                <c:pt idx="0">
                  <c:v>2.6294095991027189</c:v>
                </c:pt>
                <c:pt idx="1">
                  <c:v>2.7109631189952759</c:v>
                </c:pt>
                <c:pt idx="2">
                  <c:v>2.6760531246518715</c:v>
                </c:pt>
                <c:pt idx="3">
                  <c:v>2.6901960800285138</c:v>
                </c:pt>
                <c:pt idx="4">
                  <c:v>3.0652061280543119</c:v>
                </c:pt>
                <c:pt idx="5">
                  <c:v>2.5779511277297553</c:v>
                </c:pt>
                <c:pt idx="6">
                  <c:v>2.4745076391169758</c:v>
                </c:pt>
                <c:pt idx="7">
                  <c:v>2.5395778833453089</c:v>
                </c:pt>
                <c:pt idx="8">
                  <c:v>2.3695683465965476</c:v>
                </c:pt>
                <c:pt idx="9">
                  <c:v>2.9399184203690565</c:v>
                </c:pt>
                <c:pt idx="10">
                  <c:v>2.5774917998372255</c:v>
                </c:pt>
                <c:pt idx="11">
                  <c:v>2.6131015169669127</c:v>
                </c:pt>
                <c:pt idx="12">
                  <c:v>2.5779511277297553</c:v>
                </c:pt>
                <c:pt idx="13">
                  <c:v>2.3809344633307021</c:v>
                </c:pt>
                <c:pt idx="14">
                  <c:v>2.369215857410143</c:v>
                </c:pt>
                <c:pt idx="15">
                  <c:v>2.7795964912578244</c:v>
                </c:pt>
                <c:pt idx="16">
                  <c:v>2.8183578779583547</c:v>
                </c:pt>
                <c:pt idx="17">
                  <c:v>2.6458151182966416</c:v>
                </c:pt>
                <c:pt idx="18">
                  <c:v>2.8183578779583547</c:v>
                </c:pt>
                <c:pt idx="19">
                  <c:v>3.027920136405803</c:v>
                </c:pt>
                <c:pt idx="20">
                  <c:v>2.7795964912578244</c:v>
                </c:pt>
                <c:pt idx="21">
                  <c:v>2.8864907251724818</c:v>
                </c:pt>
                <c:pt idx="22">
                  <c:v>2.8183578779583547</c:v>
                </c:pt>
                <c:pt idx="23">
                  <c:v>2.7795964912578244</c:v>
                </c:pt>
                <c:pt idx="24">
                  <c:v>2.9610887197678961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D-4E9C-994B-1731C5185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39960"/>
        <c:axId val="521440320"/>
      </c:scatterChart>
      <c:valAx>
        <c:axId val="521439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440320"/>
        <c:crosses val="autoZero"/>
        <c:crossBetween val="midCat"/>
      </c:valAx>
      <c:valAx>
        <c:axId val="521440320"/>
        <c:scaling>
          <c:orientation val="minMax"/>
          <c:max val="3.1"/>
          <c:min val="2.349999999999999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439960"/>
        <c:crosses val="autoZero"/>
        <c:crossBetween val="midCat"/>
        <c:majorUnit val="0.1500000000000000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PRP/FPS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'Dane po transformacji i odbieg'!$K$5:$K$29</c:f>
              <c:numCache>
                <c:formatCode>0.000</c:formatCode>
                <c:ptCount val="25"/>
                <c:pt idx="0">
                  <c:v>2.6294095991027189</c:v>
                </c:pt>
                <c:pt idx="1">
                  <c:v>2.7109631189952759</c:v>
                </c:pt>
                <c:pt idx="2">
                  <c:v>2.6760531246518715</c:v>
                </c:pt>
                <c:pt idx="3">
                  <c:v>2.6901960800285138</c:v>
                </c:pt>
                <c:pt idx="4">
                  <c:v>3.0652061280543119</c:v>
                </c:pt>
                <c:pt idx="5">
                  <c:v>2.5779511277297553</c:v>
                </c:pt>
                <c:pt idx="6">
                  <c:v>2.4745076391169758</c:v>
                </c:pt>
                <c:pt idx="7">
                  <c:v>2.5395778833453089</c:v>
                </c:pt>
                <c:pt idx="8">
                  <c:v>2.3695683465965476</c:v>
                </c:pt>
                <c:pt idx="9">
                  <c:v>2.9399184203690565</c:v>
                </c:pt>
                <c:pt idx="10">
                  <c:v>2.5774917998372255</c:v>
                </c:pt>
                <c:pt idx="11">
                  <c:v>2.6131015169669127</c:v>
                </c:pt>
                <c:pt idx="12">
                  <c:v>2.5779511277297553</c:v>
                </c:pt>
                <c:pt idx="13">
                  <c:v>2.3809344633307021</c:v>
                </c:pt>
                <c:pt idx="14">
                  <c:v>2.369215857410143</c:v>
                </c:pt>
                <c:pt idx="15">
                  <c:v>2.7795964912578244</c:v>
                </c:pt>
                <c:pt idx="16">
                  <c:v>2.8183578779583547</c:v>
                </c:pt>
                <c:pt idx="17">
                  <c:v>2.6458151182966416</c:v>
                </c:pt>
                <c:pt idx="18">
                  <c:v>2.8183578779583547</c:v>
                </c:pt>
                <c:pt idx="19">
                  <c:v>3.027920136405803</c:v>
                </c:pt>
                <c:pt idx="20">
                  <c:v>2.7795964912578244</c:v>
                </c:pt>
                <c:pt idx="21">
                  <c:v>2.8864907251724818</c:v>
                </c:pt>
                <c:pt idx="22">
                  <c:v>2.8183578779583547</c:v>
                </c:pt>
                <c:pt idx="23">
                  <c:v>2.7795964912578244</c:v>
                </c:pt>
                <c:pt idx="24">
                  <c:v>2.9610887197678961</c:v>
                </c:pt>
              </c:numCache>
            </c:numRef>
          </c:xVal>
          <c:yVal>
            <c:numRef>
              <c:f>'Dane po transformacji i odbieg'!$L$5:$L$29</c:f>
              <c:numCache>
                <c:formatCode>0.000</c:formatCode>
                <c:ptCount val="25"/>
                <c:pt idx="0">
                  <c:v>1.9822712330395684</c:v>
                </c:pt>
                <c:pt idx="1">
                  <c:v>1.9444826721501687</c:v>
                </c:pt>
                <c:pt idx="2">
                  <c:v>1.9138138523837167</c:v>
                </c:pt>
                <c:pt idx="3">
                  <c:v>1.9138138523837167</c:v>
                </c:pt>
                <c:pt idx="4">
                  <c:v>2.3138672203691533</c:v>
                </c:pt>
                <c:pt idx="5">
                  <c:v>1.8061799739838871</c:v>
                </c:pt>
                <c:pt idx="6">
                  <c:v>1.7242758696007889</c:v>
                </c:pt>
                <c:pt idx="7">
                  <c:v>1.7075701760979363</c:v>
                </c:pt>
                <c:pt idx="8">
                  <c:v>1.7242758696007889</c:v>
                </c:pt>
                <c:pt idx="9">
                  <c:v>2.1846914308175989</c:v>
                </c:pt>
                <c:pt idx="10">
                  <c:v>1.8808135922807914</c:v>
                </c:pt>
                <c:pt idx="11">
                  <c:v>1.8750612633917001</c:v>
                </c:pt>
                <c:pt idx="12">
                  <c:v>1.8260748027008264</c:v>
                </c:pt>
                <c:pt idx="13">
                  <c:v>1.6989700043360187</c:v>
                </c:pt>
                <c:pt idx="14">
                  <c:v>1.6989700043360187</c:v>
                </c:pt>
                <c:pt idx="15">
                  <c:v>2.0413926851582249</c:v>
                </c:pt>
                <c:pt idx="16">
                  <c:v>2.1105897102992488</c:v>
                </c:pt>
                <c:pt idx="17">
                  <c:v>1.7781512503836436</c:v>
                </c:pt>
                <c:pt idx="18">
                  <c:v>2.1760912590556813</c:v>
                </c:pt>
                <c:pt idx="19">
                  <c:v>2.1335389083702174</c:v>
                </c:pt>
                <c:pt idx="20">
                  <c:v>2.0043213737826426</c:v>
                </c:pt>
                <c:pt idx="21">
                  <c:v>2.0569048513364727</c:v>
                </c:pt>
                <c:pt idx="22">
                  <c:v>2.1105897102992488</c:v>
                </c:pt>
                <c:pt idx="23">
                  <c:v>1.9912260756924949</c:v>
                </c:pt>
                <c:pt idx="24">
                  <c:v>2.1072099696478683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D-4E9C-994B-1731C5185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39960"/>
        <c:axId val="521440320"/>
      </c:scatterChart>
      <c:valAx>
        <c:axId val="521439960"/>
        <c:scaling>
          <c:orientation val="minMax"/>
          <c:max val="3.1"/>
          <c:min val="2.34999999999999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440320"/>
        <c:crosses val="autoZero"/>
        <c:crossBetween val="midCat"/>
        <c:majorUnit val="0.15000000000000002"/>
      </c:valAx>
      <c:valAx>
        <c:axId val="521440320"/>
        <c:scaling>
          <c:orientation val="minMax"/>
          <c:min val="1.65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439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UDZ/BEC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'Dane po transformacji i odbieg'!$F$5:$F$29</c:f>
              <c:numCache>
                <c:formatCode>0.000</c:formatCode>
                <c:ptCount val="25"/>
                <c:pt idx="0">
                  <c:v>0.50658561296859173</c:v>
                </c:pt>
                <c:pt idx="1">
                  <c:v>0.24073182474723154</c:v>
                </c:pt>
                <c:pt idx="2">
                  <c:v>0.54824561403508765</c:v>
                </c:pt>
                <c:pt idx="3">
                  <c:v>0.44762757385854968</c:v>
                </c:pt>
                <c:pt idx="4">
                  <c:v>0.71225071225071235</c:v>
                </c:pt>
                <c:pt idx="5">
                  <c:v>1.0706638115631693</c:v>
                </c:pt>
                <c:pt idx="6">
                  <c:v>7.4626865671641784</c:v>
                </c:pt>
                <c:pt idx="7">
                  <c:v>-62.500000000000014</c:v>
                </c:pt>
                <c:pt idx="8">
                  <c:v>71.428571428571402</c:v>
                </c:pt>
                <c:pt idx="9">
                  <c:v>1.1709601873536299</c:v>
                </c:pt>
                <c:pt idx="10">
                  <c:v>1.6286644951140066</c:v>
                </c:pt>
                <c:pt idx="11">
                  <c:v>0.48685491723466412</c:v>
                </c:pt>
                <c:pt idx="12">
                  <c:v>4.4642857142857144</c:v>
                </c:pt>
                <c:pt idx="13">
                  <c:v>-38.461538461538467</c:v>
                </c:pt>
                <c:pt idx="14">
                  <c:v>22.727272727272727</c:v>
                </c:pt>
                <c:pt idx="15">
                  <c:v>0.32530904359141188</c:v>
                </c:pt>
                <c:pt idx="16">
                  <c:v>0.47755491881566381</c:v>
                </c:pt>
                <c:pt idx="17">
                  <c:v>41.666666666666664</c:v>
                </c:pt>
                <c:pt idx="18">
                  <c:v>0.62344139650872821</c:v>
                </c:pt>
                <c:pt idx="19">
                  <c:v>0.93109869646182486</c:v>
                </c:pt>
                <c:pt idx="20">
                  <c:v>0.37965072133637057</c:v>
                </c:pt>
                <c:pt idx="21">
                  <c:v>1.2594458438287155</c:v>
                </c:pt>
                <c:pt idx="22">
                  <c:v>0.47984644913627639</c:v>
                </c:pt>
                <c:pt idx="23">
                  <c:v>1.5290519877675843</c:v>
                </c:pt>
                <c:pt idx="24">
                  <c:v>0.47755491881566381</c:v>
                </c:pt>
              </c:numCache>
            </c:numRef>
          </c:xVal>
          <c:yVal>
            <c:numRef>
              <c:f>'Dane po transformacji i odbieg'!$H$5:$H$29</c:f>
              <c:numCache>
                <c:formatCode>0.000</c:formatCode>
                <c:ptCount val="25"/>
                <c:pt idx="0">
                  <c:v>-2.2665983157327756</c:v>
                </c:pt>
                <c:pt idx="1">
                  <c:v>-0.94601834165116139</c:v>
                </c:pt>
                <c:pt idx="2">
                  <c:v>-0.48640750373717689</c:v>
                </c:pt>
                <c:pt idx="3">
                  <c:v>-0.76492400248178516</c:v>
                </c:pt>
                <c:pt idx="4">
                  <c:v>-2.2266453819531487</c:v>
                </c:pt>
                <c:pt idx="5">
                  <c:v>-0.63086238411685391</c:v>
                </c:pt>
                <c:pt idx="6">
                  <c:v>-1.5377746120788371</c:v>
                </c:pt>
                <c:pt idx="7">
                  <c:v>-2.4545507815330256</c:v>
                </c:pt>
                <c:pt idx="8">
                  <c:v>-1.7706733774733252</c:v>
                </c:pt>
                <c:pt idx="9">
                  <c:v>-2.2794866754189762</c:v>
                </c:pt>
                <c:pt idx="10">
                  <c:v>-1.9964135400295535</c:v>
                </c:pt>
                <c:pt idx="11">
                  <c:v>-0.3043145995953021</c:v>
                </c:pt>
                <c:pt idx="12">
                  <c:v>-1.4036426478427486</c:v>
                </c:pt>
                <c:pt idx="13">
                  <c:v>-2.1399713564596086</c:v>
                </c:pt>
                <c:pt idx="14">
                  <c:v>-1.7934561819603538</c:v>
                </c:pt>
                <c:pt idx="15">
                  <c:v>-0.78539208245228709</c:v>
                </c:pt>
                <c:pt idx="16">
                  <c:v>-1.9801078582247456</c:v>
                </c:pt>
                <c:pt idx="17">
                  <c:v>-1.9370747699033011</c:v>
                </c:pt>
                <c:pt idx="18">
                  <c:v>-1.975348925855567</c:v>
                </c:pt>
                <c:pt idx="19">
                  <c:v>-1.4365740985251962</c:v>
                </c:pt>
                <c:pt idx="20">
                  <c:v>-0.95154365916318262</c:v>
                </c:pt>
                <c:pt idx="21">
                  <c:v>-1.0527845975978549</c:v>
                </c:pt>
                <c:pt idx="22">
                  <c:v>-1.9801078582247456</c:v>
                </c:pt>
                <c:pt idx="23">
                  <c:v>-1.1107712264469305</c:v>
                </c:pt>
                <c:pt idx="24">
                  <c:v>-0.97202271330817314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D-4E9C-994B-1731C5185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39960"/>
        <c:axId val="521440320"/>
      </c:scatterChart>
      <c:valAx>
        <c:axId val="521439960"/>
        <c:scaling>
          <c:orientation val="minMax"/>
          <c:max val="80"/>
          <c:min val="-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440320"/>
        <c:crosses val="autoZero"/>
        <c:crossBetween val="midCat"/>
        <c:majorUnit val="30"/>
      </c:valAx>
      <c:valAx>
        <c:axId val="521440320"/>
        <c:scaling>
          <c:orientation val="minMax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439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UDZ/MOC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'Dane po transformacji i odbieg'!$F$5:$F$29</c:f>
              <c:numCache>
                <c:formatCode>0.000</c:formatCode>
                <c:ptCount val="25"/>
                <c:pt idx="0">
                  <c:v>0.50658561296859173</c:v>
                </c:pt>
                <c:pt idx="1">
                  <c:v>0.24073182474723154</c:v>
                </c:pt>
                <c:pt idx="2">
                  <c:v>0.54824561403508765</c:v>
                </c:pt>
                <c:pt idx="3">
                  <c:v>0.44762757385854968</c:v>
                </c:pt>
                <c:pt idx="4">
                  <c:v>0.71225071225071235</c:v>
                </c:pt>
                <c:pt idx="5">
                  <c:v>1.0706638115631693</c:v>
                </c:pt>
                <c:pt idx="6">
                  <c:v>7.4626865671641784</c:v>
                </c:pt>
                <c:pt idx="7">
                  <c:v>-62.500000000000014</c:v>
                </c:pt>
                <c:pt idx="8">
                  <c:v>71.428571428571402</c:v>
                </c:pt>
                <c:pt idx="9">
                  <c:v>1.1709601873536299</c:v>
                </c:pt>
                <c:pt idx="10">
                  <c:v>1.6286644951140066</c:v>
                </c:pt>
                <c:pt idx="11">
                  <c:v>0.48685491723466412</c:v>
                </c:pt>
                <c:pt idx="12">
                  <c:v>4.4642857142857144</c:v>
                </c:pt>
                <c:pt idx="13">
                  <c:v>-38.461538461538467</c:v>
                </c:pt>
                <c:pt idx="14">
                  <c:v>22.727272727272727</c:v>
                </c:pt>
                <c:pt idx="15">
                  <c:v>0.32530904359141188</c:v>
                </c:pt>
                <c:pt idx="16">
                  <c:v>0.47755491881566381</c:v>
                </c:pt>
                <c:pt idx="17">
                  <c:v>41.666666666666664</c:v>
                </c:pt>
                <c:pt idx="18">
                  <c:v>0.62344139650872821</c:v>
                </c:pt>
                <c:pt idx="19">
                  <c:v>0.93109869646182486</c:v>
                </c:pt>
                <c:pt idx="20">
                  <c:v>0.37965072133637057</c:v>
                </c:pt>
                <c:pt idx="21">
                  <c:v>1.2594458438287155</c:v>
                </c:pt>
                <c:pt idx="22">
                  <c:v>0.47984644913627639</c:v>
                </c:pt>
                <c:pt idx="23">
                  <c:v>1.5290519877675843</c:v>
                </c:pt>
                <c:pt idx="24">
                  <c:v>0.47755491881566381</c:v>
                </c:pt>
              </c:numCache>
            </c:numRef>
          </c:xVal>
          <c:yVal>
            <c:numRef>
              <c:f>'Dane po transformacji i odbieg'!$I$5:$I$29</c:f>
              <c:numCache>
                <c:formatCode>0</c:formatCode>
                <c:ptCount val="25"/>
                <c:pt idx="0">
                  <c:v>115</c:v>
                </c:pt>
                <c:pt idx="1">
                  <c:v>170</c:v>
                </c:pt>
                <c:pt idx="2">
                  <c:v>180</c:v>
                </c:pt>
                <c:pt idx="3">
                  <c:v>160</c:v>
                </c:pt>
                <c:pt idx="4">
                  <c:v>450</c:v>
                </c:pt>
                <c:pt idx="5">
                  <c:v>148</c:v>
                </c:pt>
                <c:pt idx="6">
                  <c:v>140</c:v>
                </c:pt>
                <c:pt idx="7">
                  <c:v>244</c:v>
                </c:pt>
                <c:pt idx="8">
                  <c:v>75</c:v>
                </c:pt>
                <c:pt idx="9">
                  <c:v>320</c:v>
                </c:pt>
                <c:pt idx="10">
                  <c:v>130</c:v>
                </c:pt>
                <c:pt idx="11">
                  <c:v>150</c:v>
                </c:pt>
                <c:pt idx="12">
                  <c:v>165</c:v>
                </c:pt>
                <c:pt idx="13">
                  <c:v>160</c:v>
                </c:pt>
                <c:pt idx="14">
                  <c:v>65</c:v>
                </c:pt>
                <c:pt idx="15">
                  <c:v>220</c:v>
                </c:pt>
                <c:pt idx="16">
                  <c:v>200</c:v>
                </c:pt>
                <c:pt idx="17" formatCode="General">
                  <c:v>250</c:v>
                </c:pt>
                <c:pt idx="18">
                  <c:v>285</c:v>
                </c:pt>
                <c:pt idx="19">
                  <c:v>350</c:v>
                </c:pt>
                <c:pt idx="20">
                  <c:v>200</c:v>
                </c:pt>
                <c:pt idx="21">
                  <c:v>250</c:v>
                </c:pt>
                <c:pt idx="22">
                  <c:v>200</c:v>
                </c:pt>
                <c:pt idx="23" formatCode="General">
                  <c:v>215</c:v>
                </c:pt>
                <c:pt idx="24" formatCode="General">
                  <c:v>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D-4E9C-994B-1731C5185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39960"/>
        <c:axId val="521440320"/>
      </c:scatterChart>
      <c:valAx>
        <c:axId val="521439960"/>
        <c:scaling>
          <c:orientation val="minMax"/>
          <c:max val="80"/>
          <c:min val="-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440320"/>
        <c:crosses val="autoZero"/>
        <c:crossBetween val="midCat"/>
        <c:majorUnit val="30"/>
      </c:valAx>
      <c:valAx>
        <c:axId val="521440320"/>
        <c:scaling>
          <c:orientation val="minMax"/>
          <c:max val="4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439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UDZ/ZEG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'Dane po transformacji i odbieg'!$F$5:$F$29</c:f>
              <c:numCache>
                <c:formatCode>0.000</c:formatCode>
                <c:ptCount val="25"/>
                <c:pt idx="0">
                  <c:v>0.50658561296859173</c:v>
                </c:pt>
                <c:pt idx="1">
                  <c:v>0.24073182474723154</c:v>
                </c:pt>
                <c:pt idx="2">
                  <c:v>0.54824561403508765</c:v>
                </c:pt>
                <c:pt idx="3">
                  <c:v>0.44762757385854968</c:v>
                </c:pt>
                <c:pt idx="4">
                  <c:v>0.71225071225071235</c:v>
                </c:pt>
                <c:pt idx="5">
                  <c:v>1.0706638115631693</c:v>
                </c:pt>
                <c:pt idx="6">
                  <c:v>7.4626865671641784</c:v>
                </c:pt>
                <c:pt idx="7">
                  <c:v>-62.500000000000014</c:v>
                </c:pt>
                <c:pt idx="8">
                  <c:v>71.428571428571402</c:v>
                </c:pt>
                <c:pt idx="9">
                  <c:v>1.1709601873536299</c:v>
                </c:pt>
                <c:pt idx="10">
                  <c:v>1.6286644951140066</c:v>
                </c:pt>
                <c:pt idx="11">
                  <c:v>0.48685491723466412</c:v>
                </c:pt>
                <c:pt idx="12">
                  <c:v>4.4642857142857144</c:v>
                </c:pt>
                <c:pt idx="13">
                  <c:v>-38.461538461538467</c:v>
                </c:pt>
                <c:pt idx="14">
                  <c:v>22.727272727272727</c:v>
                </c:pt>
                <c:pt idx="15">
                  <c:v>0.32530904359141188</c:v>
                </c:pt>
                <c:pt idx="16">
                  <c:v>0.47755491881566381</c:v>
                </c:pt>
                <c:pt idx="17">
                  <c:v>41.666666666666664</c:v>
                </c:pt>
                <c:pt idx="18">
                  <c:v>0.62344139650872821</c:v>
                </c:pt>
                <c:pt idx="19">
                  <c:v>0.93109869646182486</c:v>
                </c:pt>
                <c:pt idx="20">
                  <c:v>0.37965072133637057</c:v>
                </c:pt>
                <c:pt idx="21">
                  <c:v>1.2594458438287155</c:v>
                </c:pt>
                <c:pt idx="22">
                  <c:v>0.47984644913627639</c:v>
                </c:pt>
                <c:pt idx="23">
                  <c:v>1.5290519877675843</c:v>
                </c:pt>
                <c:pt idx="24">
                  <c:v>0.47755491881566381</c:v>
                </c:pt>
              </c:numCache>
            </c:numRef>
          </c:xVal>
          <c:yVal>
            <c:numRef>
              <c:f>'Dane po transformacji i odbieg'!$J$5:$J$29</c:f>
              <c:numCache>
                <c:formatCode>0.000</c:formatCode>
                <c:ptCount val="25"/>
                <c:pt idx="0">
                  <c:v>3.2624510897304293</c:v>
                </c:pt>
                <c:pt idx="1">
                  <c:v>3.12057393120585</c:v>
                </c:pt>
                <c:pt idx="2">
                  <c:v>3.2060158767633444</c:v>
                </c:pt>
                <c:pt idx="3">
                  <c:v>3.1351326513767748</c:v>
                </c:pt>
                <c:pt idx="4">
                  <c:v>3.3492775274679554</c:v>
                </c:pt>
                <c:pt idx="5">
                  <c:v>3.0211892990699383</c:v>
                </c:pt>
                <c:pt idx="6">
                  <c:v>2.9912260756924947</c:v>
                </c:pt>
                <c:pt idx="7">
                  <c:v>2.8876173003357359</c:v>
                </c:pt>
                <c:pt idx="8">
                  <c:v>3.0402066275747113</c:v>
                </c:pt>
                <c:pt idx="9">
                  <c:v>3.3434085938038574</c:v>
                </c:pt>
                <c:pt idx="10">
                  <c:v>3.1908917169221698</c:v>
                </c:pt>
                <c:pt idx="11">
                  <c:v>3.1778249718646818</c:v>
                </c:pt>
                <c:pt idx="12">
                  <c:v>3.0519239160461065</c:v>
                </c:pt>
                <c:pt idx="13">
                  <c:v>2.8293037728310249</c:v>
                </c:pt>
                <c:pt idx="14">
                  <c:v>3.0244856676991669</c:v>
                </c:pt>
                <c:pt idx="15">
                  <c:v>3.1760912590556813</c:v>
                </c:pt>
                <c:pt idx="16">
                  <c:v>3.2833012287035497</c:v>
                </c:pt>
                <c:pt idx="17">
                  <c:v>2.9360107957152097</c:v>
                </c:pt>
                <c:pt idx="18">
                  <c:v>3.3636119798921444</c:v>
                </c:pt>
                <c:pt idx="19">
                  <c:v>3.1351326513767748</c:v>
                </c:pt>
                <c:pt idx="20">
                  <c:v>3.1492191126553797</c:v>
                </c:pt>
                <c:pt idx="21">
                  <c:v>3.1303337684950061</c:v>
                </c:pt>
                <c:pt idx="22">
                  <c:v>3.2833012287035497</c:v>
                </c:pt>
                <c:pt idx="23">
                  <c:v>3.180412632838324</c:v>
                </c:pt>
                <c:pt idx="24">
                  <c:v>3.1583624920952498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D-4E9C-994B-1731C5185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39960"/>
        <c:axId val="521440320"/>
      </c:scatterChart>
      <c:valAx>
        <c:axId val="521439960"/>
        <c:scaling>
          <c:orientation val="minMax"/>
          <c:max val="80"/>
          <c:min val="-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440320"/>
        <c:crosses val="autoZero"/>
        <c:crossBetween val="midCat"/>
        <c:majorUnit val="30"/>
      </c:valAx>
      <c:valAx>
        <c:axId val="52144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439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UDZ/PRP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'Dane po transformacji i odbieg'!$F$5:$F$29</c:f>
              <c:numCache>
                <c:formatCode>0.000</c:formatCode>
                <c:ptCount val="25"/>
                <c:pt idx="0">
                  <c:v>0.50658561296859173</c:v>
                </c:pt>
                <c:pt idx="1">
                  <c:v>0.24073182474723154</c:v>
                </c:pt>
                <c:pt idx="2">
                  <c:v>0.54824561403508765</c:v>
                </c:pt>
                <c:pt idx="3">
                  <c:v>0.44762757385854968</c:v>
                </c:pt>
                <c:pt idx="4">
                  <c:v>0.71225071225071235</c:v>
                </c:pt>
                <c:pt idx="5">
                  <c:v>1.0706638115631693</c:v>
                </c:pt>
                <c:pt idx="6">
                  <c:v>7.4626865671641784</c:v>
                </c:pt>
                <c:pt idx="7">
                  <c:v>-62.500000000000014</c:v>
                </c:pt>
                <c:pt idx="8">
                  <c:v>71.428571428571402</c:v>
                </c:pt>
                <c:pt idx="9">
                  <c:v>1.1709601873536299</c:v>
                </c:pt>
                <c:pt idx="10">
                  <c:v>1.6286644951140066</c:v>
                </c:pt>
                <c:pt idx="11">
                  <c:v>0.48685491723466412</c:v>
                </c:pt>
                <c:pt idx="12">
                  <c:v>4.4642857142857144</c:v>
                </c:pt>
                <c:pt idx="13">
                  <c:v>-38.461538461538467</c:v>
                </c:pt>
                <c:pt idx="14">
                  <c:v>22.727272727272727</c:v>
                </c:pt>
                <c:pt idx="15">
                  <c:v>0.32530904359141188</c:v>
                </c:pt>
                <c:pt idx="16">
                  <c:v>0.47755491881566381</c:v>
                </c:pt>
                <c:pt idx="17">
                  <c:v>41.666666666666664</c:v>
                </c:pt>
                <c:pt idx="18">
                  <c:v>0.62344139650872821</c:v>
                </c:pt>
                <c:pt idx="19">
                  <c:v>0.93109869646182486</c:v>
                </c:pt>
                <c:pt idx="20">
                  <c:v>0.37965072133637057</c:v>
                </c:pt>
                <c:pt idx="21">
                  <c:v>1.2594458438287155</c:v>
                </c:pt>
                <c:pt idx="22">
                  <c:v>0.47984644913627639</c:v>
                </c:pt>
                <c:pt idx="23">
                  <c:v>1.5290519877675843</c:v>
                </c:pt>
                <c:pt idx="24">
                  <c:v>0.47755491881566381</c:v>
                </c:pt>
              </c:numCache>
            </c:numRef>
          </c:xVal>
          <c:yVal>
            <c:numRef>
              <c:f>'Dane po transformacji i odbieg'!$K$5:$K$29</c:f>
              <c:numCache>
                <c:formatCode>0.000</c:formatCode>
                <c:ptCount val="25"/>
                <c:pt idx="0">
                  <c:v>2.6294095991027189</c:v>
                </c:pt>
                <c:pt idx="1">
                  <c:v>2.7109631189952759</c:v>
                </c:pt>
                <c:pt idx="2">
                  <c:v>2.6760531246518715</c:v>
                </c:pt>
                <c:pt idx="3">
                  <c:v>2.6901960800285138</c:v>
                </c:pt>
                <c:pt idx="4">
                  <c:v>3.0652061280543119</c:v>
                </c:pt>
                <c:pt idx="5">
                  <c:v>2.5779511277297553</c:v>
                </c:pt>
                <c:pt idx="6">
                  <c:v>2.4745076391169758</c:v>
                </c:pt>
                <c:pt idx="7">
                  <c:v>2.5395778833453089</c:v>
                </c:pt>
                <c:pt idx="8">
                  <c:v>2.3695683465965476</c:v>
                </c:pt>
                <c:pt idx="9">
                  <c:v>2.9399184203690565</c:v>
                </c:pt>
                <c:pt idx="10">
                  <c:v>2.5774917998372255</c:v>
                </c:pt>
                <c:pt idx="11">
                  <c:v>2.6131015169669127</c:v>
                </c:pt>
                <c:pt idx="12">
                  <c:v>2.5779511277297553</c:v>
                </c:pt>
                <c:pt idx="13">
                  <c:v>2.3809344633307021</c:v>
                </c:pt>
                <c:pt idx="14">
                  <c:v>2.369215857410143</c:v>
                </c:pt>
                <c:pt idx="15">
                  <c:v>2.7795964912578244</c:v>
                </c:pt>
                <c:pt idx="16">
                  <c:v>2.8183578779583547</c:v>
                </c:pt>
                <c:pt idx="17">
                  <c:v>2.6458151182966416</c:v>
                </c:pt>
                <c:pt idx="18">
                  <c:v>2.8183578779583547</c:v>
                </c:pt>
                <c:pt idx="19">
                  <c:v>3.027920136405803</c:v>
                </c:pt>
                <c:pt idx="20">
                  <c:v>2.7795964912578244</c:v>
                </c:pt>
                <c:pt idx="21">
                  <c:v>2.8864907251724818</c:v>
                </c:pt>
                <c:pt idx="22">
                  <c:v>2.8183578779583547</c:v>
                </c:pt>
                <c:pt idx="23">
                  <c:v>2.7795964912578244</c:v>
                </c:pt>
                <c:pt idx="24">
                  <c:v>2.9610887197678961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D-4E9C-994B-1731C5185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39960"/>
        <c:axId val="521440320"/>
      </c:scatterChart>
      <c:valAx>
        <c:axId val="521439960"/>
        <c:scaling>
          <c:orientation val="minMax"/>
          <c:max val="80"/>
          <c:min val="-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440320"/>
        <c:crosses val="autoZero"/>
        <c:crossBetween val="midCat"/>
        <c:majorUnit val="30"/>
      </c:valAx>
      <c:valAx>
        <c:axId val="521440320"/>
        <c:scaling>
          <c:orientation val="minMax"/>
          <c:max val="3.1"/>
          <c:min val="2.349999999999999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439960"/>
        <c:crosses val="autoZero"/>
        <c:crossBetween val="midCat"/>
        <c:majorUnit val="0.1500000000000000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UDZ/FPS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'Dane po transformacji i odbieg'!$F$5:$F$29</c:f>
              <c:numCache>
                <c:formatCode>0.000</c:formatCode>
                <c:ptCount val="25"/>
                <c:pt idx="0">
                  <c:v>0.50658561296859173</c:v>
                </c:pt>
                <c:pt idx="1">
                  <c:v>0.24073182474723154</c:v>
                </c:pt>
                <c:pt idx="2">
                  <c:v>0.54824561403508765</c:v>
                </c:pt>
                <c:pt idx="3">
                  <c:v>0.44762757385854968</c:v>
                </c:pt>
                <c:pt idx="4">
                  <c:v>0.71225071225071235</c:v>
                </c:pt>
                <c:pt idx="5">
                  <c:v>1.0706638115631693</c:v>
                </c:pt>
                <c:pt idx="6">
                  <c:v>7.4626865671641784</c:v>
                </c:pt>
                <c:pt idx="7">
                  <c:v>-62.500000000000014</c:v>
                </c:pt>
                <c:pt idx="8">
                  <c:v>71.428571428571402</c:v>
                </c:pt>
                <c:pt idx="9">
                  <c:v>1.1709601873536299</c:v>
                </c:pt>
                <c:pt idx="10">
                  <c:v>1.6286644951140066</c:v>
                </c:pt>
                <c:pt idx="11">
                  <c:v>0.48685491723466412</c:v>
                </c:pt>
                <c:pt idx="12">
                  <c:v>4.4642857142857144</c:v>
                </c:pt>
                <c:pt idx="13">
                  <c:v>-38.461538461538467</c:v>
                </c:pt>
                <c:pt idx="14">
                  <c:v>22.727272727272727</c:v>
                </c:pt>
                <c:pt idx="15">
                  <c:v>0.32530904359141188</c:v>
                </c:pt>
                <c:pt idx="16">
                  <c:v>0.47755491881566381</c:v>
                </c:pt>
                <c:pt idx="17">
                  <c:v>41.666666666666664</c:v>
                </c:pt>
                <c:pt idx="18">
                  <c:v>0.62344139650872821</c:v>
                </c:pt>
                <c:pt idx="19">
                  <c:v>0.93109869646182486</c:v>
                </c:pt>
                <c:pt idx="20">
                  <c:v>0.37965072133637057</c:v>
                </c:pt>
                <c:pt idx="21">
                  <c:v>1.2594458438287155</c:v>
                </c:pt>
                <c:pt idx="22">
                  <c:v>0.47984644913627639</c:v>
                </c:pt>
                <c:pt idx="23">
                  <c:v>1.5290519877675843</c:v>
                </c:pt>
                <c:pt idx="24">
                  <c:v>0.47755491881566381</c:v>
                </c:pt>
              </c:numCache>
            </c:numRef>
          </c:xVal>
          <c:yVal>
            <c:numRef>
              <c:f>'Dane po transformacji i odbieg'!$L$5:$L$29</c:f>
              <c:numCache>
                <c:formatCode>0.000</c:formatCode>
                <c:ptCount val="25"/>
                <c:pt idx="0">
                  <c:v>1.9822712330395684</c:v>
                </c:pt>
                <c:pt idx="1">
                  <c:v>1.9444826721501687</c:v>
                </c:pt>
                <c:pt idx="2">
                  <c:v>1.9138138523837167</c:v>
                </c:pt>
                <c:pt idx="3">
                  <c:v>1.9138138523837167</c:v>
                </c:pt>
                <c:pt idx="4">
                  <c:v>2.3138672203691533</c:v>
                </c:pt>
                <c:pt idx="5">
                  <c:v>1.8061799739838871</c:v>
                </c:pt>
                <c:pt idx="6">
                  <c:v>1.7242758696007889</c:v>
                </c:pt>
                <c:pt idx="7">
                  <c:v>1.7075701760979363</c:v>
                </c:pt>
                <c:pt idx="8">
                  <c:v>1.7242758696007889</c:v>
                </c:pt>
                <c:pt idx="9">
                  <c:v>2.1846914308175989</c:v>
                </c:pt>
                <c:pt idx="10">
                  <c:v>1.8808135922807914</c:v>
                </c:pt>
                <c:pt idx="11">
                  <c:v>1.8750612633917001</c:v>
                </c:pt>
                <c:pt idx="12">
                  <c:v>1.8260748027008264</c:v>
                </c:pt>
                <c:pt idx="13">
                  <c:v>1.6989700043360187</c:v>
                </c:pt>
                <c:pt idx="14">
                  <c:v>1.6989700043360187</c:v>
                </c:pt>
                <c:pt idx="15">
                  <c:v>2.0413926851582249</c:v>
                </c:pt>
                <c:pt idx="16">
                  <c:v>2.1105897102992488</c:v>
                </c:pt>
                <c:pt idx="17">
                  <c:v>1.7781512503836436</c:v>
                </c:pt>
                <c:pt idx="18">
                  <c:v>2.1760912590556813</c:v>
                </c:pt>
                <c:pt idx="19">
                  <c:v>2.1335389083702174</c:v>
                </c:pt>
                <c:pt idx="20">
                  <c:v>2.0043213737826426</c:v>
                </c:pt>
                <c:pt idx="21">
                  <c:v>2.0569048513364727</c:v>
                </c:pt>
                <c:pt idx="22">
                  <c:v>2.1105897102992488</c:v>
                </c:pt>
                <c:pt idx="23">
                  <c:v>1.9912260756924949</c:v>
                </c:pt>
                <c:pt idx="24">
                  <c:v>2.1072099696478683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D-4E9C-994B-1731C5185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39960"/>
        <c:axId val="521440320"/>
      </c:scatterChart>
      <c:valAx>
        <c:axId val="521439960"/>
        <c:scaling>
          <c:orientation val="minMax"/>
          <c:max val="80"/>
          <c:min val="-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440320"/>
        <c:crosses val="autoZero"/>
        <c:crossBetween val="midCat"/>
        <c:majorUnit val="30"/>
      </c:valAx>
      <c:valAx>
        <c:axId val="521440320"/>
        <c:scaling>
          <c:orientation val="minMax"/>
          <c:min val="1.65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439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WIK/MOC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'Dane po transformacji i odbieg'!$G$5:$G$29</c:f>
              <c:numCache>
                <c:formatCode>0.000</c:formatCode>
                <c:ptCount val="25"/>
                <c:pt idx="0">
                  <c:v>8</c:v>
                </c:pt>
                <c:pt idx="1">
                  <c:v>36</c:v>
                </c:pt>
                <c:pt idx="2">
                  <c:v>84</c:v>
                </c:pt>
                <c:pt idx="3">
                  <c:v>60</c:v>
                </c:pt>
                <c:pt idx="4">
                  <c:v>17</c:v>
                </c:pt>
                <c:pt idx="5">
                  <c:v>108</c:v>
                </c:pt>
                <c:pt idx="6">
                  <c:v>132</c:v>
                </c:pt>
                <c:pt idx="7">
                  <c:v>156</c:v>
                </c:pt>
                <c:pt idx="8">
                  <c:v>96</c:v>
                </c:pt>
                <c:pt idx="9">
                  <c:v>16</c:v>
                </c:pt>
                <c:pt idx="10">
                  <c:v>24</c:v>
                </c:pt>
                <c:pt idx="11">
                  <c:v>84</c:v>
                </c:pt>
                <c:pt idx="12">
                  <c:v>108</c:v>
                </c:pt>
                <c:pt idx="13">
                  <c:v>156</c:v>
                </c:pt>
                <c:pt idx="14">
                  <c:v>132</c:v>
                </c:pt>
                <c:pt idx="15">
                  <c:v>36</c:v>
                </c:pt>
                <c:pt idx="16">
                  <c:v>120</c:v>
                </c:pt>
                <c:pt idx="17">
                  <c:v>120</c:v>
                </c:pt>
                <c:pt idx="18">
                  <c:v>14</c:v>
                </c:pt>
                <c:pt idx="19">
                  <c:v>24</c:v>
                </c:pt>
                <c:pt idx="20">
                  <c:v>36</c:v>
                </c:pt>
                <c:pt idx="21">
                  <c:v>60</c:v>
                </c:pt>
                <c:pt idx="22">
                  <c:v>120</c:v>
                </c:pt>
                <c:pt idx="23">
                  <c:v>60</c:v>
                </c:pt>
                <c:pt idx="24">
                  <c:v>36</c:v>
                </c:pt>
              </c:numCache>
            </c:numRef>
          </c:xVal>
          <c:yVal>
            <c:numRef>
              <c:f>'Dane po transformacji i odbieg'!$I$5:$I$29</c:f>
              <c:numCache>
                <c:formatCode>0</c:formatCode>
                <c:ptCount val="25"/>
                <c:pt idx="0">
                  <c:v>115</c:v>
                </c:pt>
                <c:pt idx="1">
                  <c:v>170</c:v>
                </c:pt>
                <c:pt idx="2">
                  <c:v>180</c:v>
                </c:pt>
                <c:pt idx="3">
                  <c:v>160</c:v>
                </c:pt>
                <c:pt idx="4">
                  <c:v>450</c:v>
                </c:pt>
                <c:pt idx="5">
                  <c:v>148</c:v>
                </c:pt>
                <c:pt idx="6">
                  <c:v>140</c:v>
                </c:pt>
                <c:pt idx="7">
                  <c:v>244</c:v>
                </c:pt>
                <c:pt idx="8">
                  <c:v>75</c:v>
                </c:pt>
                <c:pt idx="9">
                  <c:v>320</c:v>
                </c:pt>
                <c:pt idx="10">
                  <c:v>130</c:v>
                </c:pt>
                <c:pt idx="11">
                  <c:v>150</c:v>
                </c:pt>
                <c:pt idx="12">
                  <c:v>165</c:v>
                </c:pt>
                <c:pt idx="13">
                  <c:v>160</c:v>
                </c:pt>
                <c:pt idx="14">
                  <c:v>65</c:v>
                </c:pt>
                <c:pt idx="15">
                  <c:v>220</c:v>
                </c:pt>
                <c:pt idx="16">
                  <c:v>200</c:v>
                </c:pt>
                <c:pt idx="17" formatCode="General">
                  <c:v>250</c:v>
                </c:pt>
                <c:pt idx="18">
                  <c:v>285</c:v>
                </c:pt>
                <c:pt idx="19">
                  <c:v>350</c:v>
                </c:pt>
                <c:pt idx="20">
                  <c:v>200</c:v>
                </c:pt>
                <c:pt idx="21">
                  <c:v>250</c:v>
                </c:pt>
                <c:pt idx="22">
                  <c:v>200</c:v>
                </c:pt>
                <c:pt idx="23" formatCode="General">
                  <c:v>215</c:v>
                </c:pt>
                <c:pt idx="24" formatCode="General">
                  <c:v>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D-4E9C-994B-1731C5185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39960"/>
        <c:axId val="521440320"/>
      </c:scatterChart>
      <c:valAx>
        <c:axId val="521439960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440320"/>
        <c:crosses val="autoZero"/>
        <c:crossBetween val="midCat"/>
      </c:valAx>
      <c:valAx>
        <c:axId val="521440320"/>
        <c:scaling>
          <c:orientation val="minMax"/>
          <c:max val="4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439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KOS/WIK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'Dane po transformacji i odbieg'!$E$5:$E$29</c:f>
              <c:numCache>
                <c:formatCode>0.000</c:formatCode>
                <c:ptCount val="25"/>
                <c:pt idx="0">
                  <c:v>3.1451964061141817</c:v>
                </c:pt>
                <c:pt idx="1">
                  <c:v>3.1528995963937474</c:v>
                </c:pt>
                <c:pt idx="2">
                  <c:v>3.2778383330020473</c:v>
                </c:pt>
                <c:pt idx="3">
                  <c:v>3.1866738674997452</c:v>
                </c:pt>
                <c:pt idx="4">
                  <c:v>3.9832202146481031</c:v>
                </c:pt>
                <c:pt idx="5">
                  <c:v>2.976808337338066</c:v>
                </c:pt>
                <c:pt idx="6">
                  <c:v>2.9063350418050908</c:v>
                </c:pt>
                <c:pt idx="7">
                  <c:v>3.3289908554494287</c:v>
                </c:pt>
                <c:pt idx="8">
                  <c:v>2.8041394323353503</c:v>
                </c:pt>
                <c:pt idx="9">
                  <c:v>3.7476448193282481</c:v>
                </c:pt>
                <c:pt idx="10">
                  <c:v>3.095518042323151</c:v>
                </c:pt>
                <c:pt idx="11">
                  <c:v>2.7979596437371961</c:v>
                </c:pt>
                <c:pt idx="12">
                  <c:v>3.374748346010104</c:v>
                </c:pt>
                <c:pt idx="13">
                  <c:v>2.9831750720378132</c:v>
                </c:pt>
                <c:pt idx="14">
                  <c:v>2.725094521081469</c:v>
                </c:pt>
                <c:pt idx="15">
                  <c:v>3.3040594662175993</c:v>
                </c:pt>
                <c:pt idx="16">
                  <c:v>3.4000196350651586</c:v>
                </c:pt>
                <c:pt idx="17">
                  <c:v>3.1928461151888419</c:v>
                </c:pt>
                <c:pt idx="18">
                  <c:v>3.5508396050657849</c:v>
                </c:pt>
                <c:pt idx="19">
                  <c:v>3.4610480916706576</c:v>
                </c:pt>
                <c:pt idx="20">
                  <c:v>3.2073650374690716</c:v>
                </c:pt>
                <c:pt idx="21">
                  <c:v>3.3201462861110542</c:v>
                </c:pt>
                <c:pt idx="22">
                  <c:v>3.4000196350651586</c:v>
                </c:pt>
                <c:pt idx="23">
                  <c:v>3.2853322276438846</c:v>
                </c:pt>
                <c:pt idx="24">
                  <c:v>3.5018804937550585</c:v>
                </c:pt>
              </c:numCache>
            </c:numRef>
          </c:xVal>
          <c:yVal>
            <c:numRef>
              <c:f>'Dane po transformacji i odbieg'!$G$5:$G$29</c:f>
              <c:numCache>
                <c:formatCode>0.000</c:formatCode>
                <c:ptCount val="25"/>
                <c:pt idx="0">
                  <c:v>8</c:v>
                </c:pt>
                <c:pt idx="1">
                  <c:v>36</c:v>
                </c:pt>
                <c:pt idx="2">
                  <c:v>84</c:v>
                </c:pt>
                <c:pt idx="3">
                  <c:v>60</c:v>
                </c:pt>
                <c:pt idx="4">
                  <c:v>17</c:v>
                </c:pt>
                <c:pt idx="5">
                  <c:v>108</c:v>
                </c:pt>
                <c:pt idx="6">
                  <c:v>132</c:v>
                </c:pt>
                <c:pt idx="7">
                  <c:v>156</c:v>
                </c:pt>
                <c:pt idx="8">
                  <c:v>96</c:v>
                </c:pt>
                <c:pt idx="9">
                  <c:v>16</c:v>
                </c:pt>
                <c:pt idx="10">
                  <c:v>24</c:v>
                </c:pt>
                <c:pt idx="11">
                  <c:v>84</c:v>
                </c:pt>
                <c:pt idx="12">
                  <c:v>108</c:v>
                </c:pt>
                <c:pt idx="13">
                  <c:v>156</c:v>
                </c:pt>
                <c:pt idx="14">
                  <c:v>132</c:v>
                </c:pt>
                <c:pt idx="15">
                  <c:v>36</c:v>
                </c:pt>
                <c:pt idx="16">
                  <c:v>120</c:v>
                </c:pt>
                <c:pt idx="17">
                  <c:v>120</c:v>
                </c:pt>
                <c:pt idx="18">
                  <c:v>14</c:v>
                </c:pt>
                <c:pt idx="19">
                  <c:v>24</c:v>
                </c:pt>
                <c:pt idx="20">
                  <c:v>36</c:v>
                </c:pt>
                <c:pt idx="21">
                  <c:v>60</c:v>
                </c:pt>
                <c:pt idx="22">
                  <c:v>120</c:v>
                </c:pt>
                <c:pt idx="23">
                  <c:v>60</c:v>
                </c:pt>
                <c:pt idx="24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D-4E9C-994B-1731C5185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39960"/>
        <c:axId val="521440320"/>
      </c:scatterChart>
      <c:valAx>
        <c:axId val="521439960"/>
        <c:scaling>
          <c:orientation val="minMax"/>
          <c:min val="2.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440320"/>
        <c:crosses val="autoZero"/>
        <c:crossBetween val="midCat"/>
      </c:valAx>
      <c:valAx>
        <c:axId val="521440320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439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WIK/ZEG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'Dane po transformacji i odbieg'!$G$5:$G$29</c:f>
              <c:numCache>
                <c:formatCode>0.000</c:formatCode>
                <c:ptCount val="25"/>
                <c:pt idx="0">
                  <c:v>8</c:v>
                </c:pt>
                <c:pt idx="1">
                  <c:v>36</c:v>
                </c:pt>
                <c:pt idx="2">
                  <c:v>84</c:v>
                </c:pt>
                <c:pt idx="3">
                  <c:v>60</c:v>
                </c:pt>
                <c:pt idx="4">
                  <c:v>17</c:v>
                </c:pt>
                <c:pt idx="5">
                  <c:v>108</c:v>
                </c:pt>
                <c:pt idx="6">
                  <c:v>132</c:v>
                </c:pt>
                <c:pt idx="7">
                  <c:v>156</c:v>
                </c:pt>
                <c:pt idx="8">
                  <c:v>96</c:v>
                </c:pt>
                <c:pt idx="9">
                  <c:v>16</c:v>
                </c:pt>
                <c:pt idx="10">
                  <c:v>24</c:v>
                </c:pt>
                <c:pt idx="11">
                  <c:v>84</c:v>
                </c:pt>
                <c:pt idx="12">
                  <c:v>108</c:v>
                </c:pt>
                <c:pt idx="13">
                  <c:v>156</c:v>
                </c:pt>
                <c:pt idx="14">
                  <c:v>132</c:v>
                </c:pt>
                <c:pt idx="15">
                  <c:v>36</c:v>
                </c:pt>
                <c:pt idx="16">
                  <c:v>120</c:v>
                </c:pt>
                <c:pt idx="17">
                  <c:v>120</c:v>
                </c:pt>
                <c:pt idx="18">
                  <c:v>14</c:v>
                </c:pt>
                <c:pt idx="19">
                  <c:v>24</c:v>
                </c:pt>
                <c:pt idx="20">
                  <c:v>36</c:v>
                </c:pt>
                <c:pt idx="21">
                  <c:v>60</c:v>
                </c:pt>
                <c:pt idx="22">
                  <c:v>120</c:v>
                </c:pt>
                <c:pt idx="23">
                  <c:v>60</c:v>
                </c:pt>
                <c:pt idx="24">
                  <c:v>36</c:v>
                </c:pt>
              </c:numCache>
            </c:numRef>
          </c:xVal>
          <c:yVal>
            <c:numRef>
              <c:f>'Dane po transformacji i odbieg'!$J$5:$J$29</c:f>
              <c:numCache>
                <c:formatCode>0.000</c:formatCode>
                <c:ptCount val="25"/>
                <c:pt idx="0">
                  <c:v>3.2624510897304293</c:v>
                </c:pt>
                <c:pt idx="1">
                  <c:v>3.12057393120585</c:v>
                </c:pt>
                <c:pt idx="2">
                  <c:v>3.2060158767633444</c:v>
                </c:pt>
                <c:pt idx="3">
                  <c:v>3.1351326513767748</c:v>
                </c:pt>
                <c:pt idx="4">
                  <c:v>3.3492775274679554</c:v>
                </c:pt>
                <c:pt idx="5">
                  <c:v>3.0211892990699383</c:v>
                </c:pt>
                <c:pt idx="6">
                  <c:v>2.9912260756924947</c:v>
                </c:pt>
                <c:pt idx="7">
                  <c:v>2.8876173003357359</c:v>
                </c:pt>
                <c:pt idx="8">
                  <c:v>3.0402066275747113</c:v>
                </c:pt>
                <c:pt idx="9">
                  <c:v>3.3434085938038574</c:v>
                </c:pt>
                <c:pt idx="10">
                  <c:v>3.1908917169221698</c:v>
                </c:pt>
                <c:pt idx="11">
                  <c:v>3.1778249718646818</c:v>
                </c:pt>
                <c:pt idx="12">
                  <c:v>3.0519239160461065</c:v>
                </c:pt>
                <c:pt idx="13">
                  <c:v>2.8293037728310249</c:v>
                </c:pt>
                <c:pt idx="14">
                  <c:v>3.0244856676991669</c:v>
                </c:pt>
                <c:pt idx="15">
                  <c:v>3.1760912590556813</c:v>
                </c:pt>
                <c:pt idx="16">
                  <c:v>3.2833012287035497</c:v>
                </c:pt>
                <c:pt idx="17">
                  <c:v>2.9360107957152097</c:v>
                </c:pt>
                <c:pt idx="18">
                  <c:v>3.3636119798921444</c:v>
                </c:pt>
                <c:pt idx="19">
                  <c:v>3.1351326513767748</c:v>
                </c:pt>
                <c:pt idx="20">
                  <c:v>3.1492191126553797</c:v>
                </c:pt>
                <c:pt idx="21">
                  <c:v>3.1303337684950061</c:v>
                </c:pt>
                <c:pt idx="22">
                  <c:v>3.2833012287035497</c:v>
                </c:pt>
                <c:pt idx="23">
                  <c:v>3.180412632838324</c:v>
                </c:pt>
                <c:pt idx="24">
                  <c:v>3.1583624920952498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D-4E9C-994B-1731C5185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39960"/>
        <c:axId val="521440320"/>
      </c:scatterChart>
      <c:valAx>
        <c:axId val="521439960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440320"/>
        <c:crosses val="autoZero"/>
        <c:crossBetween val="midCat"/>
      </c:valAx>
      <c:valAx>
        <c:axId val="52144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439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WIK/PRP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'Dane po transformacji i odbieg'!$G$5:$G$29</c:f>
              <c:numCache>
                <c:formatCode>0.000</c:formatCode>
                <c:ptCount val="25"/>
                <c:pt idx="0">
                  <c:v>8</c:v>
                </c:pt>
                <c:pt idx="1">
                  <c:v>36</c:v>
                </c:pt>
                <c:pt idx="2">
                  <c:v>84</c:v>
                </c:pt>
                <c:pt idx="3">
                  <c:v>60</c:v>
                </c:pt>
                <c:pt idx="4">
                  <c:v>17</c:v>
                </c:pt>
                <c:pt idx="5">
                  <c:v>108</c:v>
                </c:pt>
                <c:pt idx="6">
                  <c:v>132</c:v>
                </c:pt>
                <c:pt idx="7">
                  <c:v>156</c:v>
                </c:pt>
                <c:pt idx="8">
                  <c:v>96</c:v>
                </c:pt>
                <c:pt idx="9">
                  <c:v>16</c:v>
                </c:pt>
                <c:pt idx="10">
                  <c:v>24</c:v>
                </c:pt>
                <c:pt idx="11">
                  <c:v>84</c:v>
                </c:pt>
                <c:pt idx="12">
                  <c:v>108</c:v>
                </c:pt>
                <c:pt idx="13">
                  <c:v>156</c:v>
                </c:pt>
                <c:pt idx="14">
                  <c:v>132</c:v>
                </c:pt>
                <c:pt idx="15">
                  <c:v>36</c:v>
                </c:pt>
                <c:pt idx="16">
                  <c:v>120</c:v>
                </c:pt>
                <c:pt idx="17">
                  <c:v>120</c:v>
                </c:pt>
                <c:pt idx="18">
                  <c:v>14</c:v>
                </c:pt>
                <c:pt idx="19">
                  <c:v>24</c:v>
                </c:pt>
                <c:pt idx="20">
                  <c:v>36</c:v>
                </c:pt>
                <c:pt idx="21">
                  <c:v>60</c:v>
                </c:pt>
                <c:pt idx="22">
                  <c:v>120</c:v>
                </c:pt>
                <c:pt idx="23">
                  <c:v>60</c:v>
                </c:pt>
                <c:pt idx="24">
                  <c:v>36</c:v>
                </c:pt>
              </c:numCache>
            </c:numRef>
          </c:xVal>
          <c:yVal>
            <c:numRef>
              <c:f>'Dane po transformacji i odbieg'!$K$5:$K$29</c:f>
              <c:numCache>
                <c:formatCode>0.000</c:formatCode>
                <c:ptCount val="25"/>
                <c:pt idx="0">
                  <c:v>2.6294095991027189</c:v>
                </c:pt>
                <c:pt idx="1">
                  <c:v>2.7109631189952759</c:v>
                </c:pt>
                <c:pt idx="2">
                  <c:v>2.6760531246518715</c:v>
                </c:pt>
                <c:pt idx="3">
                  <c:v>2.6901960800285138</c:v>
                </c:pt>
                <c:pt idx="4">
                  <c:v>3.0652061280543119</c:v>
                </c:pt>
                <c:pt idx="5">
                  <c:v>2.5779511277297553</c:v>
                </c:pt>
                <c:pt idx="6">
                  <c:v>2.4745076391169758</c:v>
                </c:pt>
                <c:pt idx="7">
                  <c:v>2.5395778833453089</c:v>
                </c:pt>
                <c:pt idx="8">
                  <c:v>2.3695683465965476</c:v>
                </c:pt>
                <c:pt idx="9">
                  <c:v>2.9399184203690565</c:v>
                </c:pt>
                <c:pt idx="10">
                  <c:v>2.5774917998372255</c:v>
                </c:pt>
                <c:pt idx="11">
                  <c:v>2.6131015169669127</c:v>
                </c:pt>
                <c:pt idx="12">
                  <c:v>2.5779511277297553</c:v>
                </c:pt>
                <c:pt idx="13">
                  <c:v>2.3809344633307021</c:v>
                </c:pt>
                <c:pt idx="14">
                  <c:v>2.369215857410143</c:v>
                </c:pt>
                <c:pt idx="15">
                  <c:v>2.7795964912578244</c:v>
                </c:pt>
                <c:pt idx="16">
                  <c:v>2.8183578779583547</c:v>
                </c:pt>
                <c:pt idx="17">
                  <c:v>2.6458151182966416</c:v>
                </c:pt>
                <c:pt idx="18">
                  <c:v>2.8183578779583547</c:v>
                </c:pt>
                <c:pt idx="19">
                  <c:v>3.027920136405803</c:v>
                </c:pt>
                <c:pt idx="20">
                  <c:v>2.7795964912578244</c:v>
                </c:pt>
                <c:pt idx="21">
                  <c:v>2.8864907251724818</c:v>
                </c:pt>
                <c:pt idx="22">
                  <c:v>2.8183578779583547</c:v>
                </c:pt>
                <c:pt idx="23">
                  <c:v>2.7795964912578244</c:v>
                </c:pt>
                <c:pt idx="24">
                  <c:v>2.9610887197678961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D-4E9C-994B-1731C5185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39960"/>
        <c:axId val="521440320"/>
      </c:scatterChart>
      <c:valAx>
        <c:axId val="521439960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440320"/>
        <c:crosses val="autoZero"/>
        <c:crossBetween val="midCat"/>
      </c:valAx>
      <c:valAx>
        <c:axId val="521440320"/>
        <c:scaling>
          <c:orientation val="minMax"/>
          <c:max val="3.1"/>
          <c:min val="2.349999999999999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439960"/>
        <c:crosses val="autoZero"/>
        <c:crossBetween val="midCat"/>
        <c:majorUnit val="0.1500000000000000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WIK/FPS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'Dane po transformacji i odbieg'!$G$5:$G$29</c:f>
              <c:numCache>
                <c:formatCode>0.000</c:formatCode>
                <c:ptCount val="25"/>
                <c:pt idx="0">
                  <c:v>8</c:v>
                </c:pt>
                <c:pt idx="1">
                  <c:v>36</c:v>
                </c:pt>
                <c:pt idx="2">
                  <c:v>84</c:v>
                </c:pt>
                <c:pt idx="3">
                  <c:v>60</c:v>
                </c:pt>
                <c:pt idx="4">
                  <c:v>17</c:v>
                </c:pt>
                <c:pt idx="5">
                  <c:v>108</c:v>
                </c:pt>
                <c:pt idx="6">
                  <c:v>132</c:v>
                </c:pt>
                <c:pt idx="7">
                  <c:v>156</c:v>
                </c:pt>
                <c:pt idx="8">
                  <c:v>96</c:v>
                </c:pt>
                <c:pt idx="9">
                  <c:v>16</c:v>
                </c:pt>
                <c:pt idx="10">
                  <c:v>24</c:v>
                </c:pt>
                <c:pt idx="11">
                  <c:v>84</c:v>
                </c:pt>
                <c:pt idx="12">
                  <c:v>108</c:v>
                </c:pt>
                <c:pt idx="13">
                  <c:v>156</c:v>
                </c:pt>
                <c:pt idx="14">
                  <c:v>132</c:v>
                </c:pt>
                <c:pt idx="15">
                  <c:v>36</c:v>
                </c:pt>
                <c:pt idx="16">
                  <c:v>120</c:v>
                </c:pt>
                <c:pt idx="17">
                  <c:v>120</c:v>
                </c:pt>
                <c:pt idx="18">
                  <c:v>14</c:v>
                </c:pt>
                <c:pt idx="19">
                  <c:v>24</c:v>
                </c:pt>
                <c:pt idx="20">
                  <c:v>36</c:v>
                </c:pt>
                <c:pt idx="21">
                  <c:v>60</c:v>
                </c:pt>
                <c:pt idx="22">
                  <c:v>120</c:v>
                </c:pt>
                <c:pt idx="23">
                  <c:v>60</c:v>
                </c:pt>
                <c:pt idx="24">
                  <c:v>36</c:v>
                </c:pt>
              </c:numCache>
            </c:numRef>
          </c:xVal>
          <c:yVal>
            <c:numRef>
              <c:f>'Dane po transformacji i odbieg'!$L$5:$L$29</c:f>
              <c:numCache>
                <c:formatCode>0.000</c:formatCode>
                <c:ptCount val="25"/>
                <c:pt idx="0">
                  <c:v>1.9822712330395684</c:v>
                </c:pt>
                <c:pt idx="1">
                  <c:v>1.9444826721501687</c:v>
                </c:pt>
                <c:pt idx="2">
                  <c:v>1.9138138523837167</c:v>
                </c:pt>
                <c:pt idx="3">
                  <c:v>1.9138138523837167</c:v>
                </c:pt>
                <c:pt idx="4">
                  <c:v>2.3138672203691533</c:v>
                </c:pt>
                <c:pt idx="5">
                  <c:v>1.8061799739838871</c:v>
                </c:pt>
                <c:pt idx="6">
                  <c:v>1.7242758696007889</c:v>
                </c:pt>
                <c:pt idx="7">
                  <c:v>1.7075701760979363</c:v>
                </c:pt>
                <c:pt idx="8">
                  <c:v>1.7242758696007889</c:v>
                </c:pt>
                <c:pt idx="9">
                  <c:v>2.1846914308175989</c:v>
                </c:pt>
                <c:pt idx="10">
                  <c:v>1.8808135922807914</c:v>
                </c:pt>
                <c:pt idx="11">
                  <c:v>1.8750612633917001</c:v>
                </c:pt>
                <c:pt idx="12">
                  <c:v>1.8260748027008264</c:v>
                </c:pt>
                <c:pt idx="13">
                  <c:v>1.6989700043360187</c:v>
                </c:pt>
                <c:pt idx="14">
                  <c:v>1.6989700043360187</c:v>
                </c:pt>
                <c:pt idx="15">
                  <c:v>2.0413926851582249</c:v>
                </c:pt>
                <c:pt idx="16">
                  <c:v>2.1105897102992488</c:v>
                </c:pt>
                <c:pt idx="17">
                  <c:v>1.7781512503836436</c:v>
                </c:pt>
                <c:pt idx="18">
                  <c:v>2.1760912590556813</c:v>
                </c:pt>
                <c:pt idx="19">
                  <c:v>2.1335389083702174</c:v>
                </c:pt>
                <c:pt idx="20">
                  <c:v>2.0043213737826426</c:v>
                </c:pt>
                <c:pt idx="21">
                  <c:v>2.0569048513364727</c:v>
                </c:pt>
                <c:pt idx="22">
                  <c:v>2.1105897102992488</c:v>
                </c:pt>
                <c:pt idx="23">
                  <c:v>1.9912260756924949</c:v>
                </c:pt>
                <c:pt idx="24">
                  <c:v>2.1072099696478683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D-4E9C-994B-1731C5185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39960"/>
        <c:axId val="521440320"/>
      </c:scatterChart>
      <c:valAx>
        <c:axId val="521439960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440320"/>
        <c:crosses val="autoZero"/>
        <c:crossBetween val="midCat"/>
      </c:valAx>
      <c:valAx>
        <c:axId val="521440320"/>
        <c:scaling>
          <c:orientation val="minMax"/>
          <c:min val="1.65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439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BEC/ZEG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'Dane po transformacji i odbieg'!$H$5:$H$29</c:f>
              <c:numCache>
                <c:formatCode>0.000</c:formatCode>
                <c:ptCount val="25"/>
                <c:pt idx="0">
                  <c:v>-2.2665983157327756</c:v>
                </c:pt>
                <c:pt idx="1">
                  <c:v>-0.94601834165116139</c:v>
                </c:pt>
                <c:pt idx="2">
                  <c:v>-0.48640750373717689</c:v>
                </c:pt>
                <c:pt idx="3">
                  <c:v>-0.76492400248178516</c:v>
                </c:pt>
                <c:pt idx="4">
                  <c:v>-2.2266453819531487</c:v>
                </c:pt>
                <c:pt idx="5">
                  <c:v>-0.63086238411685391</c:v>
                </c:pt>
                <c:pt idx="6">
                  <c:v>-1.5377746120788371</c:v>
                </c:pt>
                <c:pt idx="7">
                  <c:v>-2.4545507815330256</c:v>
                </c:pt>
                <c:pt idx="8">
                  <c:v>-1.7706733774733252</c:v>
                </c:pt>
                <c:pt idx="9">
                  <c:v>-2.2794866754189762</c:v>
                </c:pt>
                <c:pt idx="10">
                  <c:v>-1.9964135400295535</c:v>
                </c:pt>
                <c:pt idx="11">
                  <c:v>-0.3043145995953021</c:v>
                </c:pt>
                <c:pt idx="12">
                  <c:v>-1.4036426478427486</c:v>
                </c:pt>
                <c:pt idx="13">
                  <c:v>-2.1399713564596086</c:v>
                </c:pt>
                <c:pt idx="14">
                  <c:v>-1.7934561819603538</c:v>
                </c:pt>
                <c:pt idx="15">
                  <c:v>-0.78539208245228709</c:v>
                </c:pt>
                <c:pt idx="16">
                  <c:v>-1.9801078582247456</c:v>
                </c:pt>
                <c:pt idx="17">
                  <c:v>-1.9370747699033011</c:v>
                </c:pt>
                <c:pt idx="18">
                  <c:v>-1.975348925855567</c:v>
                </c:pt>
                <c:pt idx="19">
                  <c:v>-1.4365740985251962</c:v>
                </c:pt>
                <c:pt idx="20">
                  <c:v>-0.95154365916318262</c:v>
                </c:pt>
                <c:pt idx="21">
                  <c:v>-1.0527845975978549</c:v>
                </c:pt>
                <c:pt idx="22">
                  <c:v>-1.9801078582247456</c:v>
                </c:pt>
                <c:pt idx="23">
                  <c:v>-1.1107712264469305</c:v>
                </c:pt>
                <c:pt idx="24">
                  <c:v>-0.97202271330817314</c:v>
                </c:pt>
              </c:numCache>
            </c:numRef>
          </c:xVal>
          <c:yVal>
            <c:numRef>
              <c:f>'Dane po transformacji i odbieg'!$J$5:$J$29</c:f>
              <c:numCache>
                <c:formatCode>0.000</c:formatCode>
                <c:ptCount val="25"/>
                <c:pt idx="0">
                  <c:v>3.2624510897304293</c:v>
                </c:pt>
                <c:pt idx="1">
                  <c:v>3.12057393120585</c:v>
                </c:pt>
                <c:pt idx="2">
                  <c:v>3.2060158767633444</c:v>
                </c:pt>
                <c:pt idx="3">
                  <c:v>3.1351326513767748</c:v>
                </c:pt>
                <c:pt idx="4">
                  <c:v>3.3492775274679554</c:v>
                </c:pt>
                <c:pt idx="5">
                  <c:v>3.0211892990699383</c:v>
                </c:pt>
                <c:pt idx="6">
                  <c:v>2.9912260756924947</c:v>
                </c:pt>
                <c:pt idx="7">
                  <c:v>2.8876173003357359</c:v>
                </c:pt>
                <c:pt idx="8">
                  <c:v>3.0402066275747113</c:v>
                </c:pt>
                <c:pt idx="9">
                  <c:v>3.3434085938038574</c:v>
                </c:pt>
                <c:pt idx="10">
                  <c:v>3.1908917169221698</c:v>
                </c:pt>
                <c:pt idx="11">
                  <c:v>3.1778249718646818</c:v>
                </c:pt>
                <c:pt idx="12">
                  <c:v>3.0519239160461065</c:v>
                </c:pt>
                <c:pt idx="13">
                  <c:v>2.8293037728310249</c:v>
                </c:pt>
                <c:pt idx="14">
                  <c:v>3.0244856676991669</c:v>
                </c:pt>
                <c:pt idx="15">
                  <c:v>3.1760912590556813</c:v>
                </c:pt>
                <c:pt idx="16">
                  <c:v>3.2833012287035497</c:v>
                </c:pt>
                <c:pt idx="17">
                  <c:v>2.9360107957152097</c:v>
                </c:pt>
                <c:pt idx="18">
                  <c:v>3.3636119798921444</c:v>
                </c:pt>
                <c:pt idx="19">
                  <c:v>3.1351326513767748</c:v>
                </c:pt>
                <c:pt idx="20">
                  <c:v>3.1492191126553797</c:v>
                </c:pt>
                <c:pt idx="21">
                  <c:v>3.1303337684950061</c:v>
                </c:pt>
                <c:pt idx="22">
                  <c:v>3.2833012287035497</c:v>
                </c:pt>
                <c:pt idx="23">
                  <c:v>3.180412632838324</c:v>
                </c:pt>
                <c:pt idx="24">
                  <c:v>3.1583624920952498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D-4E9C-994B-1731C5185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39960"/>
        <c:axId val="521440320"/>
      </c:scatterChart>
      <c:valAx>
        <c:axId val="521439960"/>
        <c:scaling>
          <c:orientation val="minMax"/>
          <c:max val="-0.2"/>
          <c:min val="-2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440320"/>
        <c:crosses val="autoZero"/>
        <c:crossBetween val="midCat"/>
        <c:majorUnit val="0.4"/>
      </c:valAx>
      <c:valAx>
        <c:axId val="52144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439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BEC/PRP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'Dane po transformacji i odbieg'!$H$5:$H$29</c:f>
              <c:numCache>
                <c:formatCode>0.000</c:formatCode>
                <c:ptCount val="25"/>
                <c:pt idx="0">
                  <c:v>-2.2665983157327756</c:v>
                </c:pt>
                <c:pt idx="1">
                  <c:v>-0.94601834165116139</c:v>
                </c:pt>
                <c:pt idx="2">
                  <c:v>-0.48640750373717689</c:v>
                </c:pt>
                <c:pt idx="3">
                  <c:v>-0.76492400248178516</c:v>
                </c:pt>
                <c:pt idx="4">
                  <c:v>-2.2266453819531487</c:v>
                </c:pt>
                <c:pt idx="5">
                  <c:v>-0.63086238411685391</c:v>
                </c:pt>
                <c:pt idx="6">
                  <c:v>-1.5377746120788371</c:v>
                </c:pt>
                <c:pt idx="7">
                  <c:v>-2.4545507815330256</c:v>
                </c:pt>
                <c:pt idx="8">
                  <c:v>-1.7706733774733252</c:v>
                </c:pt>
                <c:pt idx="9">
                  <c:v>-2.2794866754189762</c:v>
                </c:pt>
                <c:pt idx="10">
                  <c:v>-1.9964135400295535</c:v>
                </c:pt>
                <c:pt idx="11">
                  <c:v>-0.3043145995953021</c:v>
                </c:pt>
                <c:pt idx="12">
                  <c:v>-1.4036426478427486</c:v>
                </c:pt>
                <c:pt idx="13">
                  <c:v>-2.1399713564596086</c:v>
                </c:pt>
                <c:pt idx="14">
                  <c:v>-1.7934561819603538</c:v>
                </c:pt>
                <c:pt idx="15">
                  <c:v>-0.78539208245228709</c:v>
                </c:pt>
                <c:pt idx="16">
                  <c:v>-1.9801078582247456</c:v>
                </c:pt>
                <c:pt idx="17">
                  <c:v>-1.9370747699033011</c:v>
                </c:pt>
                <c:pt idx="18">
                  <c:v>-1.975348925855567</c:v>
                </c:pt>
                <c:pt idx="19">
                  <c:v>-1.4365740985251962</c:v>
                </c:pt>
                <c:pt idx="20">
                  <c:v>-0.95154365916318262</c:v>
                </c:pt>
                <c:pt idx="21">
                  <c:v>-1.0527845975978549</c:v>
                </c:pt>
                <c:pt idx="22">
                  <c:v>-1.9801078582247456</c:v>
                </c:pt>
                <c:pt idx="23">
                  <c:v>-1.1107712264469305</c:v>
                </c:pt>
                <c:pt idx="24">
                  <c:v>-0.97202271330817314</c:v>
                </c:pt>
              </c:numCache>
            </c:numRef>
          </c:xVal>
          <c:yVal>
            <c:numRef>
              <c:f>'Dane po transformacji i odbieg'!$K$5:$K$29</c:f>
              <c:numCache>
                <c:formatCode>0.000</c:formatCode>
                <c:ptCount val="25"/>
                <c:pt idx="0">
                  <c:v>2.6294095991027189</c:v>
                </c:pt>
                <c:pt idx="1">
                  <c:v>2.7109631189952759</c:v>
                </c:pt>
                <c:pt idx="2">
                  <c:v>2.6760531246518715</c:v>
                </c:pt>
                <c:pt idx="3">
                  <c:v>2.6901960800285138</c:v>
                </c:pt>
                <c:pt idx="4">
                  <c:v>3.0652061280543119</c:v>
                </c:pt>
                <c:pt idx="5">
                  <c:v>2.5779511277297553</c:v>
                </c:pt>
                <c:pt idx="6">
                  <c:v>2.4745076391169758</c:v>
                </c:pt>
                <c:pt idx="7">
                  <c:v>2.5395778833453089</c:v>
                </c:pt>
                <c:pt idx="8">
                  <c:v>2.3695683465965476</c:v>
                </c:pt>
                <c:pt idx="9">
                  <c:v>2.9399184203690565</c:v>
                </c:pt>
                <c:pt idx="10">
                  <c:v>2.5774917998372255</c:v>
                </c:pt>
                <c:pt idx="11">
                  <c:v>2.6131015169669127</c:v>
                </c:pt>
                <c:pt idx="12">
                  <c:v>2.5779511277297553</c:v>
                </c:pt>
                <c:pt idx="13">
                  <c:v>2.3809344633307021</c:v>
                </c:pt>
                <c:pt idx="14">
                  <c:v>2.369215857410143</c:v>
                </c:pt>
                <c:pt idx="15">
                  <c:v>2.7795964912578244</c:v>
                </c:pt>
                <c:pt idx="16">
                  <c:v>2.8183578779583547</c:v>
                </c:pt>
                <c:pt idx="17">
                  <c:v>2.6458151182966416</c:v>
                </c:pt>
                <c:pt idx="18">
                  <c:v>2.8183578779583547</c:v>
                </c:pt>
                <c:pt idx="19">
                  <c:v>3.027920136405803</c:v>
                </c:pt>
                <c:pt idx="20">
                  <c:v>2.7795964912578244</c:v>
                </c:pt>
                <c:pt idx="21">
                  <c:v>2.8864907251724818</c:v>
                </c:pt>
                <c:pt idx="22">
                  <c:v>2.8183578779583547</c:v>
                </c:pt>
                <c:pt idx="23">
                  <c:v>2.7795964912578244</c:v>
                </c:pt>
                <c:pt idx="24">
                  <c:v>2.9610887197678961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D-4E9C-994B-1731C5185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39960"/>
        <c:axId val="521440320"/>
      </c:scatterChart>
      <c:valAx>
        <c:axId val="521439960"/>
        <c:scaling>
          <c:orientation val="minMax"/>
          <c:max val="-0.2"/>
          <c:min val="-2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440320"/>
        <c:crosses val="autoZero"/>
        <c:crossBetween val="midCat"/>
        <c:majorUnit val="0.4"/>
      </c:valAx>
      <c:valAx>
        <c:axId val="521440320"/>
        <c:scaling>
          <c:orientation val="minMax"/>
          <c:max val="3.1"/>
          <c:min val="2.349999999999999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439960"/>
        <c:crosses val="autoZero"/>
        <c:crossBetween val="midCat"/>
        <c:majorUnit val="0.1500000000000000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BEC/FPS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'Dane po transformacji i odbieg'!$H$5:$H$29</c:f>
              <c:numCache>
                <c:formatCode>0.000</c:formatCode>
                <c:ptCount val="25"/>
                <c:pt idx="0">
                  <c:v>-2.2665983157327756</c:v>
                </c:pt>
                <c:pt idx="1">
                  <c:v>-0.94601834165116139</c:v>
                </c:pt>
                <c:pt idx="2">
                  <c:v>-0.48640750373717689</c:v>
                </c:pt>
                <c:pt idx="3">
                  <c:v>-0.76492400248178516</c:v>
                </c:pt>
                <c:pt idx="4">
                  <c:v>-2.2266453819531487</c:v>
                </c:pt>
                <c:pt idx="5">
                  <c:v>-0.63086238411685391</c:v>
                </c:pt>
                <c:pt idx="6">
                  <c:v>-1.5377746120788371</c:v>
                </c:pt>
                <c:pt idx="7">
                  <c:v>-2.4545507815330256</c:v>
                </c:pt>
                <c:pt idx="8">
                  <c:v>-1.7706733774733252</c:v>
                </c:pt>
                <c:pt idx="9">
                  <c:v>-2.2794866754189762</c:v>
                </c:pt>
                <c:pt idx="10">
                  <c:v>-1.9964135400295535</c:v>
                </c:pt>
                <c:pt idx="11">
                  <c:v>-0.3043145995953021</c:v>
                </c:pt>
                <c:pt idx="12">
                  <c:v>-1.4036426478427486</c:v>
                </c:pt>
                <c:pt idx="13">
                  <c:v>-2.1399713564596086</c:v>
                </c:pt>
                <c:pt idx="14">
                  <c:v>-1.7934561819603538</c:v>
                </c:pt>
                <c:pt idx="15">
                  <c:v>-0.78539208245228709</c:v>
                </c:pt>
                <c:pt idx="16">
                  <c:v>-1.9801078582247456</c:v>
                </c:pt>
                <c:pt idx="17">
                  <c:v>-1.9370747699033011</c:v>
                </c:pt>
                <c:pt idx="18">
                  <c:v>-1.975348925855567</c:v>
                </c:pt>
                <c:pt idx="19">
                  <c:v>-1.4365740985251962</c:v>
                </c:pt>
                <c:pt idx="20">
                  <c:v>-0.95154365916318262</c:v>
                </c:pt>
                <c:pt idx="21">
                  <c:v>-1.0527845975978549</c:v>
                </c:pt>
                <c:pt idx="22">
                  <c:v>-1.9801078582247456</c:v>
                </c:pt>
                <c:pt idx="23">
                  <c:v>-1.1107712264469305</c:v>
                </c:pt>
                <c:pt idx="24">
                  <c:v>-0.97202271330817314</c:v>
                </c:pt>
              </c:numCache>
            </c:numRef>
          </c:xVal>
          <c:yVal>
            <c:numRef>
              <c:f>'Dane po transformacji i odbieg'!$L$5:$L$29</c:f>
              <c:numCache>
                <c:formatCode>0.000</c:formatCode>
                <c:ptCount val="25"/>
                <c:pt idx="0">
                  <c:v>1.9822712330395684</c:v>
                </c:pt>
                <c:pt idx="1">
                  <c:v>1.9444826721501687</c:v>
                </c:pt>
                <c:pt idx="2">
                  <c:v>1.9138138523837167</c:v>
                </c:pt>
                <c:pt idx="3">
                  <c:v>1.9138138523837167</c:v>
                </c:pt>
                <c:pt idx="4">
                  <c:v>2.3138672203691533</c:v>
                </c:pt>
                <c:pt idx="5">
                  <c:v>1.8061799739838871</c:v>
                </c:pt>
                <c:pt idx="6">
                  <c:v>1.7242758696007889</c:v>
                </c:pt>
                <c:pt idx="7">
                  <c:v>1.7075701760979363</c:v>
                </c:pt>
                <c:pt idx="8">
                  <c:v>1.7242758696007889</c:v>
                </c:pt>
                <c:pt idx="9">
                  <c:v>2.1846914308175989</c:v>
                </c:pt>
                <c:pt idx="10">
                  <c:v>1.8808135922807914</c:v>
                </c:pt>
                <c:pt idx="11">
                  <c:v>1.8750612633917001</c:v>
                </c:pt>
                <c:pt idx="12">
                  <c:v>1.8260748027008264</c:v>
                </c:pt>
                <c:pt idx="13">
                  <c:v>1.6989700043360187</c:v>
                </c:pt>
                <c:pt idx="14">
                  <c:v>1.6989700043360187</c:v>
                </c:pt>
                <c:pt idx="15">
                  <c:v>2.0413926851582249</c:v>
                </c:pt>
                <c:pt idx="16">
                  <c:v>2.1105897102992488</c:v>
                </c:pt>
                <c:pt idx="17">
                  <c:v>1.7781512503836436</c:v>
                </c:pt>
                <c:pt idx="18">
                  <c:v>2.1760912590556813</c:v>
                </c:pt>
                <c:pt idx="19">
                  <c:v>2.1335389083702174</c:v>
                </c:pt>
                <c:pt idx="20">
                  <c:v>2.0043213737826426</c:v>
                </c:pt>
                <c:pt idx="21">
                  <c:v>2.0569048513364727</c:v>
                </c:pt>
                <c:pt idx="22">
                  <c:v>2.1105897102992488</c:v>
                </c:pt>
                <c:pt idx="23">
                  <c:v>1.9912260756924949</c:v>
                </c:pt>
                <c:pt idx="24">
                  <c:v>2.1072099696478683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D-4E9C-994B-1731C5185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39960"/>
        <c:axId val="521440320"/>
      </c:scatterChart>
      <c:valAx>
        <c:axId val="521439960"/>
        <c:scaling>
          <c:orientation val="minMax"/>
          <c:max val="-0.2"/>
          <c:min val="-2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440320"/>
        <c:crosses val="autoZero"/>
        <c:crossBetween val="midCat"/>
        <c:majorUnit val="0.4"/>
      </c:valAx>
      <c:valAx>
        <c:axId val="521440320"/>
        <c:scaling>
          <c:orientation val="minMax"/>
          <c:min val="1.65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439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MOC/PRP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'Dane po transformacji i odbieg'!$I$5:$I$29</c:f>
              <c:numCache>
                <c:formatCode>0</c:formatCode>
                <c:ptCount val="25"/>
                <c:pt idx="0">
                  <c:v>115</c:v>
                </c:pt>
                <c:pt idx="1">
                  <c:v>170</c:v>
                </c:pt>
                <c:pt idx="2">
                  <c:v>180</c:v>
                </c:pt>
                <c:pt idx="3">
                  <c:v>160</c:v>
                </c:pt>
                <c:pt idx="4">
                  <c:v>450</c:v>
                </c:pt>
                <c:pt idx="5">
                  <c:v>148</c:v>
                </c:pt>
                <c:pt idx="6">
                  <c:v>140</c:v>
                </c:pt>
                <c:pt idx="7">
                  <c:v>244</c:v>
                </c:pt>
                <c:pt idx="8">
                  <c:v>75</c:v>
                </c:pt>
                <c:pt idx="9">
                  <c:v>320</c:v>
                </c:pt>
                <c:pt idx="10">
                  <c:v>130</c:v>
                </c:pt>
                <c:pt idx="11">
                  <c:v>150</c:v>
                </c:pt>
                <c:pt idx="12">
                  <c:v>165</c:v>
                </c:pt>
                <c:pt idx="13">
                  <c:v>160</c:v>
                </c:pt>
                <c:pt idx="14">
                  <c:v>65</c:v>
                </c:pt>
                <c:pt idx="15">
                  <c:v>220</c:v>
                </c:pt>
                <c:pt idx="16">
                  <c:v>200</c:v>
                </c:pt>
                <c:pt idx="17" formatCode="General">
                  <c:v>250</c:v>
                </c:pt>
                <c:pt idx="18">
                  <c:v>285</c:v>
                </c:pt>
                <c:pt idx="19">
                  <c:v>350</c:v>
                </c:pt>
                <c:pt idx="20">
                  <c:v>200</c:v>
                </c:pt>
                <c:pt idx="21">
                  <c:v>250</c:v>
                </c:pt>
                <c:pt idx="22">
                  <c:v>200</c:v>
                </c:pt>
                <c:pt idx="23" formatCode="General">
                  <c:v>215</c:v>
                </c:pt>
                <c:pt idx="24" formatCode="General">
                  <c:v>320</c:v>
                </c:pt>
              </c:numCache>
            </c:numRef>
          </c:xVal>
          <c:yVal>
            <c:numRef>
              <c:f>'Dane po transformacji i odbieg'!$K$5:$K$29</c:f>
              <c:numCache>
                <c:formatCode>0.000</c:formatCode>
                <c:ptCount val="25"/>
                <c:pt idx="0">
                  <c:v>2.6294095991027189</c:v>
                </c:pt>
                <c:pt idx="1">
                  <c:v>2.7109631189952759</c:v>
                </c:pt>
                <c:pt idx="2">
                  <c:v>2.6760531246518715</c:v>
                </c:pt>
                <c:pt idx="3">
                  <c:v>2.6901960800285138</c:v>
                </c:pt>
                <c:pt idx="4">
                  <c:v>3.0652061280543119</c:v>
                </c:pt>
                <c:pt idx="5">
                  <c:v>2.5779511277297553</c:v>
                </c:pt>
                <c:pt idx="6">
                  <c:v>2.4745076391169758</c:v>
                </c:pt>
                <c:pt idx="7">
                  <c:v>2.5395778833453089</c:v>
                </c:pt>
                <c:pt idx="8">
                  <c:v>2.3695683465965476</c:v>
                </c:pt>
                <c:pt idx="9">
                  <c:v>2.9399184203690565</c:v>
                </c:pt>
                <c:pt idx="10">
                  <c:v>2.5774917998372255</c:v>
                </c:pt>
                <c:pt idx="11">
                  <c:v>2.6131015169669127</c:v>
                </c:pt>
                <c:pt idx="12">
                  <c:v>2.5779511277297553</c:v>
                </c:pt>
                <c:pt idx="13">
                  <c:v>2.3809344633307021</c:v>
                </c:pt>
                <c:pt idx="14">
                  <c:v>2.369215857410143</c:v>
                </c:pt>
                <c:pt idx="15">
                  <c:v>2.7795964912578244</c:v>
                </c:pt>
                <c:pt idx="16">
                  <c:v>2.8183578779583547</c:v>
                </c:pt>
                <c:pt idx="17">
                  <c:v>2.6458151182966416</c:v>
                </c:pt>
                <c:pt idx="18">
                  <c:v>2.8183578779583547</c:v>
                </c:pt>
                <c:pt idx="19">
                  <c:v>3.027920136405803</c:v>
                </c:pt>
                <c:pt idx="20">
                  <c:v>2.7795964912578244</c:v>
                </c:pt>
                <c:pt idx="21">
                  <c:v>2.8864907251724818</c:v>
                </c:pt>
                <c:pt idx="22">
                  <c:v>2.8183578779583547</c:v>
                </c:pt>
                <c:pt idx="23">
                  <c:v>2.7795964912578244</c:v>
                </c:pt>
                <c:pt idx="24">
                  <c:v>2.9610887197678961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D-4E9C-994B-1731C5185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39960"/>
        <c:axId val="521440320"/>
      </c:scatterChart>
      <c:valAx>
        <c:axId val="521439960"/>
        <c:scaling>
          <c:orientation val="minMax"/>
          <c:max val="45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440320"/>
        <c:crosses val="autoZero"/>
        <c:crossBetween val="midCat"/>
      </c:valAx>
      <c:valAx>
        <c:axId val="521440320"/>
        <c:scaling>
          <c:orientation val="minMax"/>
          <c:max val="3.1"/>
          <c:min val="2.349999999999999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439960"/>
        <c:crosses val="autoZero"/>
        <c:crossBetween val="midCat"/>
        <c:majorUnit val="0.1500000000000000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MOC/FPS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'Dane po transformacji i odbieg'!$I$5:$I$29</c:f>
              <c:numCache>
                <c:formatCode>0</c:formatCode>
                <c:ptCount val="25"/>
                <c:pt idx="0">
                  <c:v>115</c:v>
                </c:pt>
                <c:pt idx="1">
                  <c:v>170</c:v>
                </c:pt>
                <c:pt idx="2">
                  <c:v>180</c:v>
                </c:pt>
                <c:pt idx="3">
                  <c:v>160</c:v>
                </c:pt>
                <c:pt idx="4">
                  <c:v>450</c:v>
                </c:pt>
                <c:pt idx="5">
                  <c:v>148</c:v>
                </c:pt>
                <c:pt idx="6">
                  <c:v>140</c:v>
                </c:pt>
                <c:pt idx="7">
                  <c:v>244</c:v>
                </c:pt>
                <c:pt idx="8">
                  <c:v>75</c:v>
                </c:pt>
                <c:pt idx="9">
                  <c:v>320</c:v>
                </c:pt>
                <c:pt idx="10">
                  <c:v>130</c:v>
                </c:pt>
                <c:pt idx="11">
                  <c:v>150</c:v>
                </c:pt>
                <c:pt idx="12">
                  <c:v>165</c:v>
                </c:pt>
                <c:pt idx="13">
                  <c:v>160</c:v>
                </c:pt>
                <c:pt idx="14">
                  <c:v>65</c:v>
                </c:pt>
                <c:pt idx="15">
                  <c:v>220</c:v>
                </c:pt>
                <c:pt idx="16">
                  <c:v>200</c:v>
                </c:pt>
                <c:pt idx="17" formatCode="General">
                  <c:v>250</c:v>
                </c:pt>
                <c:pt idx="18">
                  <c:v>285</c:v>
                </c:pt>
                <c:pt idx="19">
                  <c:v>350</c:v>
                </c:pt>
                <c:pt idx="20">
                  <c:v>200</c:v>
                </c:pt>
                <c:pt idx="21">
                  <c:v>250</c:v>
                </c:pt>
                <c:pt idx="22">
                  <c:v>200</c:v>
                </c:pt>
                <c:pt idx="23" formatCode="General">
                  <c:v>215</c:v>
                </c:pt>
                <c:pt idx="24" formatCode="General">
                  <c:v>320</c:v>
                </c:pt>
              </c:numCache>
            </c:numRef>
          </c:xVal>
          <c:yVal>
            <c:numRef>
              <c:f>'Dane po transformacji i odbieg'!$L$5:$L$29</c:f>
              <c:numCache>
                <c:formatCode>0.000</c:formatCode>
                <c:ptCount val="25"/>
                <c:pt idx="0">
                  <c:v>1.9822712330395684</c:v>
                </c:pt>
                <c:pt idx="1">
                  <c:v>1.9444826721501687</c:v>
                </c:pt>
                <c:pt idx="2">
                  <c:v>1.9138138523837167</c:v>
                </c:pt>
                <c:pt idx="3">
                  <c:v>1.9138138523837167</c:v>
                </c:pt>
                <c:pt idx="4">
                  <c:v>2.3138672203691533</c:v>
                </c:pt>
                <c:pt idx="5">
                  <c:v>1.8061799739838871</c:v>
                </c:pt>
                <c:pt idx="6">
                  <c:v>1.7242758696007889</c:v>
                </c:pt>
                <c:pt idx="7">
                  <c:v>1.7075701760979363</c:v>
                </c:pt>
                <c:pt idx="8">
                  <c:v>1.7242758696007889</c:v>
                </c:pt>
                <c:pt idx="9">
                  <c:v>2.1846914308175989</c:v>
                </c:pt>
                <c:pt idx="10">
                  <c:v>1.8808135922807914</c:v>
                </c:pt>
                <c:pt idx="11">
                  <c:v>1.8750612633917001</c:v>
                </c:pt>
                <c:pt idx="12">
                  <c:v>1.8260748027008264</c:v>
                </c:pt>
                <c:pt idx="13">
                  <c:v>1.6989700043360187</c:v>
                </c:pt>
                <c:pt idx="14">
                  <c:v>1.6989700043360187</c:v>
                </c:pt>
                <c:pt idx="15">
                  <c:v>2.0413926851582249</c:v>
                </c:pt>
                <c:pt idx="16">
                  <c:v>2.1105897102992488</c:v>
                </c:pt>
                <c:pt idx="17">
                  <c:v>1.7781512503836436</c:v>
                </c:pt>
                <c:pt idx="18">
                  <c:v>2.1760912590556813</c:v>
                </c:pt>
                <c:pt idx="19">
                  <c:v>2.1335389083702174</c:v>
                </c:pt>
                <c:pt idx="20">
                  <c:v>2.0043213737826426</c:v>
                </c:pt>
                <c:pt idx="21">
                  <c:v>2.0569048513364727</c:v>
                </c:pt>
                <c:pt idx="22">
                  <c:v>2.1105897102992488</c:v>
                </c:pt>
                <c:pt idx="23">
                  <c:v>1.9912260756924949</c:v>
                </c:pt>
                <c:pt idx="24">
                  <c:v>2.1072099696478683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D-4E9C-994B-1731C5185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39960"/>
        <c:axId val="521440320"/>
      </c:scatterChart>
      <c:valAx>
        <c:axId val="521439960"/>
        <c:scaling>
          <c:orientation val="minMax"/>
          <c:max val="45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440320"/>
        <c:crosses val="autoZero"/>
        <c:crossBetween val="midCat"/>
      </c:valAx>
      <c:valAx>
        <c:axId val="521440320"/>
        <c:scaling>
          <c:orientation val="minMax"/>
          <c:min val="1.65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439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ZEG/FPS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'Dane po transformacji i odbieg'!$J$5:$J$29</c:f>
              <c:numCache>
                <c:formatCode>0.000</c:formatCode>
                <c:ptCount val="25"/>
                <c:pt idx="0">
                  <c:v>3.2624510897304293</c:v>
                </c:pt>
                <c:pt idx="1">
                  <c:v>3.12057393120585</c:v>
                </c:pt>
                <c:pt idx="2">
                  <c:v>3.2060158767633444</c:v>
                </c:pt>
                <c:pt idx="3">
                  <c:v>3.1351326513767748</c:v>
                </c:pt>
                <c:pt idx="4">
                  <c:v>3.3492775274679554</c:v>
                </c:pt>
                <c:pt idx="5">
                  <c:v>3.0211892990699383</c:v>
                </c:pt>
                <c:pt idx="6">
                  <c:v>2.9912260756924947</c:v>
                </c:pt>
                <c:pt idx="7">
                  <c:v>2.8876173003357359</c:v>
                </c:pt>
                <c:pt idx="8">
                  <c:v>3.0402066275747113</c:v>
                </c:pt>
                <c:pt idx="9">
                  <c:v>3.3434085938038574</c:v>
                </c:pt>
                <c:pt idx="10">
                  <c:v>3.1908917169221698</c:v>
                </c:pt>
                <c:pt idx="11">
                  <c:v>3.1778249718646818</c:v>
                </c:pt>
                <c:pt idx="12">
                  <c:v>3.0519239160461065</c:v>
                </c:pt>
                <c:pt idx="13">
                  <c:v>2.8293037728310249</c:v>
                </c:pt>
                <c:pt idx="14">
                  <c:v>3.0244856676991669</c:v>
                </c:pt>
                <c:pt idx="15">
                  <c:v>3.1760912590556813</c:v>
                </c:pt>
                <c:pt idx="16">
                  <c:v>3.2833012287035497</c:v>
                </c:pt>
                <c:pt idx="17">
                  <c:v>2.9360107957152097</c:v>
                </c:pt>
                <c:pt idx="18">
                  <c:v>3.3636119798921444</c:v>
                </c:pt>
                <c:pt idx="19">
                  <c:v>3.1351326513767748</c:v>
                </c:pt>
                <c:pt idx="20">
                  <c:v>3.1492191126553797</c:v>
                </c:pt>
                <c:pt idx="21">
                  <c:v>3.1303337684950061</c:v>
                </c:pt>
                <c:pt idx="22">
                  <c:v>3.2833012287035497</c:v>
                </c:pt>
                <c:pt idx="23">
                  <c:v>3.180412632838324</c:v>
                </c:pt>
                <c:pt idx="24">
                  <c:v>3.1583624920952498</c:v>
                </c:pt>
              </c:numCache>
            </c:numRef>
          </c:xVal>
          <c:yVal>
            <c:numRef>
              <c:f>'Dane po transformacji i odbieg'!$L$5:$L$29</c:f>
              <c:numCache>
                <c:formatCode>0.000</c:formatCode>
                <c:ptCount val="25"/>
                <c:pt idx="0">
                  <c:v>1.9822712330395684</c:v>
                </c:pt>
                <c:pt idx="1">
                  <c:v>1.9444826721501687</c:v>
                </c:pt>
                <c:pt idx="2">
                  <c:v>1.9138138523837167</c:v>
                </c:pt>
                <c:pt idx="3">
                  <c:v>1.9138138523837167</c:v>
                </c:pt>
                <c:pt idx="4">
                  <c:v>2.3138672203691533</c:v>
                </c:pt>
                <c:pt idx="5">
                  <c:v>1.8061799739838871</c:v>
                </c:pt>
                <c:pt idx="6">
                  <c:v>1.7242758696007889</c:v>
                </c:pt>
                <c:pt idx="7">
                  <c:v>1.7075701760979363</c:v>
                </c:pt>
                <c:pt idx="8">
                  <c:v>1.7242758696007889</c:v>
                </c:pt>
                <c:pt idx="9">
                  <c:v>2.1846914308175989</c:v>
                </c:pt>
                <c:pt idx="10">
                  <c:v>1.8808135922807914</c:v>
                </c:pt>
                <c:pt idx="11">
                  <c:v>1.8750612633917001</c:v>
                </c:pt>
                <c:pt idx="12">
                  <c:v>1.8260748027008264</c:v>
                </c:pt>
                <c:pt idx="13">
                  <c:v>1.6989700043360187</c:v>
                </c:pt>
                <c:pt idx="14">
                  <c:v>1.6989700043360187</c:v>
                </c:pt>
                <c:pt idx="15">
                  <c:v>2.0413926851582249</c:v>
                </c:pt>
                <c:pt idx="16">
                  <c:v>2.1105897102992488</c:v>
                </c:pt>
                <c:pt idx="17">
                  <c:v>1.7781512503836436</c:v>
                </c:pt>
                <c:pt idx="18">
                  <c:v>2.1760912590556813</c:v>
                </c:pt>
                <c:pt idx="19">
                  <c:v>2.1335389083702174</c:v>
                </c:pt>
                <c:pt idx="20">
                  <c:v>2.0043213737826426</c:v>
                </c:pt>
                <c:pt idx="21">
                  <c:v>2.0569048513364727</c:v>
                </c:pt>
                <c:pt idx="22">
                  <c:v>2.1105897102992488</c:v>
                </c:pt>
                <c:pt idx="23">
                  <c:v>1.9912260756924949</c:v>
                </c:pt>
                <c:pt idx="24">
                  <c:v>2.1072099696478683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D-4E9C-994B-1731C5185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39960"/>
        <c:axId val="521440320"/>
      </c:scatterChart>
      <c:valAx>
        <c:axId val="521439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440320"/>
        <c:crosses val="autoZero"/>
        <c:crossBetween val="midCat"/>
      </c:valAx>
      <c:valAx>
        <c:axId val="521440320"/>
        <c:scaling>
          <c:orientation val="minMax"/>
          <c:min val="1.65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439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Diagram wiązkowy - najdalszych sąsiadów</a:t>
            </a:r>
          </a:p>
        </c:rich>
      </c:tx>
      <c:layout>
        <c:manualLayout>
          <c:xMode val="edge"/>
          <c:yMode val="edge"/>
          <c:x val="0.26884253169311356"/>
          <c:y val="0.142577141628498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945011701907656E-2"/>
          <c:y val="0.31736161851537353"/>
          <c:w val="0.89927426451827275"/>
          <c:h val="0.6434465036829321"/>
        </c:manualLayout>
      </c:layout>
      <c:scatterChart>
        <c:scatterStyle val="lineMarker"/>
        <c:varyColors val="0"/>
        <c:ser>
          <c:idx val="3"/>
          <c:order val="0"/>
          <c:tx>
            <c:v>BMOC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Lit>
              <c:formatCode>General</c:formatCode>
              <c:ptCount val="1"/>
              <c:pt idx="0">
                <c:v>0.51800000000000002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6F6-433B-BD10-FADA4DEC0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965208"/>
        <c:axId val="548966648"/>
      </c:scatterChart>
      <c:valAx>
        <c:axId val="54896520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8966648"/>
        <c:crosses val="autoZero"/>
        <c:crossBetween val="midCat"/>
      </c:valAx>
      <c:valAx>
        <c:axId val="548966648"/>
        <c:scaling>
          <c:orientation val="minMax"/>
          <c:max val="54.432000000000002"/>
          <c:min val="49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#,##0.0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8965208"/>
        <c:crosses val="autoZero"/>
        <c:crossBetween val="midCat"/>
        <c:majorUnit val="0.4"/>
        <c:minorUnit val="0.1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KOS/BEC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'Dane po transformacji i odbieg'!$E$5:$E$29</c:f>
              <c:numCache>
                <c:formatCode>0.000</c:formatCode>
                <c:ptCount val="25"/>
                <c:pt idx="0">
                  <c:v>3.1451964061141817</c:v>
                </c:pt>
                <c:pt idx="1">
                  <c:v>3.1528995963937474</c:v>
                </c:pt>
                <c:pt idx="2">
                  <c:v>3.2778383330020473</c:v>
                </c:pt>
                <c:pt idx="3">
                  <c:v>3.1866738674997452</c:v>
                </c:pt>
                <c:pt idx="4">
                  <c:v>3.9832202146481031</c:v>
                </c:pt>
                <c:pt idx="5">
                  <c:v>2.976808337338066</c:v>
                </c:pt>
                <c:pt idx="6">
                  <c:v>2.9063350418050908</c:v>
                </c:pt>
                <c:pt idx="7">
                  <c:v>3.3289908554494287</c:v>
                </c:pt>
                <c:pt idx="8">
                  <c:v>2.8041394323353503</c:v>
                </c:pt>
                <c:pt idx="9">
                  <c:v>3.7476448193282481</c:v>
                </c:pt>
                <c:pt idx="10">
                  <c:v>3.095518042323151</c:v>
                </c:pt>
                <c:pt idx="11">
                  <c:v>2.7979596437371961</c:v>
                </c:pt>
                <c:pt idx="12">
                  <c:v>3.374748346010104</c:v>
                </c:pt>
                <c:pt idx="13">
                  <c:v>2.9831750720378132</c:v>
                </c:pt>
                <c:pt idx="14">
                  <c:v>2.725094521081469</c:v>
                </c:pt>
                <c:pt idx="15">
                  <c:v>3.3040594662175993</c:v>
                </c:pt>
                <c:pt idx="16">
                  <c:v>3.4000196350651586</c:v>
                </c:pt>
                <c:pt idx="17">
                  <c:v>3.1928461151888419</c:v>
                </c:pt>
                <c:pt idx="18">
                  <c:v>3.5508396050657849</c:v>
                </c:pt>
                <c:pt idx="19">
                  <c:v>3.4610480916706576</c:v>
                </c:pt>
                <c:pt idx="20">
                  <c:v>3.2073650374690716</c:v>
                </c:pt>
                <c:pt idx="21">
                  <c:v>3.3201462861110542</c:v>
                </c:pt>
                <c:pt idx="22">
                  <c:v>3.4000196350651586</c:v>
                </c:pt>
                <c:pt idx="23">
                  <c:v>3.2853322276438846</c:v>
                </c:pt>
                <c:pt idx="24">
                  <c:v>3.5018804937550585</c:v>
                </c:pt>
              </c:numCache>
            </c:numRef>
          </c:xVal>
          <c:yVal>
            <c:numRef>
              <c:f>'Dane po transformacji i odbieg'!$H$5:$H$29</c:f>
              <c:numCache>
                <c:formatCode>0.000</c:formatCode>
                <c:ptCount val="25"/>
                <c:pt idx="0">
                  <c:v>-2.2665983157327756</c:v>
                </c:pt>
                <c:pt idx="1">
                  <c:v>-0.94601834165116139</c:v>
                </c:pt>
                <c:pt idx="2">
                  <c:v>-0.48640750373717689</c:v>
                </c:pt>
                <c:pt idx="3">
                  <c:v>-0.76492400248178516</c:v>
                </c:pt>
                <c:pt idx="4">
                  <c:v>-2.2266453819531487</c:v>
                </c:pt>
                <c:pt idx="5">
                  <c:v>-0.63086238411685391</c:v>
                </c:pt>
                <c:pt idx="6">
                  <c:v>-1.5377746120788371</c:v>
                </c:pt>
                <c:pt idx="7">
                  <c:v>-2.4545507815330256</c:v>
                </c:pt>
                <c:pt idx="8">
                  <c:v>-1.7706733774733252</c:v>
                </c:pt>
                <c:pt idx="9">
                  <c:v>-2.2794866754189762</c:v>
                </c:pt>
                <c:pt idx="10">
                  <c:v>-1.9964135400295535</c:v>
                </c:pt>
                <c:pt idx="11">
                  <c:v>-0.3043145995953021</c:v>
                </c:pt>
                <c:pt idx="12">
                  <c:v>-1.4036426478427486</c:v>
                </c:pt>
                <c:pt idx="13">
                  <c:v>-2.1399713564596086</c:v>
                </c:pt>
                <c:pt idx="14">
                  <c:v>-1.7934561819603538</c:v>
                </c:pt>
                <c:pt idx="15">
                  <c:v>-0.78539208245228709</c:v>
                </c:pt>
                <c:pt idx="16">
                  <c:v>-1.9801078582247456</c:v>
                </c:pt>
                <c:pt idx="17">
                  <c:v>-1.9370747699033011</c:v>
                </c:pt>
                <c:pt idx="18">
                  <c:v>-1.975348925855567</c:v>
                </c:pt>
                <c:pt idx="19">
                  <c:v>-1.4365740985251962</c:v>
                </c:pt>
                <c:pt idx="20">
                  <c:v>-0.95154365916318262</c:v>
                </c:pt>
                <c:pt idx="21">
                  <c:v>-1.0527845975978549</c:v>
                </c:pt>
                <c:pt idx="22">
                  <c:v>-1.9801078582247456</c:v>
                </c:pt>
                <c:pt idx="23">
                  <c:v>-1.1107712264469305</c:v>
                </c:pt>
                <c:pt idx="24">
                  <c:v>-0.97202271330817314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D-4E9C-994B-1731C5185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39960"/>
        <c:axId val="521440320"/>
      </c:scatterChart>
      <c:valAx>
        <c:axId val="521439960"/>
        <c:scaling>
          <c:orientation val="minMax"/>
          <c:min val="2.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440320"/>
        <c:crosses val="autoZero"/>
        <c:crossBetween val="midCat"/>
      </c:valAx>
      <c:valAx>
        <c:axId val="521440320"/>
        <c:scaling>
          <c:orientation val="minMax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439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Diagram wiązkowy - najdalszych sąsiadów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1205298268647585E-2"/>
          <c:y val="2.7077125015398523E-2"/>
          <c:w val="0.89927426451827275"/>
          <c:h val="0.78550214423902842"/>
        </c:manualLayout>
      </c:layout>
      <c:scatterChart>
        <c:scatterStyle val="lineMarker"/>
        <c:varyColors val="0"/>
        <c:ser>
          <c:idx val="3"/>
          <c:order val="0"/>
          <c:tx>
            <c:v>BMOC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Lit>
              <c:formatCode>General</c:formatCode>
              <c:ptCount val="1"/>
              <c:pt idx="0">
                <c:v>0.51800000000000002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79E-43C6-BDDE-E7F35BA5C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965208"/>
        <c:axId val="548966648"/>
      </c:scatterChart>
      <c:valAx>
        <c:axId val="54896520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8966648"/>
        <c:crosses val="autoZero"/>
        <c:crossBetween val="midCat"/>
      </c:valAx>
      <c:valAx>
        <c:axId val="548966648"/>
        <c:scaling>
          <c:orientation val="minMax"/>
          <c:max val="12.2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#,##0.0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8965208"/>
        <c:crosses val="autoZero"/>
        <c:crossBetween val="midCat"/>
        <c:majorUnit val="0.4"/>
        <c:minorUnit val="0.1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Test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'Autoskalowanie.Regresja liniowa'!$M$5:$M$29</c:f>
              <c:numCache>
                <c:formatCode>0.000</c:formatCode>
                <c:ptCount val="25"/>
                <c:pt idx="0">
                  <c:v>0.19400000000000001</c:v>
                </c:pt>
                <c:pt idx="1">
                  <c:v>-2.1000000000000001E-2</c:v>
                </c:pt>
                <c:pt idx="2">
                  <c:v>-0.19600000000000001</c:v>
                </c:pt>
                <c:pt idx="3">
                  <c:v>-0.19600000000000001</c:v>
                </c:pt>
                <c:pt idx="4">
                  <c:v>2.0830000000000002</c:v>
                </c:pt>
                <c:pt idx="5">
                  <c:v>-0.80900000000000005</c:v>
                </c:pt>
                <c:pt idx="6">
                  <c:v>-1.276</c:v>
                </c:pt>
                <c:pt idx="7">
                  <c:v>-1.371</c:v>
                </c:pt>
                <c:pt idx="8">
                  <c:v>-1.276</c:v>
                </c:pt>
                <c:pt idx="9">
                  <c:v>1.347</c:v>
                </c:pt>
                <c:pt idx="10">
                  <c:v>-0.38400000000000001</c:v>
                </c:pt>
                <c:pt idx="11">
                  <c:v>-0.41699999999999998</c:v>
                </c:pt>
                <c:pt idx="12">
                  <c:v>-0.69599999999999995</c:v>
                </c:pt>
                <c:pt idx="13">
                  <c:v>-1.42</c:v>
                </c:pt>
                <c:pt idx="14">
                  <c:v>-1.42</c:v>
                </c:pt>
                <c:pt idx="15">
                  <c:v>0.53100000000000003</c:v>
                </c:pt>
                <c:pt idx="16">
                  <c:v>0.92500000000000004</c:v>
                </c:pt>
                <c:pt idx="17">
                  <c:v>-0.96899999999999997</c:v>
                </c:pt>
                <c:pt idx="18">
                  <c:v>1.298</c:v>
                </c:pt>
                <c:pt idx="19">
                  <c:v>1.056</c:v>
                </c:pt>
                <c:pt idx="20">
                  <c:v>0.32</c:v>
                </c:pt>
                <c:pt idx="21">
                  <c:v>0.61899999999999999</c:v>
                </c:pt>
                <c:pt idx="22">
                  <c:v>0.92500000000000004</c:v>
                </c:pt>
                <c:pt idx="23">
                  <c:v>0.245</c:v>
                </c:pt>
                <c:pt idx="24">
                  <c:v>0.90600000000000003</c:v>
                </c:pt>
              </c:numCache>
            </c:numRef>
          </c:xVal>
          <c:yVal>
            <c:numRef>
              <c:f>'Autoskalowanie.Regresja liniowa'!$O$5:$O$29</c:f>
              <c:numCache>
                <c:formatCode>0.000</c:formatCode>
                <c:ptCount val="25"/>
                <c:pt idx="0">
                  <c:v>-2.5000000000000001E-2</c:v>
                </c:pt>
                <c:pt idx="1">
                  <c:v>0.06</c:v>
                </c:pt>
                <c:pt idx="2">
                  <c:v>-0.18</c:v>
                </c:pt>
                <c:pt idx="3">
                  <c:v>-6.2E-2</c:v>
                </c:pt>
                <c:pt idx="4">
                  <c:v>0.14000000000000001</c:v>
                </c:pt>
                <c:pt idx="5">
                  <c:v>0.05</c:v>
                </c:pt>
                <c:pt idx="6">
                  <c:v>-9.7000000000000003E-2</c:v>
                </c:pt>
                <c:pt idx="7">
                  <c:v>-0.24</c:v>
                </c:pt>
                <c:pt idx="8">
                  <c:v>8.8999999999999996E-2</c:v>
                </c:pt>
                <c:pt idx="9">
                  <c:v>-0.16</c:v>
                </c:pt>
                <c:pt idx="10">
                  <c:v>-0.19</c:v>
                </c:pt>
                <c:pt idx="11">
                  <c:v>-8.4000000000000005E-2</c:v>
                </c:pt>
                <c:pt idx="12">
                  <c:v>-2.5000000000000001E-2</c:v>
                </c:pt>
                <c:pt idx="13">
                  <c:v>0.46</c:v>
                </c:pt>
                <c:pt idx="14">
                  <c:v>-1.0999999999999999E-2</c:v>
                </c:pt>
                <c:pt idx="15">
                  <c:v>0.24</c:v>
                </c:pt>
                <c:pt idx="16">
                  <c:v>4.1000000000000002E-2</c:v>
                </c:pt>
                <c:pt idx="17">
                  <c:v>-0.27</c:v>
                </c:pt>
                <c:pt idx="18">
                  <c:v>0.18</c:v>
                </c:pt>
                <c:pt idx="19">
                  <c:v>-4.5999999999999999E-2</c:v>
                </c:pt>
                <c:pt idx="20">
                  <c:v>8.5000000000000006E-2</c:v>
                </c:pt>
                <c:pt idx="21">
                  <c:v>6.0999999999999999E-2</c:v>
                </c:pt>
                <c:pt idx="22">
                  <c:v>4.1000000000000002E-2</c:v>
                </c:pt>
                <c:pt idx="23">
                  <c:v>-0.1</c:v>
                </c:pt>
                <c:pt idx="24">
                  <c:v>2.5000000000000001E-2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05-47A8-A5D9-7B4632EB5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435584"/>
        <c:axId val="444431264"/>
      </c:scatterChart>
      <c:valAx>
        <c:axId val="444435584"/>
        <c:scaling>
          <c:orientation val="minMax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Znaleziona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4431264"/>
        <c:crosses val="autoZero"/>
        <c:crossBetween val="midCat"/>
      </c:valAx>
      <c:valAx>
        <c:axId val="444431264"/>
        <c:scaling>
          <c:orientation val="minMax"/>
          <c:max val="2.5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Różnica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4435584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PCA!$G$3:$G$10</c:f>
              <c:numCache>
                <c:formatCode>0.0000</c:formatCode>
                <c:ptCount val="8"/>
                <c:pt idx="0">
                  <c:v>1.0043</c:v>
                </c:pt>
                <c:pt idx="1">
                  <c:v>-0.10875</c:v>
                </c:pt>
                <c:pt idx="2">
                  <c:v>-0.63254999999999995</c:v>
                </c:pt>
                <c:pt idx="3">
                  <c:v>-0.53459999999999996</c:v>
                </c:pt>
                <c:pt idx="4">
                  <c:v>0.89495000000000002</c:v>
                </c:pt>
                <c:pt idx="5">
                  <c:v>0.77715000000000001</c:v>
                </c:pt>
                <c:pt idx="6">
                  <c:v>0.88700000000000001</c:v>
                </c:pt>
                <c:pt idx="7">
                  <c:v>0.95325000000000004</c:v>
                </c:pt>
              </c:numCache>
            </c:numRef>
          </c:xVal>
          <c:yVal>
            <c:numRef>
              <c:f>PCA!$H$3:$H$10</c:f>
              <c:numCache>
                <c:formatCode>0.0000</c:formatCode>
                <c:ptCount val="8"/>
                <c:pt idx="0">
                  <c:v>-0.10639999999999999</c:v>
                </c:pt>
                <c:pt idx="1">
                  <c:v>0.87195</c:v>
                </c:pt>
                <c:pt idx="2">
                  <c:v>-0.22134999999999999</c:v>
                </c:pt>
                <c:pt idx="3">
                  <c:v>-0.45229999999999998</c:v>
                </c:pt>
                <c:pt idx="4">
                  <c:v>-0.24854999999999999</c:v>
                </c:pt>
                <c:pt idx="5">
                  <c:v>0.34545000000000003</c:v>
                </c:pt>
                <c:pt idx="6">
                  <c:v>-0.14710000000000001</c:v>
                </c:pt>
                <c:pt idx="7">
                  <c:v>6.6049999999999998E-2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7D-4BB8-BD7B-645653D5DF2E}"/>
            </c:ext>
          </c:extLst>
        </c:ser>
        <c:ser>
          <c:idx val="1"/>
          <c:order val="1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PCA!$I$3:$I$10</c:f>
              <c:numCache>
                <c:formatCode>0.0000</c:formatCode>
                <c:ptCount val="8"/>
                <c:pt idx="0">
                  <c:v>1.0043</c:v>
                </c:pt>
                <c:pt idx="1">
                  <c:v>-0.10875</c:v>
                </c:pt>
                <c:pt idx="2">
                  <c:v>-0.63254999999999995</c:v>
                </c:pt>
                <c:pt idx="3">
                  <c:v>-0.53459999999999996</c:v>
                </c:pt>
                <c:pt idx="4">
                  <c:v>0.89495000000000002</c:v>
                </c:pt>
                <c:pt idx="5">
                  <c:v>0.77715000000000001</c:v>
                </c:pt>
                <c:pt idx="6">
                  <c:v>0.88700000000000001</c:v>
                </c:pt>
                <c:pt idx="7">
                  <c:v>0.95325000000000004</c:v>
                </c:pt>
              </c:numCache>
            </c:numRef>
          </c:xVal>
          <c:yVal>
            <c:numRef>
              <c:f>PCA!$J$3:$J$10</c:f>
              <c:numCache>
                <c:formatCode>0.0000</c:formatCode>
                <c:ptCount val="8"/>
                <c:pt idx="0">
                  <c:v>0.1305</c:v>
                </c:pt>
                <c:pt idx="1">
                  <c:v>-1.085E-2</c:v>
                </c:pt>
                <c:pt idx="2">
                  <c:v>0.10945000000000001</c:v>
                </c:pt>
                <c:pt idx="3">
                  <c:v>-0.48159999999999997</c:v>
                </c:pt>
                <c:pt idx="4">
                  <c:v>8.1549999999999997E-2</c:v>
                </c:pt>
                <c:pt idx="5">
                  <c:v>-1.8249999999999999E-2</c:v>
                </c:pt>
                <c:pt idx="6">
                  <c:v>-5.1799999999999999E-2</c:v>
                </c:pt>
                <c:pt idx="7">
                  <c:v>-3.3500000000000001E-3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7D-4BB8-BD7B-645653D5D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177696"/>
        <c:axId val="448180576"/>
      </c:scatterChart>
      <c:valAx>
        <c:axId val="448177696"/>
        <c:scaling>
          <c:orientation val="minMax"/>
          <c:max val="1.1000000000000001"/>
          <c:min val="-1.100000000000000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8180576"/>
        <c:crosses val="autoZero"/>
        <c:crossBetween val="midCat"/>
        <c:majorUnit val="0.1"/>
      </c:valAx>
      <c:valAx>
        <c:axId val="448180576"/>
        <c:scaling>
          <c:orientation val="minMax"/>
          <c:max val="1.1000000000000001"/>
          <c:min val="-1.100000000000000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817769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X'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D65B38A-9A26-486E-9DAB-B4C710D41D53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BD8-498B-B321-421A7204AEE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789665-315C-408C-A085-2A462BB923F6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BD8-498B-B321-421A7204AEE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20DABAF-CA30-45E2-A0AE-3970E6960EF6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BD8-498B-B321-421A7204AEE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C73861B-3934-4EB8-B7DB-C5AEDA1222AB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BD8-498B-B321-421A7204AEE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E6DE131-3427-4496-BB5B-EF3A51786791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BD8-498B-B321-421A7204AEE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BC60BA7-D45E-4573-8266-071554575F7C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BD8-498B-B321-421A7204AEE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6B3DEF3-BAB5-4EE8-B2C9-09FD9CDD8C1A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BD8-498B-B321-421A7204AEE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5193434-DE11-4D17-956E-8296D093BD2C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BD8-498B-B321-421A7204AEE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6C6E4E3-9369-488B-99D3-D2253A4F7600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BD8-498B-B321-421A7204AEE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E7027D4-1F9B-4E45-A684-AB6E9F1AE67F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BD8-498B-B321-421A7204AEE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54B45EC-7424-47AC-94EA-9EDF8E0FE8AA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BD8-498B-B321-421A7204AEE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5F7F0DF-4FD1-45B3-9B18-2125885560A2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BD8-498B-B321-421A7204AEE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3CE804A-F231-4D20-AF82-C9D07B27E844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BD8-498B-B321-421A7204AEE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16BFE93-34FD-4D8C-B0C4-481242D4E080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BD8-498B-B321-421A7204AEE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9C9804E-B6CC-449B-9398-0458670E917A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BD8-498B-B321-421A7204AEE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1E93BF9-8FAB-42B2-A6E4-18DB54A195CF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BD8-498B-B321-421A7204AEE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66B3099-3AE3-4E66-B10D-B4981CC9F25A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BD8-498B-B321-421A7204AEE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1FF2605-4F2B-4A0C-BFA6-7E1CBA6FC055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BD8-498B-B321-421A7204AEE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0FB29A3-3CD1-4B9B-8075-82ED5BEDCE68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BD8-498B-B321-421A7204AEE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DEDC02A-05D2-45FC-B9C6-2C83FB465B22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BD8-498B-B321-421A7204AEE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E63247C-2DB7-483A-ADBA-D2D04588EDEB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BD8-498B-B321-421A7204AEE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6912B86-FA8C-4F57-AF06-049A595E0883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BD8-498B-B321-421A7204AEE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2306273A-4413-475E-A8FA-7DC7088E827D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BD8-498B-B321-421A7204AEE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82C8D885-3336-491C-A299-10771515598F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BD8-498B-B321-421A7204AEE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71085A61-F99D-4A5E-B052-F2DE925C859E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BD8-498B-B321-421A7204AE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PCA!$F$16:$F$40</c:f>
              <c:numCache>
                <c:formatCode>0.0000</c:formatCode>
                <c:ptCount val="25"/>
                <c:pt idx="0">
                  <c:v>0.8175</c:v>
                </c:pt>
                <c:pt idx="1">
                  <c:v>-0.69099999999999995</c:v>
                </c:pt>
                <c:pt idx="2">
                  <c:v>-1.0309999999999999</c:v>
                </c:pt>
                <c:pt idx="3">
                  <c:v>-1.3245</c:v>
                </c:pt>
                <c:pt idx="4">
                  <c:v>11.182500000000001</c:v>
                </c:pt>
                <c:pt idx="5">
                  <c:v>-4.6364999999999998</c:v>
                </c:pt>
                <c:pt idx="6">
                  <c:v>-5.6274999999999995</c:v>
                </c:pt>
                <c:pt idx="7">
                  <c:v>-2.7155000000000005</c:v>
                </c:pt>
                <c:pt idx="8">
                  <c:v>-6.4750000000000005</c:v>
                </c:pt>
                <c:pt idx="9">
                  <c:v>7.8149999999999995</c:v>
                </c:pt>
                <c:pt idx="10">
                  <c:v>-0.82599999999999996</c:v>
                </c:pt>
                <c:pt idx="11">
                  <c:v>-3.7835000000000001</c:v>
                </c:pt>
                <c:pt idx="12">
                  <c:v>-2.1935000000000002</c:v>
                </c:pt>
                <c:pt idx="13">
                  <c:v>-6.2164999999999999</c:v>
                </c:pt>
                <c:pt idx="14">
                  <c:v>-7.2965</c:v>
                </c:pt>
                <c:pt idx="15">
                  <c:v>1.3435000000000001</c:v>
                </c:pt>
                <c:pt idx="16">
                  <c:v>2.5070000000000001</c:v>
                </c:pt>
                <c:pt idx="17">
                  <c:v>-2.4400000000000004</c:v>
                </c:pt>
                <c:pt idx="18">
                  <c:v>6.0735000000000001</c:v>
                </c:pt>
                <c:pt idx="19">
                  <c:v>5.2925000000000004</c:v>
                </c:pt>
                <c:pt idx="20">
                  <c:v>0.59699999999999998</c:v>
                </c:pt>
                <c:pt idx="21">
                  <c:v>1.92</c:v>
                </c:pt>
                <c:pt idx="22">
                  <c:v>2.5070000000000001</c:v>
                </c:pt>
                <c:pt idx="23">
                  <c:v>0.9295000000000001</c:v>
                </c:pt>
                <c:pt idx="24">
                  <c:v>4.2699999999999996</c:v>
                </c:pt>
              </c:numCache>
            </c:numRef>
          </c:xVal>
          <c:yVal>
            <c:numRef>
              <c:f>PCA!$G$16:$G$40</c:f>
              <c:numCache>
                <c:formatCode>0.0000</c:formatCode>
                <c:ptCount val="25"/>
                <c:pt idx="0">
                  <c:v>1.4484999999999999</c:v>
                </c:pt>
                <c:pt idx="1">
                  <c:v>-0.20499999999999996</c:v>
                </c:pt>
                <c:pt idx="2">
                  <c:v>-0.58799999999999997</c:v>
                </c:pt>
                <c:pt idx="3">
                  <c:v>-0.37949999999999995</c:v>
                </c:pt>
                <c:pt idx="4">
                  <c:v>0.15250000000000008</c:v>
                </c:pt>
                <c:pt idx="5">
                  <c:v>-0.79849999999999999</c:v>
                </c:pt>
                <c:pt idx="6">
                  <c:v>-4.4999999999999971E-3</c:v>
                </c:pt>
                <c:pt idx="7">
                  <c:v>-2.8765000000000001</c:v>
                </c:pt>
                <c:pt idx="8">
                  <c:v>3.17</c:v>
                </c:pt>
                <c:pt idx="9">
                  <c:v>0.69399999999999995</c:v>
                </c:pt>
                <c:pt idx="10">
                  <c:v>1.0269999999999999</c:v>
                </c:pt>
                <c:pt idx="11">
                  <c:v>-0.49649999999999994</c:v>
                </c:pt>
                <c:pt idx="12">
                  <c:v>-0.23349999999999999</c:v>
                </c:pt>
                <c:pt idx="13">
                  <c:v>-1.8544999999999998</c:v>
                </c:pt>
                <c:pt idx="14">
                  <c:v>1.1825000000000001</c:v>
                </c:pt>
                <c:pt idx="15">
                  <c:v>-0.38850000000000007</c:v>
                </c:pt>
                <c:pt idx="16">
                  <c:v>0.35599999999999998</c:v>
                </c:pt>
                <c:pt idx="17">
                  <c:v>0.97199999999999998</c:v>
                </c:pt>
                <c:pt idx="18">
                  <c:v>0.77550000000000008</c:v>
                </c:pt>
                <c:pt idx="19">
                  <c:v>-0.52549999999999997</c:v>
                </c:pt>
                <c:pt idx="20">
                  <c:v>-0.25800000000000001</c:v>
                </c:pt>
                <c:pt idx="21">
                  <c:v>-0.55300000000000005</c:v>
                </c:pt>
                <c:pt idx="22">
                  <c:v>0.35599999999999998</c:v>
                </c:pt>
                <c:pt idx="23">
                  <c:v>-0.21150000000000002</c:v>
                </c:pt>
                <c:pt idx="24">
                  <c:v>-0.75900000000000001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PCA!$J$16:$J$40</c15:f>
                <c15:dlblRangeCache>
                  <c:ptCount val="25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BD8-498B-B321-421A7204AEE8}"/>
            </c:ext>
          </c:extLst>
        </c:ser>
        <c:ser>
          <c:idx val="1"/>
          <c:order val="1"/>
          <c:tx>
            <c:v>y''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PCA!$H$16:$H$40</c:f>
              <c:numCache>
                <c:formatCode>0.0000</c:formatCode>
                <c:ptCount val="25"/>
                <c:pt idx="0">
                  <c:v>0.8175</c:v>
                </c:pt>
                <c:pt idx="1">
                  <c:v>-0.69099999999999995</c:v>
                </c:pt>
                <c:pt idx="2">
                  <c:v>-1.0309999999999999</c:v>
                </c:pt>
                <c:pt idx="3">
                  <c:v>-1.3245</c:v>
                </c:pt>
                <c:pt idx="4">
                  <c:v>11.182500000000001</c:v>
                </c:pt>
                <c:pt idx="5">
                  <c:v>-4.6364999999999998</c:v>
                </c:pt>
                <c:pt idx="6">
                  <c:v>-5.6274999999999995</c:v>
                </c:pt>
                <c:pt idx="7">
                  <c:v>-2.7155000000000005</c:v>
                </c:pt>
                <c:pt idx="8">
                  <c:v>-6.4750000000000005</c:v>
                </c:pt>
                <c:pt idx="9">
                  <c:v>7.8149999999999995</c:v>
                </c:pt>
                <c:pt idx="10">
                  <c:v>-0.82599999999999996</c:v>
                </c:pt>
                <c:pt idx="11">
                  <c:v>-3.7835000000000001</c:v>
                </c:pt>
                <c:pt idx="12">
                  <c:v>-2.1935000000000002</c:v>
                </c:pt>
                <c:pt idx="13">
                  <c:v>-6.2164999999999999</c:v>
                </c:pt>
                <c:pt idx="14">
                  <c:v>-7.2965</c:v>
                </c:pt>
                <c:pt idx="15">
                  <c:v>1.3435000000000001</c:v>
                </c:pt>
                <c:pt idx="16">
                  <c:v>2.5070000000000001</c:v>
                </c:pt>
                <c:pt idx="17">
                  <c:v>-2.4400000000000004</c:v>
                </c:pt>
                <c:pt idx="18">
                  <c:v>6.0735000000000001</c:v>
                </c:pt>
                <c:pt idx="19">
                  <c:v>5.2925000000000004</c:v>
                </c:pt>
                <c:pt idx="20">
                  <c:v>0.59699999999999998</c:v>
                </c:pt>
                <c:pt idx="21">
                  <c:v>1.92</c:v>
                </c:pt>
                <c:pt idx="22">
                  <c:v>2.5070000000000001</c:v>
                </c:pt>
                <c:pt idx="23">
                  <c:v>0.9295000000000001</c:v>
                </c:pt>
                <c:pt idx="24">
                  <c:v>4.2699999999999996</c:v>
                </c:pt>
              </c:numCache>
            </c:numRef>
          </c:xVal>
          <c:yVal>
            <c:numRef>
              <c:f>PCA!$I$16:$I$40</c:f>
              <c:numCache>
                <c:formatCode>0.0000</c:formatCode>
                <c:ptCount val="25"/>
                <c:pt idx="0">
                  <c:v>-0.18099999999999999</c:v>
                </c:pt>
                <c:pt idx="1">
                  <c:v>-7.5999999999999998E-2</c:v>
                </c:pt>
                <c:pt idx="2">
                  <c:v>-0.1295</c:v>
                </c:pt>
                <c:pt idx="3">
                  <c:v>0.34899999999999998</c:v>
                </c:pt>
                <c:pt idx="4">
                  <c:v>5.5E-2</c:v>
                </c:pt>
                <c:pt idx="5">
                  <c:v>2.1999999999999999E-2</c:v>
                </c:pt>
                <c:pt idx="6">
                  <c:v>1.9870000000000001</c:v>
                </c:pt>
                <c:pt idx="7">
                  <c:v>-1.5760000000000001</c:v>
                </c:pt>
                <c:pt idx="8">
                  <c:v>2.5000000000000001E-3</c:v>
                </c:pt>
                <c:pt idx="9">
                  <c:v>-0.4335</c:v>
                </c:pt>
                <c:pt idx="10">
                  <c:v>-0.30049999999999999</c:v>
                </c:pt>
                <c:pt idx="11">
                  <c:v>0.1565</c:v>
                </c:pt>
                <c:pt idx="12">
                  <c:v>1.2609999999999999</c:v>
                </c:pt>
                <c:pt idx="13">
                  <c:v>-0.54200000000000004</c:v>
                </c:pt>
                <c:pt idx="14">
                  <c:v>-0.1065</c:v>
                </c:pt>
                <c:pt idx="15">
                  <c:v>6.5500000000000003E-2</c:v>
                </c:pt>
                <c:pt idx="16">
                  <c:v>-0.24299999999999999</c:v>
                </c:pt>
                <c:pt idx="17">
                  <c:v>-0.2</c:v>
                </c:pt>
                <c:pt idx="18">
                  <c:v>0.25700000000000001</c:v>
                </c:pt>
                <c:pt idx="19">
                  <c:v>-0.13800000000000001</c:v>
                </c:pt>
                <c:pt idx="20">
                  <c:v>0.1095</c:v>
                </c:pt>
                <c:pt idx="21">
                  <c:v>6.5500000000000003E-2</c:v>
                </c:pt>
                <c:pt idx="22">
                  <c:v>-5.1999999999999998E-2</c:v>
                </c:pt>
                <c:pt idx="23">
                  <c:v>0.2155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D8-498B-B321-421A7204AE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23015704"/>
        <c:axId val="223013736"/>
      </c:scatterChart>
      <c:valAx>
        <c:axId val="223015704"/>
        <c:scaling>
          <c:orientation val="minMax"/>
          <c:max val="11.2"/>
          <c:min val="-11.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3013736"/>
        <c:crosses val="autoZero"/>
        <c:crossBetween val="midCat"/>
      </c:valAx>
      <c:valAx>
        <c:axId val="223013736"/>
        <c:scaling>
          <c:orientation val="minMax"/>
          <c:max val="3.2"/>
          <c:min val="-3.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3015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KOS/MOC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'Dane po transformacji i odbieg'!$E$5:$E$29</c:f>
              <c:numCache>
                <c:formatCode>0.000</c:formatCode>
                <c:ptCount val="25"/>
                <c:pt idx="0">
                  <c:v>3.1451964061141817</c:v>
                </c:pt>
                <c:pt idx="1">
                  <c:v>3.1528995963937474</c:v>
                </c:pt>
                <c:pt idx="2">
                  <c:v>3.2778383330020473</c:v>
                </c:pt>
                <c:pt idx="3">
                  <c:v>3.1866738674997452</c:v>
                </c:pt>
                <c:pt idx="4">
                  <c:v>3.9832202146481031</c:v>
                </c:pt>
                <c:pt idx="5">
                  <c:v>2.976808337338066</c:v>
                </c:pt>
                <c:pt idx="6">
                  <c:v>2.9063350418050908</c:v>
                </c:pt>
                <c:pt idx="7">
                  <c:v>3.3289908554494287</c:v>
                </c:pt>
                <c:pt idx="8">
                  <c:v>2.8041394323353503</c:v>
                </c:pt>
                <c:pt idx="9">
                  <c:v>3.7476448193282481</c:v>
                </c:pt>
                <c:pt idx="10">
                  <c:v>3.095518042323151</c:v>
                </c:pt>
                <c:pt idx="11">
                  <c:v>2.7979596437371961</c:v>
                </c:pt>
                <c:pt idx="12">
                  <c:v>3.374748346010104</c:v>
                </c:pt>
                <c:pt idx="13">
                  <c:v>2.9831750720378132</c:v>
                </c:pt>
                <c:pt idx="14">
                  <c:v>2.725094521081469</c:v>
                </c:pt>
                <c:pt idx="15">
                  <c:v>3.3040594662175993</c:v>
                </c:pt>
                <c:pt idx="16">
                  <c:v>3.4000196350651586</c:v>
                </c:pt>
                <c:pt idx="17">
                  <c:v>3.1928461151888419</c:v>
                </c:pt>
                <c:pt idx="18">
                  <c:v>3.5508396050657849</c:v>
                </c:pt>
                <c:pt idx="19">
                  <c:v>3.4610480916706576</c:v>
                </c:pt>
                <c:pt idx="20">
                  <c:v>3.2073650374690716</c:v>
                </c:pt>
                <c:pt idx="21">
                  <c:v>3.3201462861110542</c:v>
                </c:pt>
                <c:pt idx="22">
                  <c:v>3.4000196350651586</c:v>
                </c:pt>
                <c:pt idx="23">
                  <c:v>3.2853322276438846</c:v>
                </c:pt>
                <c:pt idx="24">
                  <c:v>3.5018804937550585</c:v>
                </c:pt>
              </c:numCache>
            </c:numRef>
          </c:xVal>
          <c:yVal>
            <c:numRef>
              <c:f>'Dane po transformacji i odbieg'!$I$5:$I$29</c:f>
              <c:numCache>
                <c:formatCode>0</c:formatCode>
                <c:ptCount val="25"/>
                <c:pt idx="0">
                  <c:v>115</c:v>
                </c:pt>
                <c:pt idx="1">
                  <c:v>170</c:v>
                </c:pt>
                <c:pt idx="2">
                  <c:v>180</c:v>
                </c:pt>
                <c:pt idx="3">
                  <c:v>160</c:v>
                </c:pt>
                <c:pt idx="4">
                  <c:v>450</c:v>
                </c:pt>
                <c:pt idx="5">
                  <c:v>148</c:v>
                </c:pt>
                <c:pt idx="6">
                  <c:v>140</c:v>
                </c:pt>
                <c:pt idx="7">
                  <c:v>244</c:v>
                </c:pt>
                <c:pt idx="8">
                  <c:v>75</c:v>
                </c:pt>
                <c:pt idx="9">
                  <c:v>320</c:v>
                </c:pt>
                <c:pt idx="10">
                  <c:v>130</c:v>
                </c:pt>
                <c:pt idx="11">
                  <c:v>150</c:v>
                </c:pt>
                <c:pt idx="12">
                  <c:v>165</c:v>
                </c:pt>
                <c:pt idx="13">
                  <c:v>160</c:v>
                </c:pt>
                <c:pt idx="14">
                  <c:v>65</c:v>
                </c:pt>
                <c:pt idx="15">
                  <c:v>220</c:v>
                </c:pt>
                <c:pt idx="16">
                  <c:v>200</c:v>
                </c:pt>
                <c:pt idx="17" formatCode="General">
                  <c:v>250</c:v>
                </c:pt>
                <c:pt idx="18">
                  <c:v>285</c:v>
                </c:pt>
                <c:pt idx="19">
                  <c:v>350</c:v>
                </c:pt>
                <c:pt idx="20">
                  <c:v>200</c:v>
                </c:pt>
                <c:pt idx="21">
                  <c:v>250</c:v>
                </c:pt>
                <c:pt idx="22">
                  <c:v>200</c:v>
                </c:pt>
                <c:pt idx="23" formatCode="General">
                  <c:v>215</c:v>
                </c:pt>
                <c:pt idx="24" formatCode="General">
                  <c:v>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D-4E9C-994B-1731C5185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39960"/>
        <c:axId val="521440320"/>
      </c:scatterChart>
      <c:valAx>
        <c:axId val="521439960"/>
        <c:scaling>
          <c:orientation val="minMax"/>
          <c:min val="2.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440320"/>
        <c:crosses val="autoZero"/>
        <c:crossBetween val="midCat"/>
      </c:valAx>
      <c:valAx>
        <c:axId val="521440320"/>
        <c:scaling>
          <c:orientation val="minMax"/>
          <c:max val="4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439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KOS/ZEG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'Dane po transformacji i odbieg'!$E$5:$E$29</c:f>
              <c:numCache>
                <c:formatCode>0.000</c:formatCode>
                <c:ptCount val="25"/>
                <c:pt idx="0">
                  <c:v>3.1451964061141817</c:v>
                </c:pt>
                <c:pt idx="1">
                  <c:v>3.1528995963937474</c:v>
                </c:pt>
                <c:pt idx="2">
                  <c:v>3.2778383330020473</c:v>
                </c:pt>
                <c:pt idx="3">
                  <c:v>3.1866738674997452</c:v>
                </c:pt>
                <c:pt idx="4">
                  <c:v>3.9832202146481031</c:v>
                </c:pt>
                <c:pt idx="5">
                  <c:v>2.976808337338066</c:v>
                </c:pt>
                <c:pt idx="6">
                  <c:v>2.9063350418050908</c:v>
                </c:pt>
                <c:pt idx="7">
                  <c:v>3.3289908554494287</c:v>
                </c:pt>
                <c:pt idx="8">
                  <c:v>2.8041394323353503</c:v>
                </c:pt>
                <c:pt idx="9">
                  <c:v>3.7476448193282481</c:v>
                </c:pt>
                <c:pt idx="10">
                  <c:v>3.095518042323151</c:v>
                </c:pt>
                <c:pt idx="11">
                  <c:v>2.7979596437371961</c:v>
                </c:pt>
                <c:pt idx="12">
                  <c:v>3.374748346010104</c:v>
                </c:pt>
                <c:pt idx="13">
                  <c:v>2.9831750720378132</c:v>
                </c:pt>
                <c:pt idx="14">
                  <c:v>2.725094521081469</c:v>
                </c:pt>
                <c:pt idx="15">
                  <c:v>3.3040594662175993</c:v>
                </c:pt>
                <c:pt idx="16">
                  <c:v>3.4000196350651586</c:v>
                </c:pt>
                <c:pt idx="17">
                  <c:v>3.1928461151888419</c:v>
                </c:pt>
                <c:pt idx="18">
                  <c:v>3.5508396050657849</c:v>
                </c:pt>
                <c:pt idx="19">
                  <c:v>3.4610480916706576</c:v>
                </c:pt>
                <c:pt idx="20">
                  <c:v>3.2073650374690716</c:v>
                </c:pt>
                <c:pt idx="21">
                  <c:v>3.3201462861110542</c:v>
                </c:pt>
                <c:pt idx="22">
                  <c:v>3.4000196350651586</c:v>
                </c:pt>
                <c:pt idx="23">
                  <c:v>3.2853322276438846</c:v>
                </c:pt>
                <c:pt idx="24">
                  <c:v>3.5018804937550585</c:v>
                </c:pt>
              </c:numCache>
            </c:numRef>
          </c:xVal>
          <c:yVal>
            <c:numRef>
              <c:f>'Dane po transformacji i odbieg'!$J$5:$J$29</c:f>
              <c:numCache>
                <c:formatCode>0.000</c:formatCode>
                <c:ptCount val="25"/>
                <c:pt idx="0">
                  <c:v>3.2624510897304293</c:v>
                </c:pt>
                <c:pt idx="1">
                  <c:v>3.12057393120585</c:v>
                </c:pt>
                <c:pt idx="2">
                  <c:v>3.2060158767633444</c:v>
                </c:pt>
                <c:pt idx="3">
                  <c:v>3.1351326513767748</c:v>
                </c:pt>
                <c:pt idx="4">
                  <c:v>3.3492775274679554</c:v>
                </c:pt>
                <c:pt idx="5">
                  <c:v>3.0211892990699383</c:v>
                </c:pt>
                <c:pt idx="6">
                  <c:v>2.9912260756924947</c:v>
                </c:pt>
                <c:pt idx="7">
                  <c:v>2.8876173003357359</c:v>
                </c:pt>
                <c:pt idx="8">
                  <c:v>3.0402066275747113</c:v>
                </c:pt>
                <c:pt idx="9">
                  <c:v>3.3434085938038574</c:v>
                </c:pt>
                <c:pt idx="10">
                  <c:v>3.1908917169221698</c:v>
                </c:pt>
                <c:pt idx="11">
                  <c:v>3.1778249718646818</c:v>
                </c:pt>
                <c:pt idx="12">
                  <c:v>3.0519239160461065</c:v>
                </c:pt>
                <c:pt idx="13">
                  <c:v>2.8293037728310249</c:v>
                </c:pt>
                <c:pt idx="14">
                  <c:v>3.0244856676991669</c:v>
                </c:pt>
                <c:pt idx="15">
                  <c:v>3.1760912590556813</c:v>
                </c:pt>
                <c:pt idx="16">
                  <c:v>3.2833012287035497</c:v>
                </c:pt>
                <c:pt idx="17">
                  <c:v>2.9360107957152097</c:v>
                </c:pt>
                <c:pt idx="18">
                  <c:v>3.3636119798921444</c:v>
                </c:pt>
                <c:pt idx="19">
                  <c:v>3.1351326513767748</c:v>
                </c:pt>
                <c:pt idx="20">
                  <c:v>3.1492191126553797</c:v>
                </c:pt>
                <c:pt idx="21">
                  <c:v>3.1303337684950061</c:v>
                </c:pt>
                <c:pt idx="22">
                  <c:v>3.2833012287035497</c:v>
                </c:pt>
                <c:pt idx="23">
                  <c:v>3.180412632838324</c:v>
                </c:pt>
                <c:pt idx="24">
                  <c:v>3.1583624920952498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D-4E9C-994B-1731C5185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39960"/>
        <c:axId val="521440320"/>
      </c:scatterChart>
      <c:valAx>
        <c:axId val="521439960"/>
        <c:scaling>
          <c:orientation val="minMax"/>
          <c:min val="2.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440320"/>
        <c:crosses val="autoZero"/>
        <c:crossBetween val="midCat"/>
      </c:valAx>
      <c:valAx>
        <c:axId val="52144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439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KOS/PRP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'Dane po transformacji i odbieg'!$E$5:$E$29</c:f>
              <c:numCache>
                <c:formatCode>0.000</c:formatCode>
                <c:ptCount val="25"/>
                <c:pt idx="0">
                  <c:v>3.1451964061141817</c:v>
                </c:pt>
                <c:pt idx="1">
                  <c:v>3.1528995963937474</c:v>
                </c:pt>
                <c:pt idx="2">
                  <c:v>3.2778383330020473</c:v>
                </c:pt>
                <c:pt idx="3">
                  <c:v>3.1866738674997452</c:v>
                </c:pt>
                <c:pt idx="4">
                  <c:v>3.9832202146481031</c:v>
                </c:pt>
                <c:pt idx="5">
                  <c:v>2.976808337338066</c:v>
                </c:pt>
                <c:pt idx="6">
                  <c:v>2.9063350418050908</c:v>
                </c:pt>
                <c:pt idx="7">
                  <c:v>3.3289908554494287</c:v>
                </c:pt>
                <c:pt idx="8">
                  <c:v>2.8041394323353503</c:v>
                </c:pt>
                <c:pt idx="9">
                  <c:v>3.7476448193282481</c:v>
                </c:pt>
                <c:pt idx="10">
                  <c:v>3.095518042323151</c:v>
                </c:pt>
                <c:pt idx="11">
                  <c:v>2.7979596437371961</c:v>
                </c:pt>
                <c:pt idx="12">
                  <c:v>3.374748346010104</c:v>
                </c:pt>
                <c:pt idx="13">
                  <c:v>2.9831750720378132</c:v>
                </c:pt>
                <c:pt idx="14">
                  <c:v>2.725094521081469</c:v>
                </c:pt>
                <c:pt idx="15">
                  <c:v>3.3040594662175993</c:v>
                </c:pt>
                <c:pt idx="16">
                  <c:v>3.4000196350651586</c:v>
                </c:pt>
                <c:pt idx="17">
                  <c:v>3.1928461151888419</c:v>
                </c:pt>
                <c:pt idx="18">
                  <c:v>3.5508396050657849</c:v>
                </c:pt>
                <c:pt idx="19">
                  <c:v>3.4610480916706576</c:v>
                </c:pt>
                <c:pt idx="20">
                  <c:v>3.2073650374690716</c:v>
                </c:pt>
                <c:pt idx="21">
                  <c:v>3.3201462861110542</c:v>
                </c:pt>
                <c:pt idx="22">
                  <c:v>3.4000196350651586</c:v>
                </c:pt>
                <c:pt idx="23">
                  <c:v>3.2853322276438846</c:v>
                </c:pt>
                <c:pt idx="24">
                  <c:v>3.5018804937550585</c:v>
                </c:pt>
              </c:numCache>
            </c:numRef>
          </c:xVal>
          <c:yVal>
            <c:numRef>
              <c:f>'Dane po transformacji i odbieg'!$K$5:$K$29</c:f>
              <c:numCache>
                <c:formatCode>0.000</c:formatCode>
                <c:ptCount val="25"/>
                <c:pt idx="0">
                  <c:v>2.6294095991027189</c:v>
                </c:pt>
                <c:pt idx="1">
                  <c:v>2.7109631189952759</c:v>
                </c:pt>
                <c:pt idx="2">
                  <c:v>2.6760531246518715</c:v>
                </c:pt>
                <c:pt idx="3">
                  <c:v>2.6901960800285138</c:v>
                </c:pt>
                <c:pt idx="4">
                  <c:v>3.0652061280543119</c:v>
                </c:pt>
                <c:pt idx="5">
                  <c:v>2.5779511277297553</c:v>
                </c:pt>
                <c:pt idx="6">
                  <c:v>2.4745076391169758</c:v>
                </c:pt>
                <c:pt idx="7">
                  <c:v>2.5395778833453089</c:v>
                </c:pt>
                <c:pt idx="8">
                  <c:v>2.3695683465965476</c:v>
                </c:pt>
                <c:pt idx="9">
                  <c:v>2.9399184203690565</c:v>
                </c:pt>
                <c:pt idx="10">
                  <c:v>2.5774917998372255</c:v>
                </c:pt>
                <c:pt idx="11">
                  <c:v>2.6131015169669127</c:v>
                </c:pt>
                <c:pt idx="12">
                  <c:v>2.5779511277297553</c:v>
                </c:pt>
                <c:pt idx="13">
                  <c:v>2.3809344633307021</c:v>
                </c:pt>
                <c:pt idx="14">
                  <c:v>2.369215857410143</c:v>
                </c:pt>
                <c:pt idx="15">
                  <c:v>2.7795964912578244</c:v>
                </c:pt>
                <c:pt idx="16">
                  <c:v>2.8183578779583547</c:v>
                </c:pt>
                <c:pt idx="17">
                  <c:v>2.6458151182966416</c:v>
                </c:pt>
                <c:pt idx="18">
                  <c:v>2.8183578779583547</c:v>
                </c:pt>
                <c:pt idx="19">
                  <c:v>3.027920136405803</c:v>
                </c:pt>
                <c:pt idx="20">
                  <c:v>2.7795964912578244</c:v>
                </c:pt>
                <c:pt idx="21">
                  <c:v>2.8864907251724818</c:v>
                </c:pt>
                <c:pt idx="22">
                  <c:v>2.8183578779583547</c:v>
                </c:pt>
                <c:pt idx="23">
                  <c:v>2.7795964912578244</c:v>
                </c:pt>
                <c:pt idx="24">
                  <c:v>2.9610887197678961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D-4E9C-994B-1731C5185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39960"/>
        <c:axId val="521440320"/>
      </c:scatterChart>
      <c:valAx>
        <c:axId val="521439960"/>
        <c:scaling>
          <c:orientation val="minMax"/>
          <c:min val="2.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440320"/>
        <c:crosses val="autoZero"/>
        <c:crossBetween val="midCat"/>
      </c:valAx>
      <c:valAx>
        <c:axId val="521440320"/>
        <c:scaling>
          <c:orientation val="minMax"/>
          <c:max val="3.1"/>
          <c:min val="2.349999999999999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439960"/>
        <c:crosses val="autoZero"/>
        <c:crossBetween val="midCat"/>
        <c:majorUnit val="0.1500000000000000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KOS/FPS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'Dane po transformacji i odbieg'!$E$5:$E$29</c:f>
              <c:numCache>
                <c:formatCode>0.000</c:formatCode>
                <c:ptCount val="25"/>
                <c:pt idx="0">
                  <c:v>3.1451964061141817</c:v>
                </c:pt>
                <c:pt idx="1">
                  <c:v>3.1528995963937474</c:v>
                </c:pt>
                <c:pt idx="2">
                  <c:v>3.2778383330020473</c:v>
                </c:pt>
                <c:pt idx="3">
                  <c:v>3.1866738674997452</c:v>
                </c:pt>
                <c:pt idx="4">
                  <c:v>3.9832202146481031</c:v>
                </c:pt>
                <c:pt idx="5">
                  <c:v>2.976808337338066</c:v>
                </c:pt>
                <c:pt idx="6">
                  <c:v>2.9063350418050908</c:v>
                </c:pt>
                <c:pt idx="7">
                  <c:v>3.3289908554494287</c:v>
                </c:pt>
                <c:pt idx="8">
                  <c:v>2.8041394323353503</c:v>
                </c:pt>
                <c:pt idx="9">
                  <c:v>3.7476448193282481</c:v>
                </c:pt>
                <c:pt idx="10">
                  <c:v>3.095518042323151</c:v>
                </c:pt>
                <c:pt idx="11">
                  <c:v>2.7979596437371961</c:v>
                </c:pt>
                <c:pt idx="12">
                  <c:v>3.374748346010104</c:v>
                </c:pt>
                <c:pt idx="13">
                  <c:v>2.9831750720378132</c:v>
                </c:pt>
                <c:pt idx="14">
                  <c:v>2.725094521081469</c:v>
                </c:pt>
                <c:pt idx="15">
                  <c:v>3.3040594662175993</c:v>
                </c:pt>
                <c:pt idx="16">
                  <c:v>3.4000196350651586</c:v>
                </c:pt>
                <c:pt idx="17">
                  <c:v>3.1928461151888419</c:v>
                </c:pt>
                <c:pt idx="18">
                  <c:v>3.5508396050657849</c:v>
                </c:pt>
                <c:pt idx="19">
                  <c:v>3.4610480916706576</c:v>
                </c:pt>
                <c:pt idx="20">
                  <c:v>3.2073650374690716</c:v>
                </c:pt>
                <c:pt idx="21">
                  <c:v>3.3201462861110542</c:v>
                </c:pt>
                <c:pt idx="22">
                  <c:v>3.4000196350651586</c:v>
                </c:pt>
                <c:pt idx="23">
                  <c:v>3.2853322276438846</c:v>
                </c:pt>
                <c:pt idx="24">
                  <c:v>3.5018804937550585</c:v>
                </c:pt>
              </c:numCache>
            </c:numRef>
          </c:xVal>
          <c:yVal>
            <c:numRef>
              <c:f>'Dane po transformacji i odbieg'!$L$5:$L$29</c:f>
              <c:numCache>
                <c:formatCode>0.000</c:formatCode>
                <c:ptCount val="25"/>
                <c:pt idx="0">
                  <c:v>1.9822712330395684</c:v>
                </c:pt>
                <c:pt idx="1">
                  <c:v>1.9444826721501687</c:v>
                </c:pt>
                <c:pt idx="2">
                  <c:v>1.9138138523837167</c:v>
                </c:pt>
                <c:pt idx="3">
                  <c:v>1.9138138523837167</c:v>
                </c:pt>
                <c:pt idx="4">
                  <c:v>2.3138672203691533</c:v>
                </c:pt>
                <c:pt idx="5">
                  <c:v>1.8061799739838871</c:v>
                </c:pt>
                <c:pt idx="6">
                  <c:v>1.7242758696007889</c:v>
                </c:pt>
                <c:pt idx="7">
                  <c:v>1.7075701760979363</c:v>
                </c:pt>
                <c:pt idx="8">
                  <c:v>1.7242758696007889</c:v>
                </c:pt>
                <c:pt idx="9">
                  <c:v>2.1846914308175989</c:v>
                </c:pt>
                <c:pt idx="10">
                  <c:v>1.8808135922807914</c:v>
                </c:pt>
                <c:pt idx="11">
                  <c:v>1.8750612633917001</c:v>
                </c:pt>
                <c:pt idx="12">
                  <c:v>1.8260748027008264</c:v>
                </c:pt>
                <c:pt idx="13">
                  <c:v>1.6989700043360187</c:v>
                </c:pt>
                <c:pt idx="14">
                  <c:v>1.6989700043360187</c:v>
                </c:pt>
                <c:pt idx="15">
                  <c:v>2.0413926851582249</c:v>
                </c:pt>
                <c:pt idx="16">
                  <c:v>2.1105897102992488</c:v>
                </c:pt>
                <c:pt idx="17">
                  <c:v>1.7781512503836436</c:v>
                </c:pt>
                <c:pt idx="18">
                  <c:v>2.1760912590556813</c:v>
                </c:pt>
                <c:pt idx="19">
                  <c:v>2.1335389083702174</c:v>
                </c:pt>
                <c:pt idx="20">
                  <c:v>2.0043213737826426</c:v>
                </c:pt>
                <c:pt idx="21">
                  <c:v>2.0569048513364727</c:v>
                </c:pt>
                <c:pt idx="22">
                  <c:v>2.1105897102992488</c:v>
                </c:pt>
                <c:pt idx="23">
                  <c:v>1.9912260756924949</c:v>
                </c:pt>
                <c:pt idx="24">
                  <c:v>2.1072099696478683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D-4E9C-994B-1731C5185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39960"/>
        <c:axId val="521440320"/>
      </c:scatterChart>
      <c:valAx>
        <c:axId val="521439960"/>
        <c:scaling>
          <c:orientation val="minMax"/>
          <c:min val="2.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440320"/>
        <c:crosses val="autoZero"/>
        <c:crossBetween val="midCat"/>
      </c:valAx>
      <c:valAx>
        <c:axId val="521440320"/>
        <c:scaling>
          <c:orientation val="minMax"/>
          <c:min val="1.65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43996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UDZ/WIK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'Dane po transformacji i odbieg'!$F$5:$F$29</c:f>
              <c:numCache>
                <c:formatCode>0.000</c:formatCode>
                <c:ptCount val="25"/>
                <c:pt idx="0">
                  <c:v>0.50658561296859173</c:v>
                </c:pt>
                <c:pt idx="1">
                  <c:v>0.24073182474723154</c:v>
                </c:pt>
                <c:pt idx="2">
                  <c:v>0.54824561403508765</c:v>
                </c:pt>
                <c:pt idx="3">
                  <c:v>0.44762757385854968</c:v>
                </c:pt>
                <c:pt idx="4">
                  <c:v>0.71225071225071235</c:v>
                </c:pt>
                <c:pt idx="5">
                  <c:v>1.0706638115631693</c:v>
                </c:pt>
                <c:pt idx="6">
                  <c:v>7.4626865671641784</c:v>
                </c:pt>
                <c:pt idx="7">
                  <c:v>-62.500000000000014</c:v>
                </c:pt>
                <c:pt idx="8">
                  <c:v>71.428571428571402</c:v>
                </c:pt>
                <c:pt idx="9">
                  <c:v>1.1709601873536299</c:v>
                </c:pt>
                <c:pt idx="10">
                  <c:v>1.6286644951140066</c:v>
                </c:pt>
                <c:pt idx="11">
                  <c:v>0.48685491723466412</c:v>
                </c:pt>
                <c:pt idx="12">
                  <c:v>4.4642857142857144</c:v>
                </c:pt>
                <c:pt idx="13">
                  <c:v>-38.461538461538467</c:v>
                </c:pt>
                <c:pt idx="14">
                  <c:v>22.727272727272727</c:v>
                </c:pt>
                <c:pt idx="15">
                  <c:v>0.32530904359141188</c:v>
                </c:pt>
                <c:pt idx="16">
                  <c:v>0.47755491881566381</c:v>
                </c:pt>
                <c:pt idx="17">
                  <c:v>41.666666666666664</c:v>
                </c:pt>
                <c:pt idx="18">
                  <c:v>0.62344139650872821</c:v>
                </c:pt>
                <c:pt idx="19">
                  <c:v>0.93109869646182486</c:v>
                </c:pt>
                <c:pt idx="20">
                  <c:v>0.37965072133637057</c:v>
                </c:pt>
                <c:pt idx="21">
                  <c:v>1.2594458438287155</c:v>
                </c:pt>
                <c:pt idx="22">
                  <c:v>0.47984644913627639</c:v>
                </c:pt>
                <c:pt idx="23">
                  <c:v>1.5290519877675843</c:v>
                </c:pt>
                <c:pt idx="24">
                  <c:v>0.47755491881566381</c:v>
                </c:pt>
              </c:numCache>
            </c:numRef>
          </c:xVal>
          <c:yVal>
            <c:numRef>
              <c:f>'Dane po transformacji i odbieg'!$G$5:$G$29</c:f>
              <c:numCache>
                <c:formatCode>0.000</c:formatCode>
                <c:ptCount val="25"/>
                <c:pt idx="0">
                  <c:v>8</c:v>
                </c:pt>
                <c:pt idx="1">
                  <c:v>36</c:v>
                </c:pt>
                <c:pt idx="2">
                  <c:v>84</c:v>
                </c:pt>
                <c:pt idx="3">
                  <c:v>60</c:v>
                </c:pt>
                <c:pt idx="4">
                  <c:v>17</c:v>
                </c:pt>
                <c:pt idx="5">
                  <c:v>108</c:v>
                </c:pt>
                <c:pt idx="6">
                  <c:v>132</c:v>
                </c:pt>
                <c:pt idx="7">
                  <c:v>156</c:v>
                </c:pt>
                <c:pt idx="8">
                  <c:v>96</c:v>
                </c:pt>
                <c:pt idx="9">
                  <c:v>16</c:v>
                </c:pt>
                <c:pt idx="10">
                  <c:v>24</c:v>
                </c:pt>
                <c:pt idx="11">
                  <c:v>84</c:v>
                </c:pt>
                <c:pt idx="12">
                  <c:v>108</c:v>
                </c:pt>
                <c:pt idx="13">
                  <c:v>156</c:v>
                </c:pt>
                <c:pt idx="14">
                  <c:v>132</c:v>
                </c:pt>
                <c:pt idx="15">
                  <c:v>36</c:v>
                </c:pt>
                <c:pt idx="16">
                  <c:v>120</c:v>
                </c:pt>
                <c:pt idx="17">
                  <c:v>120</c:v>
                </c:pt>
                <c:pt idx="18">
                  <c:v>14</c:v>
                </c:pt>
                <c:pt idx="19">
                  <c:v>24</c:v>
                </c:pt>
                <c:pt idx="20">
                  <c:v>36</c:v>
                </c:pt>
                <c:pt idx="21">
                  <c:v>60</c:v>
                </c:pt>
                <c:pt idx="22">
                  <c:v>120</c:v>
                </c:pt>
                <c:pt idx="23">
                  <c:v>60</c:v>
                </c:pt>
                <c:pt idx="24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D-4E9C-994B-1731C5185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39960"/>
        <c:axId val="521440320"/>
      </c:scatterChart>
      <c:valAx>
        <c:axId val="521439960"/>
        <c:scaling>
          <c:orientation val="minMax"/>
          <c:max val="80"/>
          <c:min val="-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440320"/>
        <c:crosses val="autoZero"/>
        <c:crossBetween val="midCat"/>
        <c:majorUnit val="30"/>
      </c:valAx>
      <c:valAx>
        <c:axId val="521440320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439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WIK/BEC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'Dane po transformacji i odbieg'!$G$5:$G$29</c:f>
              <c:numCache>
                <c:formatCode>0.000</c:formatCode>
                <c:ptCount val="25"/>
                <c:pt idx="0">
                  <c:v>8</c:v>
                </c:pt>
                <c:pt idx="1">
                  <c:v>36</c:v>
                </c:pt>
                <c:pt idx="2">
                  <c:v>84</c:v>
                </c:pt>
                <c:pt idx="3">
                  <c:v>60</c:v>
                </c:pt>
                <c:pt idx="4">
                  <c:v>17</c:v>
                </c:pt>
                <c:pt idx="5">
                  <c:v>108</c:v>
                </c:pt>
                <c:pt idx="6">
                  <c:v>132</c:v>
                </c:pt>
                <c:pt idx="7">
                  <c:v>156</c:v>
                </c:pt>
                <c:pt idx="8">
                  <c:v>96</c:v>
                </c:pt>
                <c:pt idx="9">
                  <c:v>16</c:v>
                </c:pt>
                <c:pt idx="10">
                  <c:v>24</c:v>
                </c:pt>
                <c:pt idx="11">
                  <c:v>84</c:v>
                </c:pt>
                <c:pt idx="12">
                  <c:v>108</c:v>
                </c:pt>
                <c:pt idx="13">
                  <c:v>156</c:v>
                </c:pt>
                <c:pt idx="14">
                  <c:v>132</c:v>
                </c:pt>
                <c:pt idx="15">
                  <c:v>36</c:v>
                </c:pt>
                <c:pt idx="16">
                  <c:v>120</c:v>
                </c:pt>
                <c:pt idx="17">
                  <c:v>120</c:v>
                </c:pt>
                <c:pt idx="18">
                  <c:v>14</c:v>
                </c:pt>
                <c:pt idx="19">
                  <c:v>24</c:v>
                </c:pt>
                <c:pt idx="20">
                  <c:v>36</c:v>
                </c:pt>
                <c:pt idx="21">
                  <c:v>60</c:v>
                </c:pt>
                <c:pt idx="22">
                  <c:v>120</c:v>
                </c:pt>
                <c:pt idx="23">
                  <c:v>60</c:v>
                </c:pt>
                <c:pt idx="24">
                  <c:v>36</c:v>
                </c:pt>
              </c:numCache>
            </c:numRef>
          </c:xVal>
          <c:yVal>
            <c:numRef>
              <c:f>'Dane po transformacji i odbieg'!$H$5:$H$29</c:f>
              <c:numCache>
                <c:formatCode>0.000</c:formatCode>
                <c:ptCount val="25"/>
                <c:pt idx="0">
                  <c:v>-2.2665983157327756</c:v>
                </c:pt>
                <c:pt idx="1">
                  <c:v>-0.94601834165116139</c:v>
                </c:pt>
                <c:pt idx="2">
                  <c:v>-0.48640750373717689</c:v>
                </c:pt>
                <c:pt idx="3">
                  <c:v>-0.76492400248178516</c:v>
                </c:pt>
                <c:pt idx="4">
                  <c:v>-2.2266453819531487</c:v>
                </c:pt>
                <c:pt idx="5">
                  <c:v>-0.63086238411685391</c:v>
                </c:pt>
                <c:pt idx="6">
                  <c:v>-1.5377746120788371</c:v>
                </c:pt>
                <c:pt idx="7">
                  <c:v>-2.4545507815330256</c:v>
                </c:pt>
                <c:pt idx="8">
                  <c:v>-1.7706733774733252</c:v>
                </c:pt>
                <c:pt idx="9">
                  <c:v>-2.2794866754189762</c:v>
                </c:pt>
                <c:pt idx="10">
                  <c:v>-1.9964135400295535</c:v>
                </c:pt>
                <c:pt idx="11">
                  <c:v>-0.3043145995953021</c:v>
                </c:pt>
                <c:pt idx="12">
                  <c:v>-1.4036426478427486</c:v>
                </c:pt>
                <c:pt idx="13">
                  <c:v>-2.1399713564596086</c:v>
                </c:pt>
                <c:pt idx="14">
                  <c:v>-1.7934561819603538</c:v>
                </c:pt>
                <c:pt idx="15">
                  <c:v>-0.78539208245228709</c:v>
                </c:pt>
                <c:pt idx="16">
                  <c:v>-1.9801078582247456</c:v>
                </c:pt>
                <c:pt idx="17">
                  <c:v>-1.9370747699033011</c:v>
                </c:pt>
                <c:pt idx="18">
                  <c:v>-1.975348925855567</c:v>
                </c:pt>
                <c:pt idx="19">
                  <c:v>-1.4365740985251962</c:v>
                </c:pt>
                <c:pt idx="20">
                  <c:v>-0.95154365916318262</c:v>
                </c:pt>
                <c:pt idx="21">
                  <c:v>-1.0527845975978549</c:v>
                </c:pt>
                <c:pt idx="22">
                  <c:v>-1.9801078582247456</c:v>
                </c:pt>
                <c:pt idx="23">
                  <c:v>-1.1107712264469305</c:v>
                </c:pt>
                <c:pt idx="24">
                  <c:v>-0.97202271330817314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D-4E9C-994B-1731C5185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39960"/>
        <c:axId val="521440320"/>
      </c:scatterChart>
      <c:valAx>
        <c:axId val="521439960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440320"/>
        <c:crosses val="autoZero"/>
        <c:crossBetween val="midCat"/>
      </c:valAx>
      <c:valAx>
        <c:axId val="521440320"/>
        <c:scaling>
          <c:orientation val="minMax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439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13" Type="http://schemas.openxmlformats.org/officeDocument/2006/relationships/chart" Target="../charts/chart4.xml"/><Relationship Id="rId18" Type="http://schemas.openxmlformats.org/officeDocument/2006/relationships/chart" Target="../charts/chart9.xml"/><Relationship Id="rId26" Type="http://schemas.openxmlformats.org/officeDocument/2006/relationships/chart" Target="../charts/chart17.xml"/><Relationship Id="rId3" Type="http://schemas.openxmlformats.org/officeDocument/2006/relationships/image" Target="../media/image10.png"/><Relationship Id="rId21" Type="http://schemas.openxmlformats.org/officeDocument/2006/relationships/chart" Target="../charts/chart12.xml"/><Relationship Id="rId34" Type="http://schemas.openxmlformats.org/officeDocument/2006/relationships/chart" Target="../charts/chart25.xml"/><Relationship Id="rId7" Type="http://schemas.openxmlformats.org/officeDocument/2006/relationships/image" Target="../media/image14.png"/><Relationship Id="rId12" Type="http://schemas.openxmlformats.org/officeDocument/2006/relationships/chart" Target="../charts/chart3.xml"/><Relationship Id="rId17" Type="http://schemas.openxmlformats.org/officeDocument/2006/relationships/chart" Target="../charts/chart8.xml"/><Relationship Id="rId25" Type="http://schemas.openxmlformats.org/officeDocument/2006/relationships/chart" Target="../charts/chart16.xml"/><Relationship Id="rId33" Type="http://schemas.openxmlformats.org/officeDocument/2006/relationships/chart" Target="../charts/chart24.xml"/><Relationship Id="rId2" Type="http://schemas.openxmlformats.org/officeDocument/2006/relationships/image" Target="../media/image9.png"/><Relationship Id="rId16" Type="http://schemas.openxmlformats.org/officeDocument/2006/relationships/chart" Target="../charts/chart7.xml"/><Relationship Id="rId20" Type="http://schemas.openxmlformats.org/officeDocument/2006/relationships/chart" Target="../charts/chart11.xml"/><Relationship Id="rId29" Type="http://schemas.openxmlformats.org/officeDocument/2006/relationships/chart" Target="../charts/chart20.xml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11" Type="http://schemas.openxmlformats.org/officeDocument/2006/relationships/chart" Target="../charts/chart2.xml"/><Relationship Id="rId24" Type="http://schemas.openxmlformats.org/officeDocument/2006/relationships/chart" Target="../charts/chart15.xml"/><Relationship Id="rId32" Type="http://schemas.openxmlformats.org/officeDocument/2006/relationships/chart" Target="../charts/chart23.xml"/><Relationship Id="rId37" Type="http://schemas.openxmlformats.org/officeDocument/2006/relationships/chart" Target="../charts/chart28.xml"/><Relationship Id="rId5" Type="http://schemas.openxmlformats.org/officeDocument/2006/relationships/image" Target="../media/image12.png"/><Relationship Id="rId15" Type="http://schemas.openxmlformats.org/officeDocument/2006/relationships/chart" Target="../charts/chart6.xml"/><Relationship Id="rId23" Type="http://schemas.openxmlformats.org/officeDocument/2006/relationships/chart" Target="../charts/chart14.xml"/><Relationship Id="rId28" Type="http://schemas.openxmlformats.org/officeDocument/2006/relationships/chart" Target="../charts/chart19.xml"/><Relationship Id="rId36" Type="http://schemas.openxmlformats.org/officeDocument/2006/relationships/chart" Target="../charts/chart27.xml"/><Relationship Id="rId10" Type="http://schemas.openxmlformats.org/officeDocument/2006/relationships/chart" Target="../charts/chart1.xml"/><Relationship Id="rId19" Type="http://schemas.openxmlformats.org/officeDocument/2006/relationships/chart" Target="../charts/chart10.xml"/><Relationship Id="rId31" Type="http://schemas.openxmlformats.org/officeDocument/2006/relationships/chart" Target="../charts/chart22.xml"/><Relationship Id="rId4" Type="http://schemas.openxmlformats.org/officeDocument/2006/relationships/image" Target="../media/image11.png"/><Relationship Id="rId9" Type="http://schemas.openxmlformats.org/officeDocument/2006/relationships/image" Target="../media/image16.png"/><Relationship Id="rId14" Type="http://schemas.openxmlformats.org/officeDocument/2006/relationships/chart" Target="../charts/chart5.xml"/><Relationship Id="rId22" Type="http://schemas.openxmlformats.org/officeDocument/2006/relationships/chart" Target="../charts/chart13.xml"/><Relationship Id="rId27" Type="http://schemas.openxmlformats.org/officeDocument/2006/relationships/chart" Target="../charts/chart18.xml"/><Relationship Id="rId30" Type="http://schemas.openxmlformats.org/officeDocument/2006/relationships/chart" Target="../charts/chart21.xml"/><Relationship Id="rId35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823121</xdr:colOff>
      <xdr:row>51</xdr:row>
      <xdr:rowOff>49917</xdr:rowOff>
    </xdr:from>
    <xdr:to>
      <xdr:col>7</xdr:col>
      <xdr:colOff>63636</xdr:colOff>
      <xdr:row>74</xdr:row>
      <xdr:rowOff>142684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3121" y="10284962"/>
          <a:ext cx="5782712" cy="4785995"/>
        </a:xfrm>
        <a:prstGeom prst="rect">
          <a:avLst/>
        </a:prstGeom>
      </xdr:spPr>
    </xdr:pic>
    <xdr:clientData/>
  </xdr:twoCellAnchor>
  <xdr:twoCellAnchor editAs="oneCell">
    <xdr:from>
      <xdr:col>7</xdr:col>
      <xdr:colOff>271514</xdr:colOff>
      <xdr:row>51</xdr:row>
      <xdr:rowOff>62525</xdr:rowOff>
    </xdr:from>
    <xdr:to>
      <xdr:col>11</xdr:col>
      <xdr:colOff>190345</xdr:colOff>
      <xdr:row>74</xdr:row>
      <xdr:rowOff>145767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79241" y="10297570"/>
          <a:ext cx="5783584" cy="4776470"/>
        </a:xfrm>
        <a:prstGeom prst="rect">
          <a:avLst/>
        </a:prstGeom>
      </xdr:spPr>
    </xdr:pic>
    <xdr:clientData/>
  </xdr:twoCellAnchor>
  <xdr:twoCellAnchor editAs="oneCell">
    <xdr:from>
      <xdr:col>11</xdr:col>
      <xdr:colOff>277092</xdr:colOff>
      <xdr:row>51</xdr:row>
      <xdr:rowOff>86592</xdr:rowOff>
    </xdr:from>
    <xdr:to>
      <xdr:col>17</xdr:col>
      <xdr:colOff>970296</xdr:colOff>
      <xdr:row>74</xdr:row>
      <xdr:rowOff>179359</xdr:rowOff>
    </xdr:to>
    <xdr:pic>
      <xdr:nvPicPr>
        <xdr:cNvPr id="13" name="Obraz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38365" y="10321637"/>
          <a:ext cx="5750112" cy="4785995"/>
        </a:xfrm>
        <a:prstGeom prst="rect">
          <a:avLst/>
        </a:prstGeom>
      </xdr:spPr>
    </xdr:pic>
    <xdr:clientData/>
  </xdr:twoCellAnchor>
  <xdr:twoCellAnchor editAs="oneCell">
    <xdr:from>
      <xdr:col>0</xdr:col>
      <xdr:colOff>749444</xdr:colOff>
      <xdr:row>75</xdr:row>
      <xdr:rowOff>23814</xdr:rowOff>
    </xdr:from>
    <xdr:to>
      <xdr:col>6</xdr:col>
      <xdr:colOff>1098303</xdr:colOff>
      <xdr:row>97</xdr:row>
      <xdr:rowOff>134918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9444" y="15159905"/>
          <a:ext cx="5781674" cy="4683104"/>
        </a:xfrm>
        <a:prstGeom prst="rect">
          <a:avLst/>
        </a:prstGeom>
      </xdr:spPr>
    </xdr:pic>
    <xdr:clientData/>
  </xdr:twoCellAnchor>
  <xdr:twoCellAnchor editAs="oneCell">
    <xdr:from>
      <xdr:col>7</xdr:col>
      <xdr:colOff>207816</xdr:colOff>
      <xdr:row>74</xdr:row>
      <xdr:rowOff>190503</xdr:rowOff>
    </xdr:from>
    <xdr:to>
      <xdr:col>11</xdr:col>
      <xdr:colOff>134943</xdr:colOff>
      <xdr:row>97</xdr:row>
      <xdr:rowOff>111108</xdr:rowOff>
    </xdr:to>
    <xdr:pic>
      <xdr:nvPicPr>
        <xdr:cNvPr id="17" name="Obraz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15543" y="15118776"/>
          <a:ext cx="5791880" cy="4700423"/>
        </a:xfrm>
        <a:prstGeom prst="rect">
          <a:avLst/>
        </a:prstGeom>
      </xdr:spPr>
    </xdr:pic>
    <xdr:clientData/>
  </xdr:twoCellAnchor>
  <xdr:twoCellAnchor editAs="oneCell">
    <xdr:from>
      <xdr:col>11</xdr:col>
      <xdr:colOff>306966</xdr:colOff>
      <xdr:row>75</xdr:row>
      <xdr:rowOff>6495</xdr:rowOff>
    </xdr:from>
    <xdr:to>
      <xdr:col>17</xdr:col>
      <xdr:colOff>1029568</xdr:colOff>
      <xdr:row>97</xdr:row>
      <xdr:rowOff>134918</xdr:rowOff>
    </xdr:to>
    <xdr:pic>
      <xdr:nvPicPr>
        <xdr:cNvPr id="18" name="Obraz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568239" y="15142586"/>
          <a:ext cx="5779510" cy="4700423"/>
        </a:xfrm>
        <a:prstGeom prst="rect">
          <a:avLst/>
        </a:prstGeom>
      </xdr:spPr>
    </xdr:pic>
    <xdr:clientData/>
  </xdr:twoCellAnchor>
  <xdr:twoCellAnchor editAs="oneCell">
    <xdr:from>
      <xdr:col>7</xdr:col>
      <xdr:colOff>192664</xdr:colOff>
      <xdr:row>97</xdr:row>
      <xdr:rowOff>162358</xdr:rowOff>
    </xdr:from>
    <xdr:to>
      <xdr:col>11</xdr:col>
      <xdr:colOff>107419</xdr:colOff>
      <xdr:row>120</xdr:row>
      <xdr:rowOff>82963</xdr:rowOff>
    </xdr:to>
    <xdr:pic>
      <xdr:nvPicPr>
        <xdr:cNvPr id="19" name="Obraz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600391" y="19870449"/>
          <a:ext cx="5779508" cy="47004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157820</xdr:colOff>
      <xdr:row>175</xdr:row>
      <xdr:rowOff>137178</xdr:rowOff>
    </xdr:from>
    <xdr:to>
      <xdr:col>7</xdr:col>
      <xdr:colOff>25979</xdr:colOff>
      <xdr:row>200</xdr:row>
      <xdr:rowOff>71437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820" y="27797778"/>
          <a:ext cx="5811759" cy="4282422"/>
        </a:xfrm>
        <a:prstGeom prst="rect">
          <a:avLst/>
        </a:prstGeom>
      </xdr:spPr>
    </xdr:pic>
    <xdr:clientData/>
  </xdr:twoCellAnchor>
  <xdr:twoCellAnchor editAs="oneCell">
    <xdr:from>
      <xdr:col>0</xdr:col>
      <xdr:colOff>68912</xdr:colOff>
      <xdr:row>147</xdr:row>
      <xdr:rowOff>0</xdr:rowOff>
    </xdr:from>
    <xdr:to>
      <xdr:col>6</xdr:col>
      <xdr:colOff>917864</xdr:colOff>
      <xdr:row>171</xdr:row>
      <xdr:rowOff>156880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912" y="23393400"/>
          <a:ext cx="5801952" cy="4328830"/>
        </a:xfrm>
        <a:prstGeom prst="rect">
          <a:avLst/>
        </a:prstGeom>
      </xdr:spPr>
    </xdr:pic>
    <xdr:clientData/>
  </xdr:twoCellAnchor>
  <xdr:twoCellAnchor editAs="oneCell">
    <xdr:from>
      <xdr:col>0</xdr:col>
      <xdr:colOff>68912</xdr:colOff>
      <xdr:row>30</xdr:row>
      <xdr:rowOff>23812</xdr:rowOff>
    </xdr:from>
    <xdr:to>
      <xdr:col>7</xdr:col>
      <xdr:colOff>0</xdr:colOff>
      <xdr:row>53</xdr:row>
      <xdr:rowOff>165539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912" y="5643562"/>
          <a:ext cx="5884213" cy="4523227"/>
        </a:xfrm>
        <a:prstGeom prst="rect">
          <a:avLst/>
        </a:prstGeom>
      </xdr:spPr>
    </xdr:pic>
    <xdr:clientData/>
  </xdr:twoCellAnchor>
  <xdr:twoCellAnchor editAs="oneCell">
    <xdr:from>
      <xdr:col>4</xdr:col>
      <xdr:colOff>227300</xdr:colOff>
      <xdr:row>118</xdr:row>
      <xdr:rowOff>41132</xdr:rowOff>
    </xdr:from>
    <xdr:to>
      <xdr:col>9</xdr:col>
      <xdr:colOff>563201</xdr:colOff>
      <xdr:row>143</xdr:row>
      <xdr:rowOff>119524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89550" y="20329382"/>
          <a:ext cx="5884214" cy="4843613"/>
        </a:xfrm>
        <a:prstGeom prst="rect">
          <a:avLst/>
        </a:prstGeom>
      </xdr:spPr>
    </xdr:pic>
    <xdr:clientData/>
  </xdr:twoCellAnchor>
  <xdr:twoCellAnchor editAs="oneCell">
    <xdr:from>
      <xdr:col>7</xdr:col>
      <xdr:colOff>19484</xdr:colOff>
      <xdr:row>88</xdr:row>
      <xdr:rowOff>127722</xdr:rowOff>
    </xdr:from>
    <xdr:to>
      <xdr:col>12</xdr:col>
      <xdr:colOff>368374</xdr:colOff>
      <xdr:row>114</xdr:row>
      <xdr:rowOff>18335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72609" y="15415347"/>
          <a:ext cx="5897203" cy="4843613"/>
        </a:xfrm>
        <a:prstGeom prst="rect">
          <a:avLst/>
        </a:prstGeom>
      </xdr:spPr>
    </xdr:pic>
    <xdr:clientData/>
  </xdr:twoCellAnchor>
  <xdr:twoCellAnchor editAs="oneCell">
    <xdr:from>
      <xdr:col>0</xdr:col>
      <xdr:colOff>8659</xdr:colOff>
      <xdr:row>87</xdr:row>
      <xdr:rowOff>123392</xdr:rowOff>
    </xdr:from>
    <xdr:to>
      <xdr:col>6</xdr:col>
      <xdr:colOff>939872</xdr:colOff>
      <xdr:row>113</xdr:row>
      <xdr:rowOff>14005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59" y="15244330"/>
          <a:ext cx="5884213" cy="4843613"/>
        </a:xfrm>
        <a:prstGeom prst="rect">
          <a:avLst/>
        </a:prstGeom>
      </xdr:spPr>
    </xdr:pic>
    <xdr:clientData/>
  </xdr:twoCellAnchor>
  <xdr:twoCellAnchor editAs="oneCell">
    <xdr:from>
      <xdr:col>7</xdr:col>
      <xdr:colOff>206309</xdr:colOff>
      <xdr:row>32</xdr:row>
      <xdr:rowOff>0</xdr:rowOff>
    </xdr:from>
    <xdr:to>
      <xdr:col>12</xdr:col>
      <xdr:colOff>530679</xdr:colOff>
      <xdr:row>56</xdr:row>
      <xdr:rowOff>53541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39023" y="6096000"/>
          <a:ext cx="5848870" cy="4625541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57</xdr:row>
      <xdr:rowOff>92736</xdr:rowOff>
    </xdr:from>
    <xdr:to>
      <xdr:col>6</xdr:col>
      <xdr:colOff>984934</xdr:colOff>
      <xdr:row>83</xdr:row>
      <xdr:rowOff>71438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7625" y="10213049"/>
          <a:ext cx="5890309" cy="4931702"/>
        </a:xfrm>
        <a:prstGeom prst="rect">
          <a:avLst/>
        </a:prstGeom>
      </xdr:spPr>
    </xdr:pic>
    <xdr:clientData/>
  </xdr:twoCellAnchor>
  <xdr:twoCellAnchor editAs="oneCell">
    <xdr:from>
      <xdr:col>7</xdr:col>
      <xdr:colOff>25979</xdr:colOff>
      <xdr:row>58</xdr:row>
      <xdr:rowOff>2166</xdr:rowOff>
    </xdr:from>
    <xdr:to>
      <xdr:col>12</xdr:col>
      <xdr:colOff>387062</xdr:colOff>
      <xdr:row>84</xdr:row>
      <xdr:rowOff>58754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979104" y="10289166"/>
          <a:ext cx="5909396" cy="5009588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3</xdr:row>
      <xdr:rowOff>1</xdr:rowOff>
    </xdr:from>
    <xdr:to>
      <xdr:col>23</xdr:col>
      <xdr:colOff>0</xdr:colOff>
      <xdr:row>28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0</xdr:colOff>
      <xdr:row>3</xdr:row>
      <xdr:rowOff>1</xdr:rowOff>
    </xdr:from>
    <xdr:to>
      <xdr:col>32</xdr:col>
      <xdr:colOff>0</xdr:colOff>
      <xdr:row>28</xdr:row>
      <xdr:rowOff>1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0</xdr:colOff>
      <xdr:row>3</xdr:row>
      <xdr:rowOff>0</xdr:rowOff>
    </xdr:from>
    <xdr:to>
      <xdr:col>41</xdr:col>
      <xdr:colOff>0</xdr:colOff>
      <xdr:row>28</xdr:row>
      <xdr:rowOff>0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42</xdr:col>
      <xdr:colOff>0</xdr:colOff>
      <xdr:row>3</xdr:row>
      <xdr:rowOff>0</xdr:rowOff>
    </xdr:from>
    <xdr:to>
      <xdr:col>50</xdr:col>
      <xdr:colOff>0</xdr:colOff>
      <xdr:row>28</xdr:row>
      <xdr:rowOff>0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51</xdr:col>
      <xdr:colOff>0</xdr:colOff>
      <xdr:row>3</xdr:row>
      <xdr:rowOff>0</xdr:rowOff>
    </xdr:from>
    <xdr:to>
      <xdr:col>59</xdr:col>
      <xdr:colOff>0</xdr:colOff>
      <xdr:row>28</xdr:row>
      <xdr:rowOff>0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60</xdr:col>
      <xdr:colOff>0</xdr:colOff>
      <xdr:row>3</xdr:row>
      <xdr:rowOff>0</xdr:rowOff>
    </xdr:from>
    <xdr:to>
      <xdr:col>68</xdr:col>
      <xdr:colOff>0</xdr:colOff>
      <xdr:row>27</xdr:row>
      <xdr:rowOff>190499</xdr:rowOff>
    </xdr:to>
    <xdr:graphicFrame macro="">
      <xdr:nvGraphicFramePr>
        <xdr:cNvPr id="19" name="Wykres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69</xdr:col>
      <xdr:colOff>0</xdr:colOff>
      <xdr:row>3</xdr:row>
      <xdr:rowOff>0</xdr:rowOff>
    </xdr:from>
    <xdr:to>
      <xdr:col>77</xdr:col>
      <xdr:colOff>0</xdr:colOff>
      <xdr:row>28</xdr:row>
      <xdr:rowOff>0</xdr:rowOff>
    </xdr:to>
    <xdr:graphicFrame macro="">
      <xdr:nvGraphicFramePr>
        <xdr:cNvPr id="20" name="Wykres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29</xdr:row>
      <xdr:rowOff>0</xdr:rowOff>
    </xdr:from>
    <xdr:to>
      <xdr:col>23</xdr:col>
      <xdr:colOff>0</xdr:colOff>
      <xdr:row>53</xdr:row>
      <xdr:rowOff>0</xdr:rowOff>
    </xdr:to>
    <xdr:graphicFrame macro="">
      <xdr:nvGraphicFramePr>
        <xdr:cNvPr id="21" name="Wykres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0</xdr:colOff>
      <xdr:row>54</xdr:row>
      <xdr:rowOff>0</xdr:rowOff>
    </xdr:from>
    <xdr:to>
      <xdr:col>23</xdr:col>
      <xdr:colOff>0</xdr:colOff>
      <xdr:row>77</xdr:row>
      <xdr:rowOff>190499</xdr:rowOff>
    </xdr:to>
    <xdr:graphicFrame macro="">
      <xdr:nvGraphicFramePr>
        <xdr:cNvPr id="27" name="Wykres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0</xdr:colOff>
      <xdr:row>79</xdr:row>
      <xdr:rowOff>0</xdr:rowOff>
    </xdr:from>
    <xdr:to>
      <xdr:col>23</xdr:col>
      <xdr:colOff>0</xdr:colOff>
      <xdr:row>104</xdr:row>
      <xdr:rowOff>0</xdr:rowOff>
    </xdr:to>
    <xdr:graphicFrame macro="">
      <xdr:nvGraphicFramePr>
        <xdr:cNvPr id="28" name="Wykres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105</xdr:row>
      <xdr:rowOff>0</xdr:rowOff>
    </xdr:from>
    <xdr:to>
      <xdr:col>23</xdr:col>
      <xdr:colOff>0</xdr:colOff>
      <xdr:row>129</xdr:row>
      <xdr:rowOff>0</xdr:rowOff>
    </xdr:to>
    <xdr:graphicFrame macro="">
      <xdr:nvGraphicFramePr>
        <xdr:cNvPr id="29" name="Wykres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0</xdr:colOff>
      <xdr:row>130</xdr:row>
      <xdr:rowOff>0</xdr:rowOff>
    </xdr:from>
    <xdr:to>
      <xdr:col>23</xdr:col>
      <xdr:colOff>0</xdr:colOff>
      <xdr:row>154</xdr:row>
      <xdr:rowOff>0</xdr:rowOff>
    </xdr:to>
    <xdr:graphicFrame macro="">
      <xdr:nvGraphicFramePr>
        <xdr:cNvPr id="32" name="Wykres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0</xdr:colOff>
      <xdr:row>155</xdr:row>
      <xdr:rowOff>0</xdr:rowOff>
    </xdr:from>
    <xdr:to>
      <xdr:col>23</xdr:col>
      <xdr:colOff>0</xdr:colOff>
      <xdr:row>179</xdr:row>
      <xdr:rowOff>0</xdr:rowOff>
    </xdr:to>
    <xdr:graphicFrame macro="">
      <xdr:nvGraphicFramePr>
        <xdr:cNvPr id="41" name="Wykres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24</xdr:col>
      <xdr:colOff>0</xdr:colOff>
      <xdr:row>29</xdr:row>
      <xdr:rowOff>0</xdr:rowOff>
    </xdr:from>
    <xdr:to>
      <xdr:col>32</xdr:col>
      <xdr:colOff>0</xdr:colOff>
      <xdr:row>53</xdr:row>
      <xdr:rowOff>0</xdr:rowOff>
    </xdr:to>
    <xdr:graphicFrame macro="">
      <xdr:nvGraphicFramePr>
        <xdr:cNvPr id="42" name="Wykres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33</xdr:col>
      <xdr:colOff>0</xdr:colOff>
      <xdr:row>29</xdr:row>
      <xdr:rowOff>0</xdr:rowOff>
    </xdr:from>
    <xdr:to>
      <xdr:col>41</xdr:col>
      <xdr:colOff>0</xdr:colOff>
      <xdr:row>53</xdr:row>
      <xdr:rowOff>0</xdr:rowOff>
    </xdr:to>
    <xdr:graphicFrame macro="">
      <xdr:nvGraphicFramePr>
        <xdr:cNvPr id="43" name="Wykres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42</xdr:col>
      <xdr:colOff>0</xdr:colOff>
      <xdr:row>29</xdr:row>
      <xdr:rowOff>0</xdr:rowOff>
    </xdr:from>
    <xdr:to>
      <xdr:col>50</xdr:col>
      <xdr:colOff>0</xdr:colOff>
      <xdr:row>53</xdr:row>
      <xdr:rowOff>0</xdr:rowOff>
    </xdr:to>
    <xdr:graphicFrame macro="">
      <xdr:nvGraphicFramePr>
        <xdr:cNvPr id="44" name="Wykres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51</xdr:col>
      <xdr:colOff>0</xdr:colOff>
      <xdr:row>29</xdr:row>
      <xdr:rowOff>0</xdr:rowOff>
    </xdr:from>
    <xdr:to>
      <xdr:col>59</xdr:col>
      <xdr:colOff>1</xdr:colOff>
      <xdr:row>53</xdr:row>
      <xdr:rowOff>0</xdr:rowOff>
    </xdr:to>
    <xdr:graphicFrame macro="">
      <xdr:nvGraphicFramePr>
        <xdr:cNvPr id="45" name="Wykres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60</xdr:col>
      <xdr:colOff>0</xdr:colOff>
      <xdr:row>29</xdr:row>
      <xdr:rowOff>0</xdr:rowOff>
    </xdr:from>
    <xdr:to>
      <xdr:col>68</xdr:col>
      <xdr:colOff>1</xdr:colOff>
      <xdr:row>53</xdr:row>
      <xdr:rowOff>0</xdr:rowOff>
    </xdr:to>
    <xdr:graphicFrame macro="">
      <xdr:nvGraphicFramePr>
        <xdr:cNvPr id="46" name="Wykres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24</xdr:col>
      <xdr:colOff>0</xdr:colOff>
      <xdr:row>54</xdr:row>
      <xdr:rowOff>1</xdr:rowOff>
    </xdr:from>
    <xdr:to>
      <xdr:col>32</xdr:col>
      <xdr:colOff>0</xdr:colOff>
      <xdr:row>78</xdr:row>
      <xdr:rowOff>0</xdr:rowOff>
    </xdr:to>
    <xdr:graphicFrame macro="">
      <xdr:nvGraphicFramePr>
        <xdr:cNvPr id="47" name="Wykres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33</xdr:col>
      <xdr:colOff>0</xdr:colOff>
      <xdr:row>54</xdr:row>
      <xdr:rowOff>0</xdr:rowOff>
    </xdr:from>
    <xdr:to>
      <xdr:col>41</xdr:col>
      <xdr:colOff>0</xdr:colOff>
      <xdr:row>77</xdr:row>
      <xdr:rowOff>190499</xdr:rowOff>
    </xdr:to>
    <xdr:graphicFrame macro="">
      <xdr:nvGraphicFramePr>
        <xdr:cNvPr id="48" name="Wykres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42</xdr:col>
      <xdr:colOff>0</xdr:colOff>
      <xdr:row>54</xdr:row>
      <xdr:rowOff>0</xdr:rowOff>
    </xdr:from>
    <xdr:to>
      <xdr:col>50</xdr:col>
      <xdr:colOff>0</xdr:colOff>
      <xdr:row>77</xdr:row>
      <xdr:rowOff>190499</xdr:rowOff>
    </xdr:to>
    <xdr:graphicFrame macro="">
      <xdr:nvGraphicFramePr>
        <xdr:cNvPr id="49" name="Wykres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51</xdr:col>
      <xdr:colOff>0</xdr:colOff>
      <xdr:row>54</xdr:row>
      <xdr:rowOff>0</xdr:rowOff>
    </xdr:from>
    <xdr:to>
      <xdr:col>59</xdr:col>
      <xdr:colOff>1</xdr:colOff>
      <xdr:row>77</xdr:row>
      <xdr:rowOff>190499</xdr:rowOff>
    </xdr:to>
    <xdr:graphicFrame macro="">
      <xdr:nvGraphicFramePr>
        <xdr:cNvPr id="50" name="Wykres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24</xdr:col>
      <xdr:colOff>0</xdr:colOff>
      <xdr:row>79</xdr:row>
      <xdr:rowOff>0</xdr:rowOff>
    </xdr:from>
    <xdr:to>
      <xdr:col>32</xdr:col>
      <xdr:colOff>0</xdr:colOff>
      <xdr:row>104</xdr:row>
      <xdr:rowOff>0</xdr:rowOff>
    </xdr:to>
    <xdr:graphicFrame macro="">
      <xdr:nvGraphicFramePr>
        <xdr:cNvPr id="51" name="Wykres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33</xdr:col>
      <xdr:colOff>0</xdr:colOff>
      <xdr:row>79</xdr:row>
      <xdr:rowOff>0</xdr:rowOff>
    </xdr:from>
    <xdr:to>
      <xdr:col>41</xdr:col>
      <xdr:colOff>0</xdr:colOff>
      <xdr:row>104</xdr:row>
      <xdr:rowOff>0</xdr:rowOff>
    </xdr:to>
    <xdr:graphicFrame macro="">
      <xdr:nvGraphicFramePr>
        <xdr:cNvPr id="52" name="Wykres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42</xdr:col>
      <xdr:colOff>0</xdr:colOff>
      <xdr:row>79</xdr:row>
      <xdr:rowOff>0</xdr:rowOff>
    </xdr:from>
    <xdr:to>
      <xdr:col>50</xdr:col>
      <xdr:colOff>0</xdr:colOff>
      <xdr:row>104</xdr:row>
      <xdr:rowOff>0</xdr:rowOff>
    </xdr:to>
    <xdr:graphicFrame macro="">
      <xdr:nvGraphicFramePr>
        <xdr:cNvPr id="53" name="Wykres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24</xdr:col>
      <xdr:colOff>1</xdr:colOff>
      <xdr:row>105</xdr:row>
      <xdr:rowOff>0</xdr:rowOff>
    </xdr:from>
    <xdr:to>
      <xdr:col>32</xdr:col>
      <xdr:colOff>0</xdr:colOff>
      <xdr:row>129</xdr:row>
      <xdr:rowOff>0</xdr:rowOff>
    </xdr:to>
    <xdr:graphicFrame macro="">
      <xdr:nvGraphicFramePr>
        <xdr:cNvPr id="55" name="Wykres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33</xdr:col>
      <xdr:colOff>1</xdr:colOff>
      <xdr:row>105</xdr:row>
      <xdr:rowOff>0</xdr:rowOff>
    </xdr:from>
    <xdr:to>
      <xdr:col>41</xdr:col>
      <xdr:colOff>0</xdr:colOff>
      <xdr:row>129</xdr:row>
      <xdr:rowOff>0</xdr:rowOff>
    </xdr:to>
    <xdr:graphicFrame macro="">
      <xdr:nvGraphicFramePr>
        <xdr:cNvPr id="56" name="Wykres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24</xdr:col>
      <xdr:colOff>0</xdr:colOff>
      <xdr:row>130</xdr:row>
      <xdr:rowOff>0</xdr:rowOff>
    </xdr:from>
    <xdr:to>
      <xdr:col>32</xdr:col>
      <xdr:colOff>0</xdr:colOff>
      <xdr:row>154</xdr:row>
      <xdr:rowOff>0</xdr:rowOff>
    </xdr:to>
    <xdr:graphicFrame macro="">
      <xdr:nvGraphicFramePr>
        <xdr:cNvPr id="58" name="Wykres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495300</xdr:colOff>
      <xdr:row>71</xdr:row>
      <xdr:rowOff>95250</xdr:rowOff>
    </xdr:from>
    <xdr:ext cx="129587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pole tekstowe 19">
              <a:extLst>
                <a:ext uri="{FF2B5EF4-FFF2-40B4-BE49-F238E27FC236}">
                  <a16:creationId xmlns:a16="http://schemas.microsoft.com/office/drawing/2014/main" id="{00000000-0008-0000-0300-000014000000}"/>
                </a:ext>
              </a:extLst>
            </xdr:cNvPr>
            <xdr:cNvSpPr txBox="1"/>
          </xdr:nvSpPr>
          <xdr:spPr>
            <a:xfrm>
              <a:off x="13601700" y="13611225"/>
              <a:ext cx="129587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𝐶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20" name="pole tekstowe 19">
              <a:extLst>
                <a:ext uri="{FF2B5EF4-FFF2-40B4-BE49-F238E27FC236}">
                  <a16:creationId xmlns:a16="http://schemas.microsoft.com/office/drawing/2014/main" id="{5D927349-F4F0-273D-390C-3E90AA41FFA8}"/>
                </a:ext>
              </a:extLst>
            </xdr:cNvPr>
            <xdr:cNvSpPr txBox="1"/>
          </xdr:nvSpPr>
          <xdr:spPr>
            <a:xfrm>
              <a:off x="13601700" y="13611225"/>
              <a:ext cx="129587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𝐶</a:t>
              </a:r>
              <a:endParaRPr lang="pl-PL" sz="1100"/>
            </a:p>
          </xdr:txBody>
        </xdr:sp>
      </mc:Fallback>
    </mc:AlternateContent>
    <xdr:clientData/>
  </xdr:oneCellAnchor>
  <xdr:twoCellAnchor>
    <xdr:from>
      <xdr:col>14</xdr:col>
      <xdr:colOff>129208</xdr:colOff>
      <xdr:row>21</xdr:row>
      <xdr:rowOff>22411</xdr:rowOff>
    </xdr:from>
    <xdr:to>
      <xdr:col>25</xdr:col>
      <xdr:colOff>585472</xdr:colOff>
      <xdr:row>81</xdr:row>
      <xdr:rowOff>19049</xdr:rowOff>
    </xdr:to>
    <xdr:grpSp>
      <xdr:nvGrpSpPr>
        <xdr:cNvPr id="27" name="Grupa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pSpPr/>
      </xdr:nvGrpSpPr>
      <xdr:grpSpPr>
        <a:xfrm>
          <a:off x="8968408" y="3880036"/>
          <a:ext cx="7161864" cy="11579038"/>
          <a:chOff x="8968408" y="3880036"/>
          <a:chExt cx="7161864" cy="11579038"/>
        </a:xfrm>
      </xdr:grpSpPr>
      <xdr:grpSp>
        <xdr:nvGrpSpPr>
          <xdr:cNvPr id="25" name="Grupa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GrpSpPr/>
        </xdr:nvGrpSpPr>
        <xdr:grpSpPr>
          <a:xfrm>
            <a:off x="8968408" y="3880036"/>
            <a:ext cx="7161864" cy="11579038"/>
            <a:chOff x="8968408" y="3880036"/>
            <a:chExt cx="7161864" cy="11579038"/>
          </a:xfrm>
        </xdr:grpSpPr>
        <xdr:grpSp>
          <xdr:nvGrpSpPr>
            <xdr:cNvPr id="14" name="Grupa 13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GrpSpPr/>
          </xdr:nvGrpSpPr>
          <xdr:grpSpPr>
            <a:xfrm>
              <a:off x="8968408" y="3880036"/>
              <a:ext cx="7161864" cy="11579038"/>
              <a:chOff x="8968408" y="3920041"/>
              <a:chExt cx="7161864" cy="11693338"/>
            </a:xfrm>
          </xdr:grpSpPr>
          <xdr:grpSp>
            <xdr:nvGrpSpPr>
              <xdr:cNvPr id="12" name="Grupa 11">
                <a:extLst>
                  <a:ext uri="{FF2B5EF4-FFF2-40B4-BE49-F238E27FC236}">
                    <a16:creationId xmlns:a16="http://schemas.microsoft.com/office/drawing/2014/main" id="{00000000-0008-0000-0300-00000C000000}"/>
                  </a:ext>
                </a:extLst>
              </xdr:cNvPr>
              <xdr:cNvGrpSpPr/>
            </xdr:nvGrpSpPr>
            <xdr:grpSpPr>
              <a:xfrm>
                <a:off x="8968408" y="3920041"/>
                <a:ext cx="7161864" cy="11693338"/>
                <a:chOff x="8968408" y="3880036"/>
                <a:chExt cx="7161864" cy="11579038"/>
              </a:xfrm>
            </xdr:grpSpPr>
            <xdr:grpSp>
              <xdr:nvGrpSpPr>
                <xdr:cNvPr id="10" name="Grupa 9">
                  <a:extLst>
                    <a:ext uri="{FF2B5EF4-FFF2-40B4-BE49-F238E27FC236}">
                      <a16:creationId xmlns:a16="http://schemas.microsoft.com/office/drawing/2014/main" id="{00000000-0008-0000-0300-00000A000000}"/>
                    </a:ext>
                  </a:extLst>
                </xdr:cNvPr>
                <xdr:cNvGrpSpPr/>
              </xdr:nvGrpSpPr>
              <xdr:grpSpPr>
                <a:xfrm>
                  <a:off x="8968408" y="3880036"/>
                  <a:ext cx="7161864" cy="11579038"/>
                  <a:chOff x="8968408" y="3880036"/>
                  <a:chExt cx="7161864" cy="11579038"/>
                </a:xfrm>
              </xdr:grpSpPr>
              <xdr:graphicFrame macro="">
                <xdr:nvGraphicFramePr>
                  <xdr:cNvPr id="9" name="Wykres 8">
                    <a:extLst>
                      <a:ext uri="{FF2B5EF4-FFF2-40B4-BE49-F238E27FC236}">
                        <a16:creationId xmlns:a16="http://schemas.microsoft.com/office/drawing/2014/main" id="{00000000-0008-0000-0300-000009000000}"/>
                      </a:ext>
                    </a:extLst>
                  </xdr:cNvPr>
                  <xdr:cNvGraphicFramePr>
                    <a:graphicFrameLocks/>
                  </xdr:cNvGraphicFramePr>
                </xdr:nvGraphicFramePr>
                <xdr:xfrm>
                  <a:off x="8973670" y="3880036"/>
                  <a:ext cx="7156602" cy="409743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1"/>
                  </a:graphicData>
                </a:graphic>
              </xdr:graphicFrame>
              <xdr:graphicFrame macro="">
                <xdr:nvGraphicFramePr>
                  <xdr:cNvPr id="2" name="Wykres 1">
                    <a:extLst>
                      <a:ext uri="{FF2B5EF4-FFF2-40B4-BE49-F238E27FC236}">
                        <a16:creationId xmlns:a16="http://schemas.microsoft.com/office/drawing/2014/main" id="{00000000-0008-0000-0300-000002000000}"/>
                      </a:ext>
                    </a:extLst>
                  </xdr:cNvPr>
                  <xdr:cNvGraphicFramePr/>
                </xdr:nvGraphicFramePr>
                <xdr:xfrm>
                  <a:off x="8968408" y="7877176"/>
                  <a:ext cx="7156602" cy="7581898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2"/>
                  </a:graphicData>
                </a:graphic>
              </xdr:graphicFrame>
              <xdr:pic>
                <xdr:nvPicPr>
                  <xdr:cNvPr id="6" name="Obraz 5">
                    <a:extLst>
                      <a:ext uri="{FF2B5EF4-FFF2-40B4-BE49-F238E27FC236}">
                        <a16:creationId xmlns:a16="http://schemas.microsoft.com/office/drawing/2014/main" id="{00000000-0008-0000-0300-000006000000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3">
                    <a:extLst>
                      <a:ext uri="{28A0092B-C50C-407E-A947-70E740481C1C}">
                        <a14:useLocalDpi xmlns:a14="http://schemas.microsoft.com/office/drawing/2010/main" val="0"/>
                      </a:ext>
                    </a:extLst>
                  </a:blip>
                  <a:stretch>
                    <a:fillRect/>
                  </a:stretch>
                </xdr:blipFill>
                <xdr:spPr>
                  <a:xfrm>
                    <a:off x="9572625" y="4695825"/>
                    <a:ext cx="5655241" cy="10058400"/>
                  </a:xfrm>
                  <a:prstGeom prst="rect">
                    <a:avLst/>
                  </a:prstGeom>
                </xdr:spPr>
              </xdr:pic>
            </xdr:grpSp>
            <xdr:sp macro="" textlink="">
              <xdr:nvSpPr>
                <xdr:cNvPr id="11" name="Prostokąt 10">
                  <a:extLst>
                    <a:ext uri="{FF2B5EF4-FFF2-40B4-BE49-F238E27FC236}">
                      <a16:creationId xmlns:a16="http://schemas.microsoft.com/office/drawing/2014/main" id="{00000000-0008-0000-0300-00000B000000}"/>
                    </a:ext>
                  </a:extLst>
                </xdr:cNvPr>
                <xdr:cNvSpPr/>
              </xdr:nvSpPr>
              <xdr:spPr>
                <a:xfrm>
                  <a:off x="15211425" y="6800850"/>
                  <a:ext cx="904875" cy="1905000"/>
                </a:xfrm>
                <a:prstGeom prst="rect">
                  <a:avLst/>
                </a:prstGeom>
                <a:solidFill>
                  <a:schemeClr val="bg1"/>
                </a:solidFill>
                <a:ln>
                  <a:solidFill>
                    <a:schemeClr val="bg1"/>
                  </a:solidFill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l-PL" sz="1100"/>
                </a:p>
              </xdr:txBody>
            </xdr:sp>
          </xdr:grpSp>
          <xdr:sp macro="" textlink="">
            <xdr:nvSpPr>
              <xdr:cNvPr id="13" name="Prostokąt 12">
                <a:extLst>
                  <a:ext uri="{FF2B5EF4-FFF2-40B4-BE49-F238E27FC236}">
                    <a16:creationId xmlns:a16="http://schemas.microsoft.com/office/drawing/2014/main" id="{00000000-0008-0000-0300-00000D000000}"/>
                  </a:ext>
                </a:extLst>
              </xdr:cNvPr>
              <xdr:cNvSpPr/>
            </xdr:nvSpPr>
            <xdr:spPr>
              <a:xfrm>
                <a:off x="8980170" y="7947660"/>
                <a:ext cx="590550" cy="4571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l-PL" sz="1100"/>
              </a:p>
            </xdr:txBody>
          </xdr:sp>
        </xdr:grpSp>
        <xdr:cxnSp macro="">
          <xdr:nvCxnSpPr>
            <xdr:cNvPr id="4" name="Łącznik prosty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CxnSpPr/>
          </xdr:nvCxnSpPr>
          <xdr:spPr>
            <a:xfrm>
              <a:off x="9553575" y="13849350"/>
              <a:ext cx="3190875" cy="0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" name="Łącznik prosty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CxnSpPr/>
          </xdr:nvCxnSpPr>
          <xdr:spPr>
            <a:xfrm>
              <a:off x="9544050" y="13773150"/>
              <a:ext cx="4448175" cy="0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" name="Łącznik prosty 15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CxnSpPr/>
          </xdr:nvCxnSpPr>
          <xdr:spPr>
            <a:xfrm>
              <a:off x="9544050" y="13592175"/>
              <a:ext cx="4448175" cy="0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" name="Łącznik prosty 16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CxnSpPr/>
          </xdr:nvCxnSpPr>
          <xdr:spPr>
            <a:xfrm>
              <a:off x="9544050" y="13544550"/>
              <a:ext cx="2352675" cy="0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" name="Łącznik prosty 20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CxnSpPr/>
          </xdr:nvCxnSpPr>
          <xdr:spPr>
            <a:xfrm>
              <a:off x="9544050" y="12915900"/>
              <a:ext cx="3190875" cy="0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" name="Łącznik prosty 21">
              <a:extLst>
                <a:ext uri="{FF2B5EF4-FFF2-40B4-BE49-F238E27FC236}">
                  <a16:creationId xmlns:a16="http://schemas.microsoft.com/office/drawing/2014/main" id="{00000000-0008-0000-0300-000016000000}"/>
                </a:ext>
              </a:extLst>
            </xdr:cNvPr>
            <xdr:cNvCxnSpPr/>
          </xdr:nvCxnSpPr>
          <xdr:spPr>
            <a:xfrm>
              <a:off x="9544050" y="9801225"/>
              <a:ext cx="1266825" cy="0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" name="Łącznik prosty 23">
              <a:extLst>
                <a:ext uri="{FF2B5EF4-FFF2-40B4-BE49-F238E27FC236}">
                  <a16:creationId xmlns:a16="http://schemas.microsoft.com/office/drawing/2014/main" id="{00000000-0008-0000-0300-000018000000}"/>
                </a:ext>
              </a:extLst>
            </xdr:cNvPr>
            <xdr:cNvCxnSpPr/>
          </xdr:nvCxnSpPr>
          <xdr:spPr>
            <a:xfrm>
              <a:off x="9544050" y="5172075"/>
              <a:ext cx="1266825" cy="0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6" name="pole tekstowe 25">
                <a:extLst>
                  <a:ext uri="{FF2B5EF4-FFF2-40B4-BE49-F238E27FC236}">
                    <a16:creationId xmlns:a16="http://schemas.microsoft.com/office/drawing/2014/main" id="{00000000-0008-0000-0300-00001A000000}"/>
                  </a:ext>
                </a:extLst>
              </xdr:cNvPr>
              <xdr:cNvSpPr txBox="1"/>
            </xdr:nvSpPr>
            <xdr:spPr>
              <a:xfrm>
                <a:off x="13554075" y="13601700"/>
                <a:ext cx="129587" cy="16536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𝐶</m:t>
                      </m:r>
                    </m:oMath>
                  </m:oMathPara>
                </a14:m>
                <a:endParaRPr lang="pl-PL" sz="1100"/>
              </a:p>
            </xdr:txBody>
          </xdr:sp>
        </mc:Choice>
        <mc:Fallback xmlns="">
          <xdr:sp macro="" textlink="">
            <xdr:nvSpPr>
              <xdr:cNvPr id="26" name="pole tekstowe 25">
                <a:extLst>
                  <a:ext uri="{FF2B5EF4-FFF2-40B4-BE49-F238E27FC236}">
                    <a16:creationId xmlns:a16="http://schemas.microsoft.com/office/drawing/2014/main" id="{88B7A340-CB2B-8816-DEA2-CE19AD25BB25}"/>
                  </a:ext>
                </a:extLst>
              </xdr:cNvPr>
              <xdr:cNvSpPr txBox="1"/>
            </xdr:nvSpPr>
            <xdr:spPr>
              <a:xfrm>
                <a:off x="13554075" y="13601700"/>
                <a:ext cx="129587" cy="16536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pl-PL" sz="1100" b="0" i="0">
                    <a:latin typeface="Cambria Math" panose="02040503050406030204" pitchFamily="18" charset="0"/>
                  </a:rPr>
                  <a:t>𝐶</a:t>
                </a:r>
                <a:endParaRPr lang="pl-PL" sz="1100"/>
              </a:p>
            </xdr:txBody>
          </xdr:sp>
        </mc:Fallback>
      </mc:AlternateContent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194704</xdr:colOff>
      <xdr:row>3</xdr:row>
      <xdr:rowOff>106876</xdr:rowOff>
    </xdr:from>
    <xdr:to>
      <xdr:col>20</xdr:col>
      <xdr:colOff>500063</xdr:colOff>
      <xdr:row>23</xdr:row>
      <xdr:rowOff>160734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1</xdr:row>
      <xdr:rowOff>28574</xdr:rowOff>
    </xdr:from>
    <xdr:to>
      <xdr:col>16</xdr:col>
      <xdr:colOff>57150</xdr:colOff>
      <xdr:row>21</xdr:row>
      <xdr:rowOff>133349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243367</xdr:colOff>
      <xdr:row>11</xdr:row>
      <xdr:rowOff>76200</xdr:rowOff>
    </xdr:from>
    <xdr:to>
      <xdr:col>15</xdr:col>
      <xdr:colOff>772784</xdr:colOff>
      <xdr:row>11</xdr:row>
      <xdr:rowOff>76200</xdr:rowOff>
    </xdr:to>
    <xdr:cxnSp macro="">
      <xdr:nvCxnSpPr>
        <xdr:cNvPr id="3" name="Łącznik prosty ze strzałką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9328246" y="2822028"/>
          <a:ext cx="4766400" cy="0"/>
        </a:xfrm>
        <a:prstGeom prst="straightConnector1">
          <a:avLst/>
        </a:prstGeom>
        <a:ln w="9525"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771525</xdr:colOff>
      <xdr:row>4</xdr:row>
      <xdr:rowOff>66674</xdr:rowOff>
    </xdr:from>
    <xdr:to>
      <xdr:col>15</xdr:col>
      <xdr:colOff>132900</xdr:colOff>
      <xdr:row>18</xdr:row>
      <xdr:rowOff>199574</xdr:rowOff>
    </xdr:to>
    <xdr:cxnSp macro="">
      <xdr:nvCxnSpPr>
        <xdr:cNvPr id="6" name="Łącznik prosty ze strzałką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H="1">
          <a:off x="9858375" y="1057274"/>
          <a:ext cx="3600000" cy="3600000"/>
        </a:xfrm>
        <a:prstGeom prst="straightConnector1">
          <a:avLst/>
        </a:prstGeom>
        <a:ln w="6350"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699655</xdr:colOff>
      <xdr:row>3</xdr:row>
      <xdr:rowOff>161925</xdr:rowOff>
    </xdr:from>
    <xdr:to>
      <xdr:col>13</xdr:col>
      <xdr:colOff>90055</xdr:colOff>
      <xdr:row>11</xdr:row>
      <xdr:rowOff>76200</xdr:rowOff>
    </xdr:to>
    <xdr:cxnSp macro="">
      <xdr:nvCxnSpPr>
        <xdr:cNvPr id="13" name="Łącznik prosty ze strzałką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H="1" flipV="1">
          <a:off x="11493212" y="902277"/>
          <a:ext cx="238991" cy="1888548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104775</xdr:colOff>
      <xdr:row>8</xdr:row>
      <xdr:rowOff>66675</xdr:rowOff>
    </xdr:from>
    <xdr:to>
      <xdr:col>15</xdr:col>
      <xdr:colOff>76200</xdr:colOff>
      <xdr:row>11</xdr:row>
      <xdr:rowOff>66675</xdr:rowOff>
    </xdr:to>
    <xdr:cxnSp macro="">
      <xdr:nvCxnSpPr>
        <xdr:cNvPr id="15" name="Łącznik prosty ze strzałką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734800" y="2047875"/>
          <a:ext cx="1666875" cy="742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76200</xdr:colOff>
      <xdr:row>10</xdr:row>
      <xdr:rowOff>190500</xdr:rowOff>
    </xdr:from>
    <xdr:to>
      <xdr:col>15</xdr:col>
      <xdr:colOff>447675</xdr:colOff>
      <xdr:row>11</xdr:row>
      <xdr:rowOff>85725</xdr:rowOff>
    </xdr:to>
    <xdr:cxnSp macro="">
      <xdr:nvCxnSpPr>
        <xdr:cNvPr id="19" name="Łącznik prosty ze strzałką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CxnSpPr/>
      </xdr:nvCxnSpPr>
      <xdr:spPr>
        <a:xfrm flipV="1">
          <a:off x="11706225" y="2667000"/>
          <a:ext cx="2066925" cy="1428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95250</xdr:colOff>
      <xdr:row>11</xdr:row>
      <xdr:rowOff>76200</xdr:rowOff>
    </xdr:from>
    <xdr:to>
      <xdr:col>15</xdr:col>
      <xdr:colOff>561975</xdr:colOff>
      <xdr:row>12</xdr:row>
      <xdr:rowOff>66675</xdr:rowOff>
    </xdr:to>
    <xdr:cxnSp macro="">
      <xdr:nvCxnSpPr>
        <xdr:cNvPr id="21" name="Łącznik prosty ze strzałką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CxnSpPr/>
      </xdr:nvCxnSpPr>
      <xdr:spPr>
        <a:xfrm>
          <a:off x="11725275" y="2800350"/>
          <a:ext cx="2162175" cy="2381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415636</xdr:colOff>
      <xdr:row>11</xdr:row>
      <xdr:rowOff>82261</xdr:rowOff>
    </xdr:from>
    <xdr:to>
      <xdr:col>13</xdr:col>
      <xdr:colOff>90920</xdr:colOff>
      <xdr:row>13</xdr:row>
      <xdr:rowOff>69273</xdr:rowOff>
    </xdr:to>
    <xdr:cxnSp macro="">
      <xdr:nvCxnSpPr>
        <xdr:cNvPr id="24" name="Łącznik prosty ze strzałką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CxnSpPr/>
      </xdr:nvCxnSpPr>
      <xdr:spPr>
        <a:xfrm flipH="1">
          <a:off x="10360602" y="2796886"/>
          <a:ext cx="1372466" cy="48058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627784</xdr:colOff>
      <xdr:row>11</xdr:row>
      <xdr:rowOff>73602</xdr:rowOff>
    </xdr:from>
    <xdr:to>
      <xdr:col>13</xdr:col>
      <xdr:colOff>86591</xdr:colOff>
      <xdr:row>15</xdr:row>
      <xdr:rowOff>73603</xdr:rowOff>
    </xdr:to>
    <xdr:cxnSp macro="">
      <xdr:nvCxnSpPr>
        <xdr:cNvPr id="26" name="Łącznik prosty ze strzałką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CxnSpPr/>
      </xdr:nvCxnSpPr>
      <xdr:spPr>
        <a:xfrm flipH="1">
          <a:off x="10572750" y="2788227"/>
          <a:ext cx="1155989" cy="987137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95250</xdr:colOff>
      <xdr:row>11</xdr:row>
      <xdr:rowOff>77932</xdr:rowOff>
    </xdr:from>
    <xdr:to>
      <xdr:col>15</xdr:col>
      <xdr:colOff>329045</xdr:colOff>
      <xdr:row>13</xdr:row>
      <xdr:rowOff>129887</xdr:rowOff>
    </xdr:to>
    <xdr:cxnSp macro="">
      <xdr:nvCxnSpPr>
        <xdr:cNvPr id="28" name="Łącznik prosty ze strzałką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CxnSpPr/>
      </xdr:nvCxnSpPr>
      <xdr:spPr>
        <a:xfrm>
          <a:off x="11737398" y="2792557"/>
          <a:ext cx="1930977" cy="54552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90920</xdr:colOff>
      <xdr:row>11</xdr:row>
      <xdr:rowOff>77932</xdr:rowOff>
    </xdr:from>
    <xdr:to>
      <xdr:col>15</xdr:col>
      <xdr:colOff>311727</xdr:colOff>
      <xdr:row>12</xdr:row>
      <xdr:rowOff>147205</xdr:rowOff>
    </xdr:to>
    <xdr:cxnSp macro="">
      <xdr:nvCxnSpPr>
        <xdr:cNvPr id="30" name="Łącznik prosty ze strzałką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CxnSpPr/>
      </xdr:nvCxnSpPr>
      <xdr:spPr>
        <a:xfrm>
          <a:off x="11733068" y="2792557"/>
          <a:ext cx="1917989" cy="316057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415636</xdr:colOff>
      <xdr:row>10</xdr:row>
      <xdr:rowOff>108239</xdr:rowOff>
    </xdr:from>
    <xdr:to>
      <xdr:col>11</xdr:col>
      <xdr:colOff>415637</xdr:colOff>
      <xdr:row>13</xdr:row>
      <xdr:rowOff>69273</xdr:rowOff>
    </xdr:to>
    <xdr:cxnSp macro="">
      <xdr:nvCxnSpPr>
        <xdr:cNvPr id="37" name="Łącznik prosty 36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CxnSpPr/>
      </xdr:nvCxnSpPr>
      <xdr:spPr>
        <a:xfrm>
          <a:off x="10360602" y="2576080"/>
          <a:ext cx="1" cy="701386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627784</xdr:colOff>
      <xdr:row>15</xdr:row>
      <xdr:rowOff>73603</xdr:rowOff>
    </xdr:from>
    <xdr:to>
      <xdr:col>11</xdr:col>
      <xdr:colOff>627784</xdr:colOff>
      <xdr:row>15</xdr:row>
      <xdr:rowOff>146230</xdr:rowOff>
    </xdr:to>
    <xdr:cxnSp macro="">
      <xdr:nvCxnSpPr>
        <xdr:cNvPr id="40" name="Łącznik prosty 39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CxnSpPr/>
      </xdr:nvCxnSpPr>
      <xdr:spPr>
        <a:xfrm>
          <a:off x="10572750" y="3775364"/>
          <a:ext cx="0" cy="72627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701387</xdr:colOff>
      <xdr:row>3</xdr:row>
      <xdr:rowOff>173182</xdr:rowOff>
    </xdr:from>
    <xdr:to>
      <xdr:col>12</xdr:col>
      <xdr:colOff>701387</xdr:colOff>
      <xdr:row>11</xdr:row>
      <xdr:rowOff>95141</xdr:rowOff>
    </xdr:to>
    <xdr:cxnSp macro="">
      <xdr:nvCxnSpPr>
        <xdr:cNvPr id="42" name="Łącznik prosty 41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CxnSpPr/>
      </xdr:nvCxnSpPr>
      <xdr:spPr>
        <a:xfrm>
          <a:off x="11494944" y="913534"/>
          <a:ext cx="0" cy="1896232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73602</xdr:colOff>
      <xdr:row>8</xdr:row>
      <xdr:rowOff>78798</xdr:rowOff>
    </xdr:from>
    <xdr:to>
      <xdr:col>15</xdr:col>
      <xdr:colOff>73602</xdr:colOff>
      <xdr:row>11</xdr:row>
      <xdr:rowOff>116898</xdr:rowOff>
    </xdr:to>
    <xdr:cxnSp macro="">
      <xdr:nvCxnSpPr>
        <xdr:cNvPr id="44" name="Łącznik prosty 43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CxnSpPr/>
      </xdr:nvCxnSpPr>
      <xdr:spPr>
        <a:xfrm flipH="1">
          <a:off x="13412932" y="2053071"/>
          <a:ext cx="0" cy="778452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450272</xdr:colOff>
      <xdr:row>10</xdr:row>
      <xdr:rowOff>183573</xdr:rowOff>
    </xdr:from>
    <xdr:to>
      <xdr:col>15</xdr:col>
      <xdr:colOff>451139</xdr:colOff>
      <xdr:row>11</xdr:row>
      <xdr:rowOff>95250</xdr:rowOff>
    </xdr:to>
    <xdr:cxnSp macro="">
      <xdr:nvCxnSpPr>
        <xdr:cNvPr id="46" name="Łącznik prosty 45"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CxnSpPr/>
      </xdr:nvCxnSpPr>
      <xdr:spPr>
        <a:xfrm flipH="1">
          <a:off x="13789602" y="2651414"/>
          <a:ext cx="867" cy="158461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558510</xdr:colOff>
      <xdr:row>10</xdr:row>
      <xdr:rowOff>41564</xdr:rowOff>
    </xdr:from>
    <xdr:to>
      <xdr:col>15</xdr:col>
      <xdr:colOff>558510</xdr:colOff>
      <xdr:row>12</xdr:row>
      <xdr:rowOff>69273</xdr:rowOff>
    </xdr:to>
    <xdr:cxnSp macro="">
      <xdr:nvCxnSpPr>
        <xdr:cNvPr id="48" name="Łącznik prosty 47"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CxnSpPr/>
      </xdr:nvCxnSpPr>
      <xdr:spPr>
        <a:xfrm flipH="1">
          <a:off x="13897840" y="2509405"/>
          <a:ext cx="0" cy="521277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329045</xdr:colOff>
      <xdr:row>10</xdr:row>
      <xdr:rowOff>150669</xdr:rowOff>
    </xdr:from>
    <xdr:to>
      <xdr:col>15</xdr:col>
      <xdr:colOff>329910</xdr:colOff>
      <xdr:row>13</xdr:row>
      <xdr:rowOff>129887</xdr:rowOff>
    </xdr:to>
    <xdr:cxnSp macro="">
      <xdr:nvCxnSpPr>
        <xdr:cNvPr id="50" name="Łącznik prosty 49"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CxnSpPr/>
      </xdr:nvCxnSpPr>
      <xdr:spPr>
        <a:xfrm flipH="1">
          <a:off x="13668375" y="2618510"/>
          <a:ext cx="865" cy="719570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300469</xdr:colOff>
      <xdr:row>11</xdr:row>
      <xdr:rowOff>194831</xdr:rowOff>
    </xdr:from>
    <xdr:to>
      <xdr:col>15</xdr:col>
      <xdr:colOff>300469</xdr:colOff>
      <xdr:row>12</xdr:row>
      <xdr:rowOff>142875</xdr:rowOff>
    </xdr:to>
    <xdr:cxnSp macro="">
      <xdr:nvCxnSpPr>
        <xdr:cNvPr id="52" name="Łącznik prosty 51"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CxnSpPr/>
      </xdr:nvCxnSpPr>
      <xdr:spPr>
        <a:xfrm>
          <a:off x="13639799" y="2909456"/>
          <a:ext cx="0" cy="194828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798636</xdr:colOff>
      <xdr:row>18</xdr:row>
      <xdr:rowOff>124557</xdr:rowOff>
    </xdr:from>
    <xdr:to>
      <xdr:col>11</xdr:col>
      <xdr:colOff>615463</xdr:colOff>
      <xdr:row>19</xdr:row>
      <xdr:rowOff>205154</xdr:rowOff>
    </xdr:to>
    <xdr:sp macro="" textlink="">
      <xdr:nvSpPr>
        <xdr:cNvPr id="54" name="pole tekstowe 53"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 txBox="1"/>
      </xdr:nvSpPr>
      <xdr:spPr>
        <a:xfrm>
          <a:off x="9906001" y="4608634"/>
          <a:ext cx="666750" cy="3297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200">
              <a:latin typeface="Courier New" panose="02070309020205020404" pitchFamily="49" charset="0"/>
              <a:cs typeface="Courier New" panose="02070309020205020404" pitchFamily="49" charset="0"/>
            </a:rPr>
            <a:t>vwIII</a:t>
          </a:r>
          <a:endParaRPr lang="pl-PL" sz="110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13</xdr:col>
      <xdr:colOff>79131</xdr:colOff>
      <xdr:row>1</xdr:row>
      <xdr:rowOff>108440</xdr:rowOff>
    </xdr:from>
    <xdr:to>
      <xdr:col>13</xdr:col>
      <xdr:colOff>745881</xdr:colOff>
      <xdr:row>2</xdr:row>
      <xdr:rowOff>189036</xdr:rowOff>
    </xdr:to>
    <xdr:sp macro="" textlink="">
      <xdr:nvSpPr>
        <xdr:cNvPr id="55" name="pole tekstowe 54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 txBox="1"/>
      </xdr:nvSpPr>
      <xdr:spPr>
        <a:xfrm>
          <a:off x="11736266" y="357555"/>
          <a:ext cx="666750" cy="3297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200">
              <a:latin typeface="Courier New" panose="02070309020205020404" pitchFamily="49" charset="0"/>
              <a:cs typeface="Courier New" panose="02070309020205020404" pitchFamily="49" charset="0"/>
            </a:rPr>
            <a:t>vwII</a:t>
          </a:r>
          <a:endParaRPr lang="pl-PL" sz="110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15</xdr:col>
      <xdr:colOff>517282</xdr:colOff>
      <xdr:row>10</xdr:row>
      <xdr:rowOff>70339</xdr:rowOff>
    </xdr:from>
    <xdr:to>
      <xdr:col>16</xdr:col>
      <xdr:colOff>334109</xdr:colOff>
      <xdr:row>11</xdr:row>
      <xdr:rowOff>150936</xdr:rowOff>
    </xdr:to>
    <xdr:sp macro="" textlink="">
      <xdr:nvSpPr>
        <xdr:cNvPr id="56" name="pole tekstowe 55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 txBox="1"/>
      </xdr:nvSpPr>
      <xdr:spPr>
        <a:xfrm>
          <a:off x="13874263" y="2561493"/>
          <a:ext cx="666750" cy="3297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200">
              <a:latin typeface="Courier New" panose="02070309020205020404" pitchFamily="49" charset="0"/>
              <a:cs typeface="Courier New" panose="02070309020205020404" pitchFamily="49" charset="0"/>
            </a:rPr>
            <a:t>vwI</a:t>
          </a:r>
          <a:endParaRPr lang="pl-PL" sz="110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10</xdr:col>
      <xdr:colOff>845529</xdr:colOff>
      <xdr:row>12</xdr:row>
      <xdr:rowOff>178777</xdr:rowOff>
    </xdr:from>
    <xdr:to>
      <xdr:col>11</xdr:col>
      <xdr:colOff>662356</xdr:colOff>
      <xdr:row>14</xdr:row>
      <xdr:rowOff>10259</xdr:rowOff>
    </xdr:to>
    <xdr:sp macro="" textlink="">
      <xdr:nvSpPr>
        <xdr:cNvPr id="57" name="pole tekstowe 56"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 txBox="1"/>
      </xdr:nvSpPr>
      <xdr:spPr>
        <a:xfrm>
          <a:off x="9952894" y="3168162"/>
          <a:ext cx="666750" cy="3297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200">
              <a:latin typeface="Consolas" panose="020B0609020204030204" pitchFamily="49" charset="0"/>
              <a:cs typeface="Courier New" panose="02070309020205020404" pitchFamily="49" charset="0"/>
            </a:rPr>
            <a:t>WIK</a:t>
          </a:r>
        </a:p>
      </xdr:txBody>
    </xdr:sp>
    <xdr:clientData/>
  </xdr:twoCellAnchor>
  <xdr:twoCellAnchor>
    <xdr:from>
      <xdr:col>11</xdr:col>
      <xdr:colOff>140679</xdr:colOff>
      <xdr:row>14</xdr:row>
      <xdr:rowOff>118697</xdr:rowOff>
    </xdr:from>
    <xdr:to>
      <xdr:col>11</xdr:col>
      <xdr:colOff>807429</xdr:colOff>
      <xdr:row>15</xdr:row>
      <xdr:rowOff>199293</xdr:rowOff>
    </xdr:to>
    <xdr:sp macro="" textlink="">
      <xdr:nvSpPr>
        <xdr:cNvPr id="58" name="pole tekstowe 57"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 txBox="1"/>
      </xdr:nvSpPr>
      <xdr:spPr>
        <a:xfrm>
          <a:off x="10097967" y="3606312"/>
          <a:ext cx="666750" cy="3297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200">
              <a:latin typeface="Consolas" panose="020B0609020204030204" pitchFamily="49" charset="0"/>
              <a:cs typeface="Courier New" panose="02070309020205020404" pitchFamily="49" charset="0"/>
            </a:rPr>
            <a:t>*BEC</a:t>
          </a:r>
        </a:p>
      </xdr:txBody>
    </xdr:sp>
    <xdr:clientData/>
  </xdr:twoCellAnchor>
  <xdr:twoCellAnchor>
    <xdr:from>
      <xdr:col>12</xdr:col>
      <xdr:colOff>190500</xdr:colOff>
      <xdr:row>3</xdr:row>
      <xdr:rowOff>7328</xdr:rowOff>
    </xdr:from>
    <xdr:to>
      <xdr:col>13</xdr:col>
      <xdr:colOff>7327</xdr:colOff>
      <xdr:row>4</xdr:row>
      <xdr:rowOff>87924</xdr:rowOff>
    </xdr:to>
    <xdr:sp macro="" textlink="">
      <xdr:nvSpPr>
        <xdr:cNvPr id="59" name="pole tekstowe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 txBox="1"/>
      </xdr:nvSpPr>
      <xdr:spPr>
        <a:xfrm>
          <a:off x="10997712" y="754674"/>
          <a:ext cx="666750" cy="3297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200">
              <a:latin typeface="Consolas" panose="020B0609020204030204" pitchFamily="49" charset="0"/>
              <a:cs typeface="Courier New" panose="02070309020205020404" pitchFamily="49" charset="0"/>
            </a:rPr>
            <a:t>*UDZ</a:t>
          </a:r>
        </a:p>
      </xdr:txBody>
    </xdr:sp>
    <xdr:clientData/>
  </xdr:twoCellAnchor>
  <xdr:twoCellAnchor>
    <xdr:from>
      <xdr:col>14</xdr:col>
      <xdr:colOff>709246</xdr:colOff>
      <xdr:row>7</xdr:row>
      <xdr:rowOff>42497</xdr:rowOff>
    </xdr:from>
    <xdr:to>
      <xdr:col>15</xdr:col>
      <xdr:colOff>526073</xdr:colOff>
      <xdr:row>8</xdr:row>
      <xdr:rowOff>123094</xdr:rowOff>
    </xdr:to>
    <xdr:sp macro="" textlink="">
      <xdr:nvSpPr>
        <xdr:cNvPr id="60" name="pole tekstowe 59"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 txBox="1"/>
      </xdr:nvSpPr>
      <xdr:spPr>
        <a:xfrm>
          <a:off x="13216304" y="1786305"/>
          <a:ext cx="666750" cy="3297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200">
              <a:latin typeface="Consolas" panose="020B0609020204030204" pitchFamily="49" charset="0"/>
              <a:cs typeface="Courier New" panose="02070309020205020404" pitchFamily="49" charset="0"/>
            </a:rPr>
            <a:t>ZEG</a:t>
          </a:r>
        </a:p>
      </xdr:txBody>
    </xdr:sp>
    <xdr:clientData/>
  </xdr:twoCellAnchor>
  <xdr:twoCellAnchor>
    <xdr:from>
      <xdr:col>14</xdr:col>
      <xdr:colOff>671146</xdr:colOff>
      <xdr:row>12</xdr:row>
      <xdr:rowOff>84993</xdr:rowOff>
    </xdr:from>
    <xdr:to>
      <xdr:col>15</xdr:col>
      <xdr:colOff>487973</xdr:colOff>
      <xdr:row>13</xdr:row>
      <xdr:rowOff>165590</xdr:rowOff>
    </xdr:to>
    <xdr:sp macro="" textlink="">
      <xdr:nvSpPr>
        <xdr:cNvPr id="61" name="pole tekstowe 60"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 txBox="1"/>
      </xdr:nvSpPr>
      <xdr:spPr>
        <a:xfrm>
          <a:off x="13178204" y="3074378"/>
          <a:ext cx="666750" cy="3297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200">
              <a:latin typeface="Consolas" panose="020B0609020204030204" pitchFamily="49" charset="0"/>
              <a:cs typeface="Courier New" panose="02070309020205020404" pitchFamily="49" charset="0"/>
            </a:rPr>
            <a:t>*PRP</a:t>
          </a:r>
        </a:p>
      </xdr:txBody>
    </xdr:sp>
    <xdr:clientData/>
  </xdr:twoCellAnchor>
  <xdr:twoCellAnchor>
    <xdr:from>
      <xdr:col>15</xdr:col>
      <xdr:colOff>39566</xdr:colOff>
      <xdr:row>13</xdr:row>
      <xdr:rowOff>112836</xdr:rowOff>
    </xdr:from>
    <xdr:to>
      <xdr:col>15</xdr:col>
      <xdr:colOff>706316</xdr:colOff>
      <xdr:row>14</xdr:row>
      <xdr:rowOff>193433</xdr:rowOff>
    </xdr:to>
    <xdr:sp macro="" textlink="">
      <xdr:nvSpPr>
        <xdr:cNvPr id="62" name="pole tekstowe 61"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 txBox="1"/>
      </xdr:nvSpPr>
      <xdr:spPr>
        <a:xfrm>
          <a:off x="13396547" y="3351336"/>
          <a:ext cx="666750" cy="3297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200">
              <a:latin typeface="Consolas" panose="020B0609020204030204" pitchFamily="49" charset="0"/>
              <a:cs typeface="Courier New" panose="02070309020205020404" pitchFamily="49" charset="0"/>
            </a:rPr>
            <a:t>MOC</a:t>
          </a:r>
        </a:p>
      </xdr:txBody>
    </xdr:sp>
    <xdr:clientData/>
  </xdr:twoCellAnchor>
  <xdr:twoCellAnchor>
    <xdr:from>
      <xdr:col>15</xdr:col>
      <xdr:colOff>52754</xdr:colOff>
      <xdr:row>9</xdr:row>
      <xdr:rowOff>155332</xdr:rowOff>
    </xdr:from>
    <xdr:to>
      <xdr:col>15</xdr:col>
      <xdr:colOff>719504</xdr:colOff>
      <xdr:row>10</xdr:row>
      <xdr:rowOff>235928</xdr:rowOff>
    </xdr:to>
    <xdr:sp macro="" textlink="">
      <xdr:nvSpPr>
        <xdr:cNvPr id="63" name="pole tekstowe 62"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 txBox="1"/>
      </xdr:nvSpPr>
      <xdr:spPr>
        <a:xfrm>
          <a:off x="13409735" y="2397370"/>
          <a:ext cx="666750" cy="3297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200">
              <a:latin typeface="Consolas" panose="020B0609020204030204" pitchFamily="49" charset="0"/>
              <a:cs typeface="Courier New" panose="02070309020205020404" pitchFamily="49" charset="0"/>
            </a:rPr>
            <a:t>*FPS</a:t>
          </a:r>
        </a:p>
      </xdr:txBody>
    </xdr:sp>
    <xdr:clientData/>
  </xdr:twoCellAnchor>
  <xdr:twoCellAnchor>
    <xdr:from>
      <xdr:col>15</xdr:col>
      <xdr:colOff>402981</xdr:colOff>
      <xdr:row>12</xdr:row>
      <xdr:rowOff>58616</xdr:rowOff>
    </xdr:from>
    <xdr:to>
      <xdr:col>16</xdr:col>
      <xdr:colOff>219808</xdr:colOff>
      <xdr:row>13</xdr:row>
      <xdr:rowOff>139213</xdr:rowOff>
    </xdr:to>
    <xdr:sp macro="" textlink="">
      <xdr:nvSpPr>
        <xdr:cNvPr id="64" name="pole tekstowe 63"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 txBox="1"/>
      </xdr:nvSpPr>
      <xdr:spPr>
        <a:xfrm>
          <a:off x="13759962" y="3048001"/>
          <a:ext cx="666750" cy="3297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200">
              <a:latin typeface="Consolas" panose="020B0609020204030204" pitchFamily="49" charset="0"/>
              <a:cs typeface="Courier New" panose="02070309020205020404" pitchFamily="49" charset="0"/>
            </a:rPr>
            <a:t>*KOS</a:t>
          </a:r>
        </a:p>
      </xdr:txBody>
    </xdr:sp>
    <xdr:clientData/>
  </xdr:twoCellAnchor>
  <xdr:twoCellAnchor>
    <xdr:from>
      <xdr:col>0</xdr:col>
      <xdr:colOff>586654</xdr:colOff>
      <xdr:row>45</xdr:row>
      <xdr:rowOff>74595</xdr:rowOff>
    </xdr:from>
    <xdr:to>
      <xdr:col>5</xdr:col>
      <xdr:colOff>177362</xdr:colOff>
      <xdr:row>63</xdr:row>
      <xdr:rowOff>17446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E20199C-BF08-4490-A132-9D9F6F485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262758</xdr:colOff>
      <xdr:row>45</xdr:row>
      <xdr:rowOff>72259</xdr:rowOff>
    </xdr:from>
    <xdr:to>
      <xdr:col>3</xdr:col>
      <xdr:colOff>262758</xdr:colOff>
      <xdr:row>54</xdr:row>
      <xdr:rowOff>43273</xdr:rowOff>
    </xdr:to>
    <xdr:cxnSp macro="">
      <xdr:nvCxnSpPr>
        <xdr:cNvPr id="7" name="Łącznik prosty ze strzałką 6">
          <a:extLst>
            <a:ext uri="{FF2B5EF4-FFF2-40B4-BE49-F238E27FC236}">
              <a16:creationId xmlns:a16="http://schemas.microsoft.com/office/drawing/2014/main" id="{C5617E20-A5DA-49B8-A57C-0AFD5D294782}"/>
            </a:ext>
          </a:extLst>
        </xdr:cNvPr>
        <xdr:cNvCxnSpPr/>
      </xdr:nvCxnSpPr>
      <xdr:spPr>
        <a:xfrm flipV="1">
          <a:off x="2804948" y="11305190"/>
          <a:ext cx="0" cy="2217600"/>
        </a:xfrm>
        <a:prstGeom prst="straightConnector1">
          <a:avLst/>
        </a:prstGeom>
        <a:ln w="9525"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262758</xdr:colOff>
      <xdr:row>54</xdr:row>
      <xdr:rowOff>45983</xdr:rowOff>
    </xdr:from>
    <xdr:to>
      <xdr:col>5</xdr:col>
      <xdr:colOff>174651</xdr:colOff>
      <xdr:row>54</xdr:row>
      <xdr:rowOff>45983</xdr:rowOff>
    </xdr:to>
    <xdr:cxnSp macro="">
      <xdr:nvCxnSpPr>
        <xdr:cNvPr id="36" name="Łącznik prosty ze strzałką 35">
          <a:extLst>
            <a:ext uri="{FF2B5EF4-FFF2-40B4-BE49-F238E27FC236}">
              <a16:creationId xmlns:a16="http://schemas.microsoft.com/office/drawing/2014/main" id="{C641DB57-E8BB-4ACD-9515-FEA813A91262}"/>
            </a:ext>
          </a:extLst>
        </xdr:cNvPr>
        <xdr:cNvCxnSpPr/>
      </xdr:nvCxnSpPr>
      <xdr:spPr>
        <a:xfrm flipV="1">
          <a:off x="2804948" y="13525500"/>
          <a:ext cx="2217600" cy="0"/>
        </a:xfrm>
        <a:prstGeom prst="straightConnector1">
          <a:avLst/>
        </a:prstGeom>
        <a:ln w="9525"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324836</xdr:colOff>
      <xdr:row>47</xdr:row>
      <xdr:rowOff>183273</xdr:rowOff>
    </xdr:from>
    <xdr:to>
      <xdr:col>4</xdr:col>
      <xdr:colOff>1021661</xdr:colOff>
      <xdr:row>60</xdr:row>
      <xdr:rowOff>178204</xdr:rowOff>
    </xdr:to>
    <xdr:cxnSp macro="">
      <xdr:nvCxnSpPr>
        <xdr:cNvPr id="41" name="Łącznik prosty ze strzałką 40">
          <a:extLst>
            <a:ext uri="{FF2B5EF4-FFF2-40B4-BE49-F238E27FC236}">
              <a16:creationId xmlns:a16="http://schemas.microsoft.com/office/drawing/2014/main" id="{EAF1B368-EA86-42AB-A4D3-CA18A0C5C704}"/>
            </a:ext>
          </a:extLst>
        </xdr:cNvPr>
        <xdr:cNvCxnSpPr/>
      </xdr:nvCxnSpPr>
      <xdr:spPr>
        <a:xfrm flipH="1">
          <a:off x="1172233" y="11915445"/>
          <a:ext cx="3239014" cy="3240000"/>
        </a:xfrm>
        <a:prstGeom prst="straightConnector1">
          <a:avLst/>
        </a:prstGeom>
        <a:ln w="9525"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32844</xdr:colOff>
      <xdr:row>53</xdr:row>
      <xdr:rowOff>197069</xdr:rowOff>
    </xdr:from>
    <xdr:to>
      <xdr:col>5</xdr:col>
      <xdr:colOff>32844</xdr:colOff>
      <xdr:row>54</xdr:row>
      <xdr:rowOff>13138</xdr:rowOff>
    </xdr:to>
    <xdr:cxnSp macro="">
      <xdr:nvCxnSpPr>
        <xdr:cNvPr id="45" name="Łącznik prosty 44">
          <a:extLst>
            <a:ext uri="{FF2B5EF4-FFF2-40B4-BE49-F238E27FC236}">
              <a16:creationId xmlns:a16="http://schemas.microsoft.com/office/drawing/2014/main" id="{1BBDE7B6-346E-418F-8DBC-09B42ED02FD0}"/>
            </a:ext>
          </a:extLst>
        </xdr:cNvPr>
        <xdr:cNvCxnSpPr/>
      </xdr:nvCxnSpPr>
      <xdr:spPr>
        <a:xfrm>
          <a:off x="4880741" y="13426966"/>
          <a:ext cx="0" cy="65689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860535</xdr:colOff>
      <xdr:row>52</xdr:row>
      <xdr:rowOff>91965</xdr:rowOff>
    </xdr:from>
    <xdr:to>
      <xdr:col>4</xdr:col>
      <xdr:colOff>861848</xdr:colOff>
      <xdr:row>55</xdr:row>
      <xdr:rowOff>67003</xdr:rowOff>
    </xdr:to>
    <xdr:cxnSp macro="">
      <xdr:nvCxnSpPr>
        <xdr:cNvPr id="47" name="Łącznik prosty 46">
          <a:extLst>
            <a:ext uri="{FF2B5EF4-FFF2-40B4-BE49-F238E27FC236}">
              <a16:creationId xmlns:a16="http://schemas.microsoft.com/office/drawing/2014/main" id="{D8FDEAFD-1374-4C57-84FA-72F60686F15B}"/>
            </a:ext>
          </a:extLst>
        </xdr:cNvPr>
        <xdr:cNvCxnSpPr/>
      </xdr:nvCxnSpPr>
      <xdr:spPr>
        <a:xfrm>
          <a:off x="4250121" y="13072241"/>
          <a:ext cx="1313" cy="723900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538655</xdr:colOff>
      <xdr:row>52</xdr:row>
      <xdr:rowOff>40727</xdr:rowOff>
    </xdr:from>
    <xdr:to>
      <xdr:col>4</xdr:col>
      <xdr:colOff>539969</xdr:colOff>
      <xdr:row>53</xdr:row>
      <xdr:rowOff>131379</xdr:rowOff>
    </xdr:to>
    <xdr:cxnSp macro="">
      <xdr:nvCxnSpPr>
        <xdr:cNvPr id="49" name="Łącznik prosty 48">
          <a:extLst>
            <a:ext uri="{FF2B5EF4-FFF2-40B4-BE49-F238E27FC236}">
              <a16:creationId xmlns:a16="http://schemas.microsoft.com/office/drawing/2014/main" id="{0E4BF506-C4FE-44B5-8890-C5D4A1003DB8}"/>
            </a:ext>
          </a:extLst>
        </xdr:cNvPr>
        <xdr:cNvCxnSpPr/>
      </xdr:nvCxnSpPr>
      <xdr:spPr>
        <a:xfrm flipH="1">
          <a:off x="3928241" y="13021003"/>
          <a:ext cx="1314" cy="340273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394138</xdr:colOff>
      <xdr:row>54</xdr:row>
      <xdr:rowOff>134007</xdr:rowOff>
    </xdr:from>
    <xdr:to>
      <xdr:col>4</xdr:col>
      <xdr:colOff>394138</xdr:colOff>
      <xdr:row>55</xdr:row>
      <xdr:rowOff>131379</xdr:rowOff>
    </xdr:to>
    <xdr:cxnSp macro="">
      <xdr:nvCxnSpPr>
        <xdr:cNvPr id="51" name="Łącznik prosty 50">
          <a:extLst>
            <a:ext uri="{FF2B5EF4-FFF2-40B4-BE49-F238E27FC236}">
              <a16:creationId xmlns:a16="http://schemas.microsoft.com/office/drawing/2014/main" id="{09470C59-D1EE-48EF-8729-DC20118EF796}"/>
            </a:ext>
          </a:extLst>
        </xdr:cNvPr>
        <xdr:cNvCxnSpPr/>
      </xdr:nvCxnSpPr>
      <xdr:spPr>
        <a:xfrm flipH="1">
          <a:off x="3783724" y="13613524"/>
          <a:ext cx="0" cy="246993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203638</xdr:colOff>
      <xdr:row>54</xdr:row>
      <xdr:rowOff>49924</xdr:rowOff>
    </xdr:from>
    <xdr:to>
      <xdr:col>4</xdr:col>
      <xdr:colOff>204952</xdr:colOff>
      <xdr:row>56</xdr:row>
      <xdr:rowOff>32844</xdr:rowOff>
    </xdr:to>
    <xdr:cxnSp macro="">
      <xdr:nvCxnSpPr>
        <xdr:cNvPr id="53" name="Łącznik prosty 52">
          <a:extLst>
            <a:ext uri="{FF2B5EF4-FFF2-40B4-BE49-F238E27FC236}">
              <a16:creationId xmlns:a16="http://schemas.microsoft.com/office/drawing/2014/main" id="{D32CBA7B-D4F7-4B05-91B9-D2745E418F0C}"/>
            </a:ext>
          </a:extLst>
        </xdr:cNvPr>
        <xdr:cNvCxnSpPr/>
      </xdr:nvCxnSpPr>
      <xdr:spPr>
        <a:xfrm flipH="1">
          <a:off x="3593224" y="13529441"/>
          <a:ext cx="1314" cy="482162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742293</xdr:colOff>
      <xdr:row>53</xdr:row>
      <xdr:rowOff>57806</xdr:rowOff>
    </xdr:from>
    <xdr:to>
      <xdr:col>3</xdr:col>
      <xdr:colOff>742293</xdr:colOff>
      <xdr:row>54</xdr:row>
      <xdr:rowOff>78828</xdr:rowOff>
    </xdr:to>
    <xdr:cxnSp macro="">
      <xdr:nvCxnSpPr>
        <xdr:cNvPr id="65" name="Łącznik prosty 64">
          <a:extLst>
            <a:ext uri="{FF2B5EF4-FFF2-40B4-BE49-F238E27FC236}">
              <a16:creationId xmlns:a16="http://schemas.microsoft.com/office/drawing/2014/main" id="{FF53AEBC-9DED-4C8A-B335-359D0055276F}"/>
            </a:ext>
          </a:extLst>
        </xdr:cNvPr>
        <xdr:cNvCxnSpPr/>
      </xdr:nvCxnSpPr>
      <xdr:spPr>
        <a:xfrm flipH="1">
          <a:off x="3284483" y="13287703"/>
          <a:ext cx="0" cy="270642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716017</xdr:colOff>
      <xdr:row>53</xdr:row>
      <xdr:rowOff>59120</xdr:rowOff>
    </xdr:from>
    <xdr:to>
      <xdr:col>3</xdr:col>
      <xdr:colOff>717331</xdr:colOff>
      <xdr:row>54</xdr:row>
      <xdr:rowOff>210207</xdr:rowOff>
    </xdr:to>
    <xdr:cxnSp macro="">
      <xdr:nvCxnSpPr>
        <xdr:cNvPr id="66" name="Łącznik prosty 65">
          <a:extLst>
            <a:ext uri="{FF2B5EF4-FFF2-40B4-BE49-F238E27FC236}">
              <a16:creationId xmlns:a16="http://schemas.microsoft.com/office/drawing/2014/main" id="{A6A0D071-54A2-4E17-8E7D-7F084125FD5A}"/>
            </a:ext>
          </a:extLst>
        </xdr:cNvPr>
        <xdr:cNvCxnSpPr/>
      </xdr:nvCxnSpPr>
      <xdr:spPr>
        <a:xfrm flipH="1">
          <a:off x="3258207" y="13289017"/>
          <a:ext cx="1314" cy="400707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618796</xdr:colOff>
      <xdr:row>54</xdr:row>
      <xdr:rowOff>1314</xdr:rowOff>
    </xdr:from>
    <xdr:to>
      <xdr:col>3</xdr:col>
      <xdr:colOff>620110</xdr:colOff>
      <xdr:row>55</xdr:row>
      <xdr:rowOff>152400</xdr:rowOff>
    </xdr:to>
    <xdr:cxnSp macro="">
      <xdr:nvCxnSpPr>
        <xdr:cNvPr id="67" name="Łącznik prosty 66">
          <a:extLst>
            <a:ext uri="{FF2B5EF4-FFF2-40B4-BE49-F238E27FC236}">
              <a16:creationId xmlns:a16="http://schemas.microsoft.com/office/drawing/2014/main" id="{D397FC1A-FF66-426F-BE38-7875E3249DB2}"/>
            </a:ext>
          </a:extLst>
        </xdr:cNvPr>
        <xdr:cNvCxnSpPr/>
      </xdr:nvCxnSpPr>
      <xdr:spPr>
        <a:xfrm flipH="1">
          <a:off x="3160986" y="13480831"/>
          <a:ext cx="1314" cy="400707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512379</xdr:colOff>
      <xdr:row>54</xdr:row>
      <xdr:rowOff>2628</xdr:rowOff>
    </xdr:from>
    <xdr:to>
      <xdr:col>3</xdr:col>
      <xdr:colOff>512379</xdr:colOff>
      <xdr:row>55</xdr:row>
      <xdr:rowOff>45983</xdr:rowOff>
    </xdr:to>
    <xdr:cxnSp macro="">
      <xdr:nvCxnSpPr>
        <xdr:cNvPr id="68" name="Łącznik prosty 67">
          <a:extLst>
            <a:ext uri="{FF2B5EF4-FFF2-40B4-BE49-F238E27FC236}">
              <a16:creationId xmlns:a16="http://schemas.microsoft.com/office/drawing/2014/main" id="{94170104-C353-4010-943F-866E00A56B9F}"/>
            </a:ext>
          </a:extLst>
        </xdr:cNvPr>
        <xdr:cNvCxnSpPr/>
      </xdr:nvCxnSpPr>
      <xdr:spPr>
        <a:xfrm flipH="1">
          <a:off x="3054569" y="13482145"/>
          <a:ext cx="0" cy="292976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413844</xdr:colOff>
      <xdr:row>50</xdr:row>
      <xdr:rowOff>102477</xdr:rowOff>
    </xdr:from>
    <xdr:to>
      <xdr:col>3</xdr:col>
      <xdr:colOff>415158</xdr:colOff>
      <xdr:row>54</xdr:row>
      <xdr:rowOff>157655</xdr:rowOff>
    </xdr:to>
    <xdr:cxnSp macro="">
      <xdr:nvCxnSpPr>
        <xdr:cNvPr id="69" name="Łącznik prosty 68">
          <a:extLst>
            <a:ext uri="{FF2B5EF4-FFF2-40B4-BE49-F238E27FC236}">
              <a16:creationId xmlns:a16="http://schemas.microsoft.com/office/drawing/2014/main" id="{BC63E74B-048E-48A9-8EB8-542E07654D64}"/>
            </a:ext>
          </a:extLst>
        </xdr:cNvPr>
        <xdr:cNvCxnSpPr/>
      </xdr:nvCxnSpPr>
      <xdr:spPr>
        <a:xfrm flipH="1">
          <a:off x="2956034" y="12583511"/>
          <a:ext cx="1314" cy="1053661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436178</xdr:colOff>
      <xdr:row>53</xdr:row>
      <xdr:rowOff>136634</xdr:rowOff>
    </xdr:from>
    <xdr:to>
      <xdr:col>3</xdr:col>
      <xdr:colOff>436178</xdr:colOff>
      <xdr:row>54</xdr:row>
      <xdr:rowOff>177362</xdr:rowOff>
    </xdr:to>
    <xdr:cxnSp macro="">
      <xdr:nvCxnSpPr>
        <xdr:cNvPr id="70" name="Łącznik prosty 69">
          <a:extLst>
            <a:ext uri="{FF2B5EF4-FFF2-40B4-BE49-F238E27FC236}">
              <a16:creationId xmlns:a16="http://schemas.microsoft.com/office/drawing/2014/main" id="{4BDF587C-CFEE-4C9F-873F-0C9C8E205C5F}"/>
            </a:ext>
          </a:extLst>
        </xdr:cNvPr>
        <xdr:cNvCxnSpPr/>
      </xdr:nvCxnSpPr>
      <xdr:spPr>
        <a:xfrm>
          <a:off x="2978368" y="13366531"/>
          <a:ext cx="0" cy="290348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371802</xdr:colOff>
      <xdr:row>53</xdr:row>
      <xdr:rowOff>223344</xdr:rowOff>
    </xdr:from>
    <xdr:to>
      <xdr:col>3</xdr:col>
      <xdr:colOff>371802</xdr:colOff>
      <xdr:row>54</xdr:row>
      <xdr:rowOff>216776</xdr:rowOff>
    </xdr:to>
    <xdr:cxnSp macro="">
      <xdr:nvCxnSpPr>
        <xdr:cNvPr id="71" name="Łącznik prosty 70">
          <a:extLst>
            <a:ext uri="{FF2B5EF4-FFF2-40B4-BE49-F238E27FC236}">
              <a16:creationId xmlns:a16="http://schemas.microsoft.com/office/drawing/2014/main" id="{DC10D486-653B-4F88-9EB1-012AFE47A234}"/>
            </a:ext>
          </a:extLst>
        </xdr:cNvPr>
        <xdr:cNvCxnSpPr/>
      </xdr:nvCxnSpPr>
      <xdr:spPr>
        <a:xfrm>
          <a:off x="2913992" y="13453241"/>
          <a:ext cx="0" cy="243052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597776</xdr:colOff>
      <xdr:row>58</xdr:row>
      <xdr:rowOff>73572</xdr:rowOff>
    </xdr:from>
    <xdr:to>
      <xdr:col>2</xdr:col>
      <xdr:colOff>597776</xdr:colOff>
      <xdr:row>61</xdr:row>
      <xdr:rowOff>164224</xdr:rowOff>
    </xdr:to>
    <xdr:cxnSp macro="">
      <xdr:nvCxnSpPr>
        <xdr:cNvPr id="72" name="Łącznik prosty 71">
          <a:extLst>
            <a:ext uri="{FF2B5EF4-FFF2-40B4-BE49-F238E27FC236}">
              <a16:creationId xmlns:a16="http://schemas.microsoft.com/office/drawing/2014/main" id="{01B6A638-41A3-40DD-B25D-6D5EBAAE283A}"/>
            </a:ext>
          </a:extLst>
        </xdr:cNvPr>
        <xdr:cNvCxnSpPr/>
      </xdr:nvCxnSpPr>
      <xdr:spPr>
        <a:xfrm flipH="1">
          <a:off x="2292569" y="14551572"/>
          <a:ext cx="0" cy="839514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137948</xdr:colOff>
      <xdr:row>54</xdr:row>
      <xdr:rowOff>94593</xdr:rowOff>
    </xdr:from>
    <xdr:to>
      <xdr:col>3</xdr:col>
      <xdr:colOff>139262</xdr:colOff>
      <xdr:row>54</xdr:row>
      <xdr:rowOff>164224</xdr:rowOff>
    </xdr:to>
    <xdr:cxnSp macro="">
      <xdr:nvCxnSpPr>
        <xdr:cNvPr id="73" name="Łącznik prosty 72">
          <a:extLst>
            <a:ext uri="{FF2B5EF4-FFF2-40B4-BE49-F238E27FC236}">
              <a16:creationId xmlns:a16="http://schemas.microsoft.com/office/drawing/2014/main" id="{76A580D1-E5C3-4C4B-85BB-06D16C3770D9}"/>
            </a:ext>
          </a:extLst>
        </xdr:cNvPr>
        <xdr:cNvCxnSpPr/>
      </xdr:nvCxnSpPr>
      <xdr:spPr>
        <a:xfrm flipH="1">
          <a:off x="2680138" y="13574110"/>
          <a:ext cx="1314" cy="69631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597775</xdr:colOff>
      <xdr:row>51</xdr:row>
      <xdr:rowOff>11825</xdr:rowOff>
    </xdr:from>
    <xdr:to>
      <xdr:col>1</xdr:col>
      <xdr:colOff>597775</xdr:colOff>
      <xdr:row>54</xdr:row>
      <xdr:rowOff>111673</xdr:rowOff>
    </xdr:to>
    <xdr:cxnSp macro="">
      <xdr:nvCxnSpPr>
        <xdr:cNvPr id="74" name="Łącznik prosty 73">
          <a:extLst>
            <a:ext uri="{FF2B5EF4-FFF2-40B4-BE49-F238E27FC236}">
              <a16:creationId xmlns:a16="http://schemas.microsoft.com/office/drawing/2014/main" id="{FE085449-B317-441B-91A5-DF718012B9C5}"/>
            </a:ext>
          </a:extLst>
        </xdr:cNvPr>
        <xdr:cNvCxnSpPr/>
      </xdr:nvCxnSpPr>
      <xdr:spPr>
        <a:xfrm flipH="1">
          <a:off x="1445172" y="12742480"/>
          <a:ext cx="0" cy="848710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755431</xdr:colOff>
      <xdr:row>45</xdr:row>
      <xdr:rowOff>236483</xdr:rowOff>
    </xdr:from>
    <xdr:to>
      <xdr:col>1</xdr:col>
      <xdr:colOff>756744</xdr:colOff>
      <xdr:row>54</xdr:row>
      <xdr:rowOff>40728</xdr:rowOff>
    </xdr:to>
    <xdr:cxnSp macro="">
      <xdr:nvCxnSpPr>
        <xdr:cNvPr id="75" name="Łącznik prosty 74">
          <a:extLst>
            <a:ext uri="{FF2B5EF4-FFF2-40B4-BE49-F238E27FC236}">
              <a16:creationId xmlns:a16="http://schemas.microsoft.com/office/drawing/2014/main" id="{DD2FE353-DA76-48DC-87A4-E03CD837E954}"/>
            </a:ext>
          </a:extLst>
        </xdr:cNvPr>
        <xdr:cNvCxnSpPr/>
      </xdr:nvCxnSpPr>
      <xdr:spPr>
        <a:xfrm>
          <a:off x="1602828" y="11469414"/>
          <a:ext cx="1313" cy="2050831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65690</xdr:colOff>
      <xdr:row>49</xdr:row>
      <xdr:rowOff>7883</xdr:rowOff>
    </xdr:from>
    <xdr:to>
      <xdr:col>2</xdr:col>
      <xdr:colOff>67004</xdr:colOff>
      <xdr:row>54</xdr:row>
      <xdr:rowOff>52552</xdr:rowOff>
    </xdr:to>
    <xdr:cxnSp macro="">
      <xdr:nvCxnSpPr>
        <xdr:cNvPr id="77" name="Łącznik prosty 76">
          <a:extLst>
            <a:ext uri="{FF2B5EF4-FFF2-40B4-BE49-F238E27FC236}">
              <a16:creationId xmlns:a16="http://schemas.microsoft.com/office/drawing/2014/main" id="{4ECA0E88-16D2-4384-96AC-F1BB17F97DE9}"/>
            </a:ext>
          </a:extLst>
        </xdr:cNvPr>
        <xdr:cNvCxnSpPr/>
      </xdr:nvCxnSpPr>
      <xdr:spPr>
        <a:xfrm flipH="1">
          <a:off x="1760483" y="12239297"/>
          <a:ext cx="1314" cy="1292772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797472</xdr:colOff>
      <xdr:row>55</xdr:row>
      <xdr:rowOff>147145</xdr:rowOff>
    </xdr:from>
    <xdr:to>
      <xdr:col>1</xdr:col>
      <xdr:colOff>797472</xdr:colOff>
      <xdr:row>59</xdr:row>
      <xdr:rowOff>0</xdr:rowOff>
    </xdr:to>
    <xdr:cxnSp macro="">
      <xdr:nvCxnSpPr>
        <xdr:cNvPr id="79" name="Łącznik prosty 78">
          <a:extLst>
            <a:ext uri="{FF2B5EF4-FFF2-40B4-BE49-F238E27FC236}">
              <a16:creationId xmlns:a16="http://schemas.microsoft.com/office/drawing/2014/main" id="{CFF92249-27A9-4AEC-ABA8-A51F4E16F9F0}"/>
            </a:ext>
          </a:extLst>
        </xdr:cNvPr>
        <xdr:cNvCxnSpPr/>
      </xdr:nvCxnSpPr>
      <xdr:spPr>
        <a:xfrm>
          <a:off x="1644869" y="13876283"/>
          <a:ext cx="0" cy="851338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246993</xdr:colOff>
      <xdr:row>54</xdr:row>
      <xdr:rowOff>23648</xdr:rowOff>
    </xdr:from>
    <xdr:to>
      <xdr:col>2</xdr:col>
      <xdr:colOff>249621</xdr:colOff>
      <xdr:row>56</xdr:row>
      <xdr:rowOff>59120</xdr:rowOff>
    </xdr:to>
    <xdr:cxnSp macro="">
      <xdr:nvCxnSpPr>
        <xdr:cNvPr id="81" name="Łącznik prosty 80">
          <a:extLst>
            <a:ext uri="{FF2B5EF4-FFF2-40B4-BE49-F238E27FC236}">
              <a16:creationId xmlns:a16="http://schemas.microsoft.com/office/drawing/2014/main" id="{9D4FB63C-7CD4-4DB7-93B6-9CC75C212D90}"/>
            </a:ext>
          </a:extLst>
        </xdr:cNvPr>
        <xdr:cNvCxnSpPr/>
      </xdr:nvCxnSpPr>
      <xdr:spPr>
        <a:xfrm>
          <a:off x="1941786" y="13503165"/>
          <a:ext cx="2628" cy="534714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405962</xdr:colOff>
      <xdr:row>53</xdr:row>
      <xdr:rowOff>195754</xdr:rowOff>
    </xdr:from>
    <xdr:to>
      <xdr:col>2</xdr:col>
      <xdr:colOff>407276</xdr:colOff>
      <xdr:row>55</xdr:row>
      <xdr:rowOff>118241</xdr:rowOff>
    </xdr:to>
    <xdr:cxnSp macro="">
      <xdr:nvCxnSpPr>
        <xdr:cNvPr id="83" name="Łącznik prosty 82">
          <a:extLst>
            <a:ext uri="{FF2B5EF4-FFF2-40B4-BE49-F238E27FC236}">
              <a16:creationId xmlns:a16="http://schemas.microsoft.com/office/drawing/2014/main" id="{280E5EDA-4248-4966-A249-97A1BC5B21D2}"/>
            </a:ext>
          </a:extLst>
        </xdr:cNvPr>
        <xdr:cNvCxnSpPr/>
      </xdr:nvCxnSpPr>
      <xdr:spPr>
        <a:xfrm>
          <a:off x="2100755" y="13425651"/>
          <a:ext cx="1314" cy="421728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656897</xdr:colOff>
      <xdr:row>51</xdr:row>
      <xdr:rowOff>151086</xdr:rowOff>
    </xdr:from>
    <xdr:to>
      <xdr:col>2</xdr:col>
      <xdr:colOff>658211</xdr:colOff>
      <xdr:row>54</xdr:row>
      <xdr:rowOff>178676</xdr:rowOff>
    </xdr:to>
    <xdr:cxnSp macro="">
      <xdr:nvCxnSpPr>
        <xdr:cNvPr id="85" name="Łącznik prosty 84">
          <a:extLst>
            <a:ext uri="{FF2B5EF4-FFF2-40B4-BE49-F238E27FC236}">
              <a16:creationId xmlns:a16="http://schemas.microsoft.com/office/drawing/2014/main" id="{F03AE8D6-DF3B-4D8A-9711-9FE53A6D42DD}"/>
            </a:ext>
          </a:extLst>
        </xdr:cNvPr>
        <xdr:cNvCxnSpPr/>
      </xdr:nvCxnSpPr>
      <xdr:spPr>
        <a:xfrm>
          <a:off x="2351690" y="12881741"/>
          <a:ext cx="1314" cy="776452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702879</xdr:colOff>
      <xdr:row>50</xdr:row>
      <xdr:rowOff>231228</xdr:rowOff>
    </xdr:from>
    <xdr:to>
      <xdr:col>2</xdr:col>
      <xdr:colOff>702879</xdr:colOff>
      <xdr:row>54</xdr:row>
      <xdr:rowOff>197069</xdr:rowOff>
    </xdr:to>
    <xdr:cxnSp macro="">
      <xdr:nvCxnSpPr>
        <xdr:cNvPr id="88" name="Łącznik prosty 87">
          <a:extLst>
            <a:ext uri="{FF2B5EF4-FFF2-40B4-BE49-F238E27FC236}">
              <a16:creationId xmlns:a16="http://schemas.microsoft.com/office/drawing/2014/main" id="{ED5CFB71-2F90-4DBB-A0B5-2BDE6A96BCD7}"/>
            </a:ext>
          </a:extLst>
        </xdr:cNvPr>
        <xdr:cNvCxnSpPr/>
      </xdr:nvCxnSpPr>
      <xdr:spPr>
        <a:xfrm flipH="1">
          <a:off x="2397672" y="12712262"/>
          <a:ext cx="0" cy="964324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13138</xdr:colOff>
      <xdr:row>53</xdr:row>
      <xdr:rowOff>74886</xdr:rowOff>
    </xdr:from>
    <xdr:to>
      <xdr:col>3</xdr:col>
      <xdr:colOff>14451</xdr:colOff>
      <xdr:row>55</xdr:row>
      <xdr:rowOff>32845</xdr:rowOff>
    </xdr:to>
    <xdr:cxnSp macro="">
      <xdr:nvCxnSpPr>
        <xdr:cNvPr id="90" name="Łącznik prosty 89">
          <a:extLst>
            <a:ext uri="{FF2B5EF4-FFF2-40B4-BE49-F238E27FC236}">
              <a16:creationId xmlns:a16="http://schemas.microsoft.com/office/drawing/2014/main" id="{983968B3-0DD5-4AAA-9CCF-B9B351ACFD3D}"/>
            </a:ext>
          </a:extLst>
        </xdr:cNvPr>
        <xdr:cNvCxnSpPr/>
      </xdr:nvCxnSpPr>
      <xdr:spPr>
        <a:xfrm flipH="1">
          <a:off x="2555328" y="13304783"/>
          <a:ext cx="1313" cy="457200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68317</xdr:colOff>
      <xdr:row>54</xdr:row>
      <xdr:rowOff>122183</xdr:rowOff>
    </xdr:from>
    <xdr:to>
      <xdr:col>3</xdr:col>
      <xdr:colOff>68317</xdr:colOff>
      <xdr:row>55</xdr:row>
      <xdr:rowOff>183931</xdr:rowOff>
    </xdr:to>
    <xdr:cxnSp macro="">
      <xdr:nvCxnSpPr>
        <xdr:cNvPr id="92" name="Łącznik prosty 91">
          <a:extLst>
            <a:ext uri="{FF2B5EF4-FFF2-40B4-BE49-F238E27FC236}">
              <a16:creationId xmlns:a16="http://schemas.microsoft.com/office/drawing/2014/main" id="{7F779327-BED1-4DBF-A29C-3E4AD3F891F0}"/>
            </a:ext>
          </a:extLst>
        </xdr:cNvPr>
        <xdr:cNvCxnSpPr/>
      </xdr:nvCxnSpPr>
      <xdr:spPr>
        <a:xfrm>
          <a:off x="2610507" y="13601700"/>
          <a:ext cx="0" cy="311369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102475</xdr:colOff>
      <xdr:row>51</xdr:row>
      <xdr:rowOff>124811</xdr:rowOff>
    </xdr:from>
    <xdr:to>
      <xdr:col>3</xdr:col>
      <xdr:colOff>102475</xdr:colOff>
      <xdr:row>54</xdr:row>
      <xdr:rowOff>231228</xdr:rowOff>
    </xdr:to>
    <xdr:cxnSp macro="">
      <xdr:nvCxnSpPr>
        <xdr:cNvPr id="94" name="Łącznik prosty 93">
          <a:extLst>
            <a:ext uri="{FF2B5EF4-FFF2-40B4-BE49-F238E27FC236}">
              <a16:creationId xmlns:a16="http://schemas.microsoft.com/office/drawing/2014/main" id="{F23B3856-7CAF-408A-8134-C17E83D5BA54}"/>
            </a:ext>
          </a:extLst>
        </xdr:cNvPr>
        <xdr:cNvCxnSpPr/>
      </xdr:nvCxnSpPr>
      <xdr:spPr>
        <a:xfrm flipH="1">
          <a:off x="2644665" y="12855466"/>
          <a:ext cx="0" cy="855279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324971</xdr:colOff>
      <xdr:row>60</xdr:row>
      <xdr:rowOff>145676</xdr:rowOff>
    </xdr:from>
    <xdr:to>
      <xdr:col>2</xdr:col>
      <xdr:colOff>141798</xdr:colOff>
      <xdr:row>61</xdr:row>
      <xdr:rowOff>226274</xdr:rowOff>
    </xdr:to>
    <xdr:sp macro="" textlink="">
      <xdr:nvSpPr>
        <xdr:cNvPr id="98" name="pole tekstowe 97">
          <a:extLst>
            <a:ext uri="{FF2B5EF4-FFF2-40B4-BE49-F238E27FC236}">
              <a16:creationId xmlns:a16="http://schemas.microsoft.com/office/drawing/2014/main" id="{DABF91B2-AEA4-4DB7-9364-EE5F67EEC8D0}"/>
            </a:ext>
          </a:extLst>
        </xdr:cNvPr>
        <xdr:cNvSpPr txBox="1"/>
      </xdr:nvSpPr>
      <xdr:spPr>
        <a:xfrm>
          <a:off x="1176618" y="14937441"/>
          <a:ext cx="668474" cy="3271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200">
              <a:latin typeface="Courier New" panose="02070309020205020404" pitchFamily="49" charset="0"/>
              <a:cs typeface="Courier New" panose="02070309020205020404" pitchFamily="49" charset="0"/>
            </a:rPr>
            <a:t>vwIII</a:t>
          </a:r>
          <a:endParaRPr lang="pl-PL" sz="110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4</xdr:col>
      <xdr:colOff>1082489</xdr:colOff>
      <xdr:row>54</xdr:row>
      <xdr:rowOff>96371</xdr:rowOff>
    </xdr:from>
    <xdr:to>
      <xdr:col>5</xdr:col>
      <xdr:colOff>294198</xdr:colOff>
      <xdr:row>55</xdr:row>
      <xdr:rowOff>176968</xdr:rowOff>
    </xdr:to>
    <xdr:sp macro="" textlink="">
      <xdr:nvSpPr>
        <xdr:cNvPr id="99" name="pole tekstowe 98">
          <a:extLst>
            <a:ext uri="{FF2B5EF4-FFF2-40B4-BE49-F238E27FC236}">
              <a16:creationId xmlns:a16="http://schemas.microsoft.com/office/drawing/2014/main" id="{48C21B34-1904-43B8-90A8-FC3151D105B6}"/>
            </a:ext>
          </a:extLst>
        </xdr:cNvPr>
        <xdr:cNvSpPr txBox="1"/>
      </xdr:nvSpPr>
      <xdr:spPr>
        <a:xfrm>
          <a:off x="4489077" y="13408959"/>
          <a:ext cx="668474" cy="3271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200">
              <a:latin typeface="Courier New" panose="02070309020205020404" pitchFamily="49" charset="0"/>
              <a:cs typeface="Courier New" panose="02070309020205020404" pitchFamily="49" charset="0"/>
            </a:rPr>
            <a:t>vwI</a:t>
          </a:r>
          <a:endParaRPr lang="en-GB" sz="120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2</xdr:col>
      <xdr:colOff>551716</xdr:colOff>
      <xdr:row>45</xdr:row>
      <xdr:rowOff>87638</xdr:rowOff>
    </xdr:from>
    <xdr:to>
      <xdr:col>3</xdr:col>
      <xdr:colOff>374339</xdr:colOff>
      <xdr:row>46</xdr:row>
      <xdr:rowOff>168236</xdr:rowOff>
    </xdr:to>
    <xdr:sp macro="" textlink="">
      <xdr:nvSpPr>
        <xdr:cNvPr id="100" name="pole tekstowe 99">
          <a:extLst>
            <a:ext uri="{FF2B5EF4-FFF2-40B4-BE49-F238E27FC236}">
              <a16:creationId xmlns:a16="http://schemas.microsoft.com/office/drawing/2014/main" id="{32AD6413-4D38-4D76-A1B7-6990B357E5B8}"/>
            </a:ext>
          </a:extLst>
        </xdr:cNvPr>
        <xdr:cNvSpPr txBox="1"/>
      </xdr:nvSpPr>
      <xdr:spPr>
        <a:xfrm>
          <a:off x="2246509" y="11320569"/>
          <a:ext cx="670020" cy="3302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200">
              <a:latin typeface="Courier New" panose="02070309020205020404" pitchFamily="49" charset="0"/>
              <a:cs typeface="Courier New" panose="02070309020205020404" pitchFamily="49" charset="0"/>
            </a:rPr>
            <a:t>vwI</a:t>
          </a:r>
          <a:r>
            <a:rPr lang="en-GB" sz="1200">
              <a:latin typeface="Courier New" panose="02070309020205020404" pitchFamily="49" charset="0"/>
              <a:cs typeface="Courier New" panose="02070309020205020404" pitchFamily="49" charset="0"/>
            </a:rPr>
            <a:t>I</a:t>
          </a: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0.50136</cdr:x>
      <cdr:y>0.02825</cdr:y>
    </cdr:from>
    <cdr:to>
      <cdr:x>0.50136</cdr:x>
      <cdr:y>0.96335</cdr:y>
    </cdr:to>
    <cdr:cxnSp macro="">
      <cdr:nvCxnSpPr>
        <cdr:cNvPr id="3" name="Łącznik prosty ze strzałką 2">
          <a:extLst xmlns:a="http://schemas.openxmlformats.org/drawingml/2006/main">
            <a:ext uri="{FF2B5EF4-FFF2-40B4-BE49-F238E27FC236}">
              <a16:creationId xmlns:a16="http://schemas.microsoft.com/office/drawing/2014/main" id="{6B232AB2-1A28-C28E-266A-30326F0EDA09}"/>
            </a:ext>
          </a:extLst>
        </cdr:cNvPr>
        <cdr:cNvCxnSpPr/>
      </cdr:nvCxnSpPr>
      <cdr:spPr>
        <a:xfrm xmlns:a="http://schemas.openxmlformats.org/drawingml/2006/main" flipV="1">
          <a:off x="2520461" y="143989"/>
          <a:ext cx="0" cy="4766400"/>
        </a:xfrm>
        <a:prstGeom xmlns:a="http://schemas.openxmlformats.org/drawingml/2006/main" prst="straightConnector1">
          <a:avLst/>
        </a:prstGeom>
        <a:ln xmlns:a="http://schemas.openxmlformats.org/drawingml/2006/main" w="9525">
          <a:solidFill>
            <a:schemeClr val="tx1">
              <a:lumMod val="50000"/>
              <a:lumOff val="50000"/>
            </a:schemeClr>
          </a:solidFill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20B803-6FA9-420C-8786-20192F1E51C7}" name="Tabela1" displayName="Tabela1" ref="B6:K31" totalsRowShown="0" headerRowDxfId="27" dataDxfId="25" headerRowBorderDxfId="26" tableBorderDxfId="24" totalsRowBorderDxfId="23">
  <autoFilter ref="B6:K31" xr:uid="{9320B803-6FA9-420C-8786-20192F1E51C7}"/>
  <tableColumns count="10">
    <tableColumn id="1" xr3:uid="{E607F367-822D-44D5-B2EE-ED7EA27B9220}" name="l.p" dataDxfId="22"/>
    <tableColumn id="2" xr3:uid="{318167D4-8773-4FCA-BB56-5B5F8DD5AD5B}" name="Karty" dataDxfId="21">
      <calculatedColumnFormula>M7</calculatedColumnFormula>
    </tableColumn>
    <tableColumn id="3" xr3:uid="{CB673AB4-C24A-49AE-98C1-3299AB680D78}" name="KOS" dataDxfId="20"/>
    <tableColumn id="4" xr3:uid="{3674EFCB-22E5-49A8-9963-169BBECCAD9E}" name="UDZ" dataDxfId="19"/>
    <tableColumn id="5" xr3:uid="{C8A13048-2907-489A-B603-27DD7009F75F}" name="WIK" dataDxfId="18"/>
    <tableColumn id="6" xr3:uid="{B13F04A5-AAD8-4B1C-A21A-53C5BAC671E5}" name="BEC" dataDxfId="17"/>
    <tableColumn id="7" xr3:uid="{F9A06E0D-73E3-40E0-9FC2-A68889B2F23E}" name="MOC" dataDxfId="16"/>
    <tableColumn id="8" xr3:uid="{3F21B681-3545-4697-8777-235616C3BAD4}" name="ZEG" dataDxfId="15"/>
    <tableColumn id="9" xr3:uid="{47FAB53A-25B6-4093-BA24-D845479AC306}" name="PRP" dataDxfId="14"/>
    <tableColumn id="10" xr3:uid="{85DADF77-13E5-4C91-BC77-F1BBDBFDD154}" name="FPS" dataDxfId="13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>
    <outlinePr summaryBelow="0" summaryRight="0"/>
  </sheetPr>
  <dimension ref="A1:AL61"/>
  <sheetViews>
    <sheetView topLeftCell="A16" zoomScale="70" zoomScaleNormal="70" workbookViewId="0">
      <selection activeCell="Q36" sqref="Q36"/>
    </sheetView>
  </sheetViews>
  <sheetFormatPr defaultColWidth="12.5703125" defaultRowHeight="15.75" customHeight="1" x14ac:dyDescent="0.2"/>
  <cols>
    <col min="1" max="2" width="12.5703125" style="10"/>
    <col min="3" max="3" width="14.28515625" style="10" bestFit="1" customWidth="1"/>
    <col min="4" max="4" width="16.140625" style="10" bestFit="1" customWidth="1"/>
    <col min="5" max="6" width="13" style="10" bestFit="1" customWidth="1"/>
    <col min="7" max="7" width="16.7109375" style="10" bestFit="1" customWidth="1"/>
    <col min="8" max="8" width="37" style="10" bestFit="1" customWidth="1"/>
    <col min="9" max="9" width="13" style="10" bestFit="1" customWidth="1"/>
    <col min="10" max="10" width="20.28515625" style="10" customWidth="1"/>
    <col min="11" max="11" width="17.7109375" style="10" customWidth="1"/>
    <col min="12" max="12" width="12.5703125" style="10"/>
    <col min="13" max="13" width="13.42578125" style="10" bestFit="1" customWidth="1"/>
    <col min="14" max="17" width="12.5703125" style="10"/>
    <col min="18" max="18" width="51.7109375" style="10" bestFit="1" customWidth="1"/>
    <col min="19" max="16384" width="12.5703125" style="10"/>
  </cols>
  <sheetData>
    <row r="1" spans="1:20" ht="15.75" customHeight="1" x14ac:dyDescent="0.2">
      <c r="A1" s="10" t="s">
        <v>70</v>
      </c>
    </row>
    <row r="2" spans="1:20" ht="15.75" customHeight="1" x14ac:dyDescent="0.2">
      <c r="B2" s="11"/>
      <c r="C2" s="11"/>
      <c r="D2" s="186" t="s">
        <v>18</v>
      </c>
      <c r="E2" s="187"/>
      <c r="F2" s="187"/>
      <c r="G2" s="187"/>
      <c r="H2" s="187"/>
      <c r="I2" s="187"/>
      <c r="J2" s="11"/>
      <c r="K2" s="11"/>
    </row>
    <row r="3" spans="1:20" ht="15.75" customHeight="1" x14ac:dyDescent="0.2">
      <c r="B3" s="11"/>
      <c r="C3" s="188" t="s">
        <v>0</v>
      </c>
      <c r="D3" s="187"/>
      <c r="E3" s="189">
        <f>DATE(2024,3,3)</f>
        <v>45354</v>
      </c>
      <c r="F3" s="187"/>
      <c r="G3" s="188" t="s">
        <v>1</v>
      </c>
      <c r="H3" s="187"/>
      <c r="I3" s="187"/>
      <c r="J3" s="189">
        <f ca="1">TODAY()</f>
        <v>45451</v>
      </c>
      <c r="K3" s="187"/>
    </row>
    <row r="4" spans="1:20" ht="15.75" customHeight="1" x14ac:dyDescent="0.2">
      <c r="B4" s="11"/>
      <c r="C4" s="188" t="s">
        <v>8</v>
      </c>
      <c r="D4" s="187"/>
      <c r="E4" s="190" t="s">
        <v>9</v>
      </c>
      <c r="F4" s="187"/>
      <c r="G4" s="11"/>
      <c r="H4" s="11"/>
      <c r="I4" s="11"/>
      <c r="J4" s="11"/>
      <c r="K4" s="11"/>
      <c r="S4" s="11"/>
      <c r="T4" s="11"/>
    </row>
    <row r="5" spans="1:20" ht="15.75" customHeight="1" x14ac:dyDescent="0.2">
      <c r="B5" s="11"/>
      <c r="C5" s="11"/>
      <c r="D5" s="11"/>
      <c r="E5" s="11"/>
      <c r="F5" s="11"/>
      <c r="G5" s="11"/>
      <c r="H5" s="11"/>
      <c r="I5" s="11"/>
      <c r="J5" s="11"/>
      <c r="K5" s="11"/>
      <c r="M5" s="12" t="s">
        <v>3</v>
      </c>
      <c r="N5" s="194" t="s">
        <v>69</v>
      </c>
      <c r="O5" s="194"/>
      <c r="P5" s="194"/>
      <c r="Q5" s="194"/>
      <c r="R5" s="194"/>
      <c r="S5" s="11"/>
      <c r="T5" s="11"/>
    </row>
    <row r="6" spans="1:20" ht="15.75" customHeight="1" x14ac:dyDescent="0.2">
      <c r="B6" s="13" t="s">
        <v>2</v>
      </c>
      <c r="C6" s="14" t="s">
        <v>22</v>
      </c>
      <c r="D6" s="15" t="s">
        <v>86</v>
      </c>
      <c r="E6" s="15" t="s">
        <v>87</v>
      </c>
      <c r="F6" s="15" t="s">
        <v>88</v>
      </c>
      <c r="G6" s="15" t="s">
        <v>89</v>
      </c>
      <c r="H6" s="15" t="s">
        <v>90</v>
      </c>
      <c r="I6" s="15" t="s">
        <v>91</v>
      </c>
      <c r="J6" s="15" t="s">
        <v>92</v>
      </c>
      <c r="K6" s="16" t="s">
        <v>93</v>
      </c>
      <c r="M6" s="191" t="s">
        <v>4</v>
      </c>
      <c r="N6" s="192"/>
      <c r="O6" s="192"/>
      <c r="P6" s="192"/>
      <c r="Q6" s="192"/>
      <c r="R6" s="192"/>
      <c r="S6" s="192"/>
      <c r="T6" s="192"/>
    </row>
    <row r="7" spans="1:20" ht="15.75" customHeight="1" x14ac:dyDescent="0.2">
      <c r="B7" s="18">
        <v>1</v>
      </c>
      <c r="C7" s="19" t="str">
        <f t="shared" ref="C7:C31" si="0">M7</f>
        <v>RTX4060</v>
      </c>
      <c r="D7" s="20">
        <v>1397</v>
      </c>
      <c r="E7" s="21">
        <v>2.0099999999999998</v>
      </c>
      <c r="F7" s="22">
        <v>8</v>
      </c>
      <c r="G7" s="22">
        <v>23687</v>
      </c>
      <c r="H7" s="22">
        <v>115</v>
      </c>
      <c r="I7" s="23">
        <v>1830</v>
      </c>
      <c r="J7" s="24">
        <v>272</v>
      </c>
      <c r="K7" s="25">
        <v>56</v>
      </c>
      <c r="M7" s="26" t="s">
        <v>28</v>
      </c>
      <c r="N7" s="193" t="s">
        <v>17</v>
      </c>
      <c r="O7" s="192"/>
      <c r="P7" s="27"/>
      <c r="Q7" s="28" t="s">
        <v>86</v>
      </c>
      <c r="R7" s="17" t="s">
        <v>10</v>
      </c>
      <c r="S7" s="29">
        <v>1</v>
      </c>
      <c r="T7" s="12"/>
    </row>
    <row r="8" spans="1:20" ht="15.75" customHeight="1" x14ac:dyDescent="0.2">
      <c r="B8" s="18">
        <v>2</v>
      </c>
      <c r="C8" s="19" t="str">
        <f t="shared" si="0"/>
        <v>RTX3060</v>
      </c>
      <c r="D8" s="20">
        <v>1422</v>
      </c>
      <c r="E8" s="21">
        <v>4.1900000000000004</v>
      </c>
      <c r="F8" s="22">
        <v>36</v>
      </c>
      <c r="G8" s="22">
        <v>447556</v>
      </c>
      <c r="H8" s="22">
        <v>170</v>
      </c>
      <c r="I8" s="23">
        <v>1320</v>
      </c>
      <c r="J8" s="24">
        <v>360</v>
      </c>
      <c r="K8" s="25">
        <v>48</v>
      </c>
      <c r="M8" s="26" t="s">
        <v>29</v>
      </c>
      <c r="N8" s="193" t="s">
        <v>23</v>
      </c>
      <c r="O8" s="192"/>
      <c r="P8" s="27"/>
      <c r="Q8" s="28" t="s">
        <v>87</v>
      </c>
      <c r="R8" s="17" t="s">
        <v>19</v>
      </c>
      <c r="S8" s="29">
        <v>1</v>
      </c>
      <c r="T8" s="17"/>
    </row>
    <row r="9" spans="1:20" ht="15.75" customHeight="1" x14ac:dyDescent="0.2">
      <c r="B9" s="18">
        <v>3</v>
      </c>
      <c r="C9" s="19" t="str">
        <f t="shared" si="0"/>
        <v>GTX1080</v>
      </c>
      <c r="D9" s="20">
        <v>1896</v>
      </c>
      <c r="E9" s="21">
        <v>1.86</v>
      </c>
      <c r="F9" s="22">
        <v>84</v>
      </c>
      <c r="G9" s="22">
        <v>1082454</v>
      </c>
      <c r="H9" s="22">
        <v>180</v>
      </c>
      <c r="I9" s="23">
        <v>1607</v>
      </c>
      <c r="J9" s="24">
        <v>320.3</v>
      </c>
      <c r="K9" s="25">
        <v>42</v>
      </c>
      <c r="M9" s="26" t="s">
        <v>30</v>
      </c>
      <c r="N9" s="193" t="s">
        <v>24</v>
      </c>
      <c r="O9" s="192"/>
      <c r="P9" s="27"/>
      <c r="Q9" s="17" t="s">
        <v>88</v>
      </c>
      <c r="R9" s="12" t="s">
        <v>20</v>
      </c>
      <c r="S9" s="29">
        <v>1</v>
      </c>
      <c r="T9" s="12"/>
    </row>
    <row r="10" spans="1:20" ht="15.75" customHeight="1" x14ac:dyDescent="0.2">
      <c r="B10" s="18">
        <v>4</v>
      </c>
      <c r="C10" s="19" t="str">
        <f t="shared" si="0"/>
        <v>RTX2060</v>
      </c>
      <c r="D10" s="20">
        <v>1537</v>
      </c>
      <c r="E10" s="21">
        <v>2.27</v>
      </c>
      <c r="F10" s="22">
        <v>60</v>
      </c>
      <c r="G10" s="22">
        <v>645160</v>
      </c>
      <c r="H10" s="22">
        <v>160</v>
      </c>
      <c r="I10" s="23">
        <v>1365</v>
      </c>
      <c r="J10" s="24">
        <v>336</v>
      </c>
      <c r="K10" s="25">
        <v>42</v>
      </c>
      <c r="M10" s="26" t="s">
        <v>31</v>
      </c>
      <c r="N10" s="193" t="s">
        <v>25</v>
      </c>
      <c r="O10" s="192"/>
      <c r="P10" s="27"/>
      <c r="Q10" s="28" t="s">
        <v>89</v>
      </c>
      <c r="R10" s="17" t="s">
        <v>21</v>
      </c>
      <c r="S10" s="29">
        <v>1</v>
      </c>
      <c r="T10" s="12"/>
    </row>
    <row r="11" spans="1:20" ht="15.75" customHeight="1" x14ac:dyDescent="0.2">
      <c r="B11" s="18">
        <v>5</v>
      </c>
      <c r="C11" s="19" t="str">
        <f t="shared" si="0"/>
        <v>RTX4090</v>
      </c>
      <c r="D11" s="20">
        <v>9621</v>
      </c>
      <c r="E11" s="21">
        <v>1.44</v>
      </c>
      <c r="F11" s="22">
        <v>17</v>
      </c>
      <c r="G11" s="22">
        <v>25956</v>
      </c>
      <c r="H11" s="22">
        <v>450</v>
      </c>
      <c r="I11" s="23">
        <v>2235</v>
      </c>
      <c r="J11" s="24">
        <v>1008</v>
      </c>
      <c r="K11" s="25">
        <v>166</v>
      </c>
      <c r="M11" s="26" t="s">
        <v>32</v>
      </c>
      <c r="N11" s="193" t="s">
        <v>26</v>
      </c>
      <c r="O11" s="192"/>
      <c r="P11" s="27"/>
      <c r="Q11" s="28" t="s">
        <v>90</v>
      </c>
      <c r="R11" s="12" t="s">
        <v>11</v>
      </c>
      <c r="S11" s="29">
        <v>2</v>
      </c>
      <c r="T11" s="12"/>
    </row>
    <row r="12" spans="1:20" ht="15.75" customHeight="1" x14ac:dyDescent="0.2">
      <c r="B12" s="18">
        <v>6</v>
      </c>
      <c r="C12" s="19" t="str">
        <f t="shared" si="0"/>
        <v>GTX970</v>
      </c>
      <c r="D12" s="20">
        <v>948</v>
      </c>
      <c r="E12" s="21">
        <v>0.97</v>
      </c>
      <c r="F12" s="22">
        <v>108</v>
      </c>
      <c r="G12" s="22">
        <v>834238</v>
      </c>
      <c r="H12" s="22">
        <v>148</v>
      </c>
      <c r="I12" s="23">
        <v>1050</v>
      </c>
      <c r="J12" s="24">
        <v>224.4</v>
      </c>
      <c r="K12" s="25">
        <v>24</v>
      </c>
      <c r="M12" s="26" t="s">
        <v>33</v>
      </c>
      <c r="N12" s="193" t="s">
        <v>27</v>
      </c>
      <c r="O12" s="192"/>
      <c r="P12" s="27"/>
      <c r="Q12" s="12" t="s">
        <v>91</v>
      </c>
      <c r="R12" s="12" t="s">
        <v>13</v>
      </c>
      <c r="S12" s="29">
        <v>2</v>
      </c>
      <c r="T12" s="17"/>
    </row>
    <row r="13" spans="1:20" ht="15.75" customHeight="1" x14ac:dyDescent="0.2">
      <c r="B13" s="18">
        <v>7</v>
      </c>
      <c r="C13" s="19" t="str">
        <f t="shared" si="0"/>
        <v>GTX660</v>
      </c>
      <c r="D13" s="20">
        <v>806</v>
      </c>
      <c r="E13" s="21">
        <v>0.17</v>
      </c>
      <c r="F13" s="22">
        <v>132</v>
      </c>
      <c r="G13" s="22">
        <v>123956</v>
      </c>
      <c r="H13" s="22">
        <v>140</v>
      </c>
      <c r="I13" s="23">
        <v>980</v>
      </c>
      <c r="J13" s="24">
        <v>144.19999999999999</v>
      </c>
      <c r="K13" s="25">
        <v>13</v>
      </c>
      <c r="M13" s="26" t="s">
        <v>34</v>
      </c>
      <c r="N13" s="193" t="s">
        <v>37</v>
      </c>
      <c r="O13" s="192"/>
      <c r="P13" s="27"/>
      <c r="Q13" s="28" t="s">
        <v>92</v>
      </c>
      <c r="R13" s="12" t="s">
        <v>12</v>
      </c>
      <c r="S13" s="29">
        <v>2</v>
      </c>
      <c r="T13" s="17"/>
    </row>
    <row r="14" spans="1:20" ht="15.75" customHeight="1" x14ac:dyDescent="0.2">
      <c r="B14" s="18">
        <v>8</v>
      </c>
      <c r="C14" s="19" t="str">
        <f t="shared" si="0"/>
        <v>GTX580</v>
      </c>
      <c r="D14" s="20">
        <v>2133</v>
      </c>
      <c r="E14" s="21">
        <v>0.02</v>
      </c>
      <c r="F14" s="22">
        <v>156</v>
      </c>
      <c r="G14" s="22">
        <v>15395</v>
      </c>
      <c r="H14" s="22">
        <v>244</v>
      </c>
      <c r="I14" s="23">
        <v>772</v>
      </c>
      <c r="J14" s="24">
        <v>192.4</v>
      </c>
      <c r="K14" s="25">
        <v>11</v>
      </c>
      <c r="M14" s="26" t="s">
        <v>35</v>
      </c>
      <c r="N14" s="193" t="s">
        <v>38</v>
      </c>
      <c r="O14" s="192"/>
      <c r="P14" s="27"/>
      <c r="Q14" s="28" t="s">
        <v>93</v>
      </c>
      <c r="R14" s="30" t="s">
        <v>14</v>
      </c>
      <c r="S14" s="31">
        <v>2</v>
      </c>
      <c r="T14" s="12"/>
    </row>
    <row r="15" spans="1:20" ht="15.75" customHeight="1" x14ac:dyDescent="0.2">
      <c r="B15" s="18">
        <v>9</v>
      </c>
      <c r="C15" s="19" t="str">
        <f t="shared" si="0"/>
        <v>GTX960M</v>
      </c>
      <c r="D15" s="20">
        <v>637</v>
      </c>
      <c r="E15" s="21">
        <v>0.05</v>
      </c>
      <c r="F15" s="22">
        <v>96</v>
      </c>
      <c r="G15" s="22">
        <v>73363</v>
      </c>
      <c r="H15" s="22">
        <v>75</v>
      </c>
      <c r="I15" s="23">
        <v>1097</v>
      </c>
      <c r="J15" s="24">
        <v>80.19</v>
      </c>
      <c r="K15" s="25">
        <v>13</v>
      </c>
      <c r="M15" s="26" t="s">
        <v>36</v>
      </c>
      <c r="N15" s="193" t="s">
        <v>39</v>
      </c>
      <c r="O15" s="192"/>
      <c r="P15" s="27"/>
      <c r="Q15" s="12"/>
      <c r="R15" s="12"/>
      <c r="S15" s="12"/>
      <c r="T15" s="12"/>
    </row>
    <row r="16" spans="1:20" ht="15.75" customHeight="1" x14ac:dyDescent="0.2">
      <c r="B16" s="18">
        <v>10</v>
      </c>
      <c r="C16" s="19" t="str">
        <f t="shared" si="0"/>
        <v>RTX4080</v>
      </c>
      <c r="D16" s="20">
        <v>5593</v>
      </c>
      <c r="E16" s="21">
        <v>0.89</v>
      </c>
      <c r="F16" s="22">
        <v>16</v>
      </c>
      <c r="G16" s="22">
        <v>22998</v>
      </c>
      <c r="H16" s="22">
        <v>320</v>
      </c>
      <c r="I16" s="23">
        <v>2205</v>
      </c>
      <c r="J16" s="24">
        <v>716.8</v>
      </c>
      <c r="K16" s="25">
        <v>113</v>
      </c>
      <c r="M16" s="26" t="s">
        <v>40</v>
      </c>
      <c r="N16" s="193" t="s">
        <v>44</v>
      </c>
      <c r="O16" s="192"/>
      <c r="P16" s="27"/>
      <c r="Q16" s="32" t="s">
        <v>5</v>
      </c>
      <c r="R16" s="32"/>
      <c r="S16" s="12"/>
      <c r="T16" s="12"/>
    </row>
    <row r="17" spans="2:20" ht="15.75" customHeight="1" x14ac:dyDescent="0.2">
      <c r="B17" s="18">
        <v>11</v>
      </c>
      <c r="C17" s="19" t="str">
        <f t="shared" si="0"/>
        <v>RTX3050</v>
      </c>
      <c r="D17" s="20">
        <v>1246</v>
      </c>
      <c r="E17" s="21">
        <v>0.65</v>
      </c>
      <c r="F17" s="22">
        <v>24</v>
      </c>
      <c r="G17" s="22">
        <v>43922</v>
      </c>
      <c r="H17" s="22">
        <v>130</v>
      </c>
      <c r="I17" s="23">
        <v>1552</v>
      </c>
      <c r="J17" s="24">
        <v>224</v>
      </c>
      <c r="K17" s="25">
        <v>36</v>
      </c>
      <c r="M17" s="26" t="s">
        <v>41</v>
      </c>
      <c r="N17" s="193" t="s">
        <v>45</v>
      </c>
      <c r="O17" s="192"/>
      <c r="P17" s="27"/>
      <c r="Q17" s="29">
        <v>1</v>
      </c>
      <c r="R17" s="17" t="s">
        <v>15</v>
      </c>
      <c r="S17" s="12" t="s">
        <v>7</v>
      </c>
      <c r="T17" s="12"/>
    </row>
    <row r="18" spans="2:20" ht="15.75" customHeight="1" x14ac:dyDescent="0.2">
      <c r="B18" s="18">
        <v>12</v>
      </c>
      <c r="C18" s="19" t="str">
        <f t="shared" si="0"/>
        <v>GTX1070</v>
      </c>
      <c r="D18" s="20">
        <v>628</v>
      </c>
      <c r="E18" s="21">
        <v>2.09</v>
      </c>
      <c r="F18" s="22">
        <v>84</v>
      </c>
      <c r="G18" s="22">
        <v>1459281</v>
      </c>
      <c r="H18" s="22">
        <v>150</v>
      </c>
      <c r="I18" s="23">
        <v>1506</v>
      </c>
      <c r="J18" s="24">
        <v>256.3</v>
      </c>
      <c r="K18" s="25">
        <v>35</v>
      </c>
      <c r="M18" s="26" t="s">
        <v>42</v>
      </c>
      <c r="N18" s="193" t="s">
        <v>46</v>
      </c>
      <c r="O18" s="192"/>
      <c r="P18" s="27"/>
      <c r="Q18" s="29">
        <v>2</v>
      </c>
      <c r="R18" s="32" t="s">
        <v>16</v>
      </c>
      <c r="S18" s="12" t="s">
        <v>7</v>
      </c>
      <c r="T18" s="12"/>
    </row>
    <row r="19" spans="2:20" ht="15.75" customHeight="1" x14ac:dyDescent="0.2">
      <c r="B19" s="18">
        <v>13</v>
      </c>
      <c r="C19" s="19" t="str">
        <f t="shared" si="0"/>
        <v>GTX980</v>
      </c>
      <c r="D19" s="20">
        <v>2370</v>
      </c>
      <c r="E19" s="21">
        <v>0.26</v>
      </c>
      <c r="F19" s="22">
        <v>108</v>
      </c>
      <c r="G19" s="22">
        <v>167107</v>
      </c>
      <c r="H19" s="22">
        <v>165</v>
      </c>
      <c r="I19" s="23">
        <v>1127</v>
      </c>
      <c r="J19" s="24">
        <v>224.4</v>
      </c>
      <c r="K19" s="25">
        <v>27</v>
      </c>
      <c r="M19" s="26" t="s">
        <v>43</v>
      </c>
      <c r="N19" s="193" t="s">
        <v>47</v>
      </c>
      <c r="O19" s="192"/>
      <c r="P19" s="27"/>
      <c r="Q19" s="29">
        <v>3</v>
      </c>
      <c r="R19" s="32" t="s">
        <v>6</v>
      </c>
      <c r="S19" s="12" t="s">
        <v>7</v>
      </c>
      <c r="T19" s="12"/>
    </row>
    <row r="20" spans="2:20" ht="15.75" customHeight="1" x14ac:dyDescent="0.2">
      <c r="B20" s="18">
        <v>14</v>
      </c>
      <c r="C20" s="19" t="str">
        <f t="shared" si="0"/>
        <v>GTX460</v>
      </c>
      <c r="D20" s="20">
        <v>962</v>
      </c>
      <c r="E20" s="21">
        <v>0.01</v>
      </c>
      <c r="F20" s="22">
        <v>156</v>
      </c>
      <c r="G20" s="22">
        <v>31648</v>
      </c>
      <c r="H20" s="22">
        <v>160</v>
      </c>
      <c r="I20" s="23">
        <v>675</v>
      </c>
      <c r="J20" s="24">
        <v>86.4</v>
      </c>
      <c r="K20" s="25">
        <v>10</v>
      </c>
      <c r="M20" s="26" t="s">
        <v>48</v>
      </c>
      <c r="N20" s="193" t="s">
        <v>49</v>
      </c>
      <c r="O20" s="192"/>
      <c r="P20" s="27"/>
      <c r="Q20" s="29">
        <v>4</v>
      </c>
      <c r="R20" s="32" t="s">
        <v>6</v>
      </c>
      <c r="S20" s="12" t="s">
        <v>7</v>
      </c>
      <c r="T20" s="12"/>
    </row>
    <row r="21" spans="2:20" ht="15.75" customHeight="1" x14ac:dyDescent="0.2">
      <c r="B21" s="18">
        <v>15</v>
      </c>
      <c r="C21" s="19" t="str">
        <f t="shared" si="0"/>
        <v>GTX650</v>
      </c>
      <c r="D21" s="20">
        <v>531</v>
      </c>
      <c r="E21" s="21">
        <v>0.08</v>
      </c>
      <c r="F21" s="22">
        <v>132</v>
      </c>
      <c r="G21" s="22">
        <v>69673</v>
      </c>
      <c r="H21" s="22">
        <v>65</v>
      </c>
      <c r="I21" s="23">
        <v>1058</v>
      </c>
      <c r="J21" s="24">
        <v>80</v>
      </c>
      <c r="K21" s="25">
        <v>10</v>
      </c>
      <c r="M21" s="33" t="s">
        <v>158</v>
      </c>
      <c r="N21" s="196" t="s">
        <v>55</v>
      </c>
      <c r="O21" s="196"/>
      <c r="P21" s="12"/>
      <c r="Q21" s="29">
        <v>5</v>
      </c>
      <c r="R21" s="32" t="s">
        <v>6</v>
      </c>
      <c r="S21" s="12"/>
      <c r="T21" s="12"/>
    </row>
    <row r="22" spans="2:20" ht="15.75" customHeight="1" x14ac:dyDescent="0.2">
      <c r="B22" s="18">
        <v>16</v>
      </c>
      <c r="C22" s="19" t="str">
        <f t="shared" si="0"/>
        <v>RTX3070</v>
      </c>
      <c r="D22" s="20">
        <v>2014</v>
      </c>
      <c r="E22" s="21">
        <v>3.11</v>
      </c>
      <c r="F22" s="22">
        <v>36</v>
      </c>
      <c r="G22" s="22">
        <v>619642</v>
      </c>
      <c r="H22" s="22">
        <v>220</v>
      </c>
      <c r="I22" s="23">
        <v>1500</v>
      </c>
      <c r="J22" s="24">
        <v>448</v>
      </c>
      <c r="K22" s="25">
        <v>70</v>
      </c>
      <c r="M22" s="26" t="s">
        <v>52</v>
      </c>
      <c r="N22" s="193" t="s">
        <v>56</v>
      </c>
      <c r="O22" s="192"/>
      <c r="P22" s="12"/>
      <c r="Q22" s="12"/>
      <c r="R22" s="12"/>
      <c r="S22" s="12"/>
      <c r="T22" s="12"/>
    </row>
    <row r="23" spans="2:20" ht="15.75" customHeight="1" x14ac:dyDescent="0.2">
      <c r="B23" s="18">
        <v>17</v>
      </c>
      <c r="C23" s="19" t="str">
        <f t="shared" si="0"/>
        <v>RTX4070</v>
      </c>
      <c r="D23" s="20">
        <v>2512</v>
      </c>
      <c r="E23" s="21">
        <v>2.13</v>
      </c>
      <c r="F23" s="22">
        <v>120</v>
      </c>
      <c r="G23" s="22">
        <v>45585</v>
      </c>
      <c r="H23" s="22">
        <v>200</v>
      </c>
      <c r="I23" s="23">
        <v>1920</v>
      </c>
      <c r="J23" s="24">
        <v>504.2</v>
      </c>
      <c r="K23" s="25">
        <v>89</v>
      </c>
      <c r="M23" s="26" t="s">
        <v>53</v>
      </c>
      <c r="N23" s="193" t="s">
        <v>57</v>
      </c>
      <c r="O23" s="192"/>
      <c r="P23" s="12"/>
      <c r="Q23" s="12"/>
      <c r="R23" s="12"/>
      <c r="S23" s="12"/>
      <c r="T23" s="12"/>
    </row>
    <row r="24" spans="2:20" ht="15.75" customHeight="1" x14ac:dyDescent="0.2">
      <c r="B24" s="18">
        <v>18</v>
      </c>
      <c r="C24" s="19" t="str">
        <f t="shared" si="0"/>
        <v>GTX780</v>
      </c>
      <c r="D24" s="20">
        <v>1559</v>
      </c>
      <c r="E24" s="21">
        <v>0.06</v>
      </c>
      <c r="F24" s="22">
        <v>120</v>
      </c>
      <c r="G24" s="22">
        <v>50279</v>
      </c>
      <c r="H24" s="1">
        <v>250</v>
      </c>
      <c r="I24" s="1">
        <v>863</v>
      </c>
      <c r="J24" s="1">
        <v>288.39999999999998</v>
      </c>
      <c r="K24" s="3">
        <v>20</v>
      </c>
      <c r="M24" s="26" t="s">
        <v>54</v>
      </c>
      <c r="N24" s="193" t="s">
        <v>58</v>
      </c>
      <c r="O24" s="192"/>
      <c r="P24" s="12"/>
      <c r="Q24" s="12"/>
      <c r="R24" s="12"/>
      <c r="S24" s="12"/>
      <c r="T24" s="12"/>
    </row>
    <row r="25" spans="2:20" ht="15.75" customHeight="1" x14ac:dyDescent="0.2">
      <c r="B25" s="18">
        <v>19</v>
      </c>
      <c r="C25" s="19" t="str">
        <f t="shared" si="0"/>
        <v>RTX4070T</v>
      </c>
      <c r="D25" s="20">
        <v>3555</v>
      </c>
      <c r="E25" s="21">
        <v>1.64</v>
      </c>
      <c r="F25" s="22">
        <v>14</v>
      </c>
      <c r="G25" s="22">
        <v>46082</v>
      </c>
      <c r="H25" s="22">
        <v>285</v>
      </c>
      <c r="I25" s="23">
        <v>2310</v>
      </c>
      <c r="J25" s="24">
        <v>504.2</v>
      </c>
      <c r="K25" s="25">
        <v>110</v>
      </c>
      <c r="M25" s="26" t="s">
        <v>50</v>
      </c>
      <c r="N25" s="193" t="s">
        <v>51</v>
      </c>
      <c r="O25" s="192"/>
      <c r="P25" s="12"/>
      <c r="Q25" s="12"/>
      <c r="R25" s="12"/>
      <c r="S25" s="12"/>
      <c r="T25" s="12"/>
    </row>
    <row r="26" spans="2:20" ht="15.75" customHeight="1" x14ac:dyDescent="0.2">
      <c r="B26" s="18">
        <v>20</v>
      </c>
      <c r="C26" s="19" t="str">
        <f t="shared" si="0"/>
        <v>RTX3080T</v>
      </c>
      <c r="D26" s="20">
        <v>2891</v>
      </c>
      <c r="E26" s="21">
        <v>1.1100000000000001</v>
      </c>
      <c r="F26" s="22">
        <v>24</v>
      </c>
      <c r="G26" s="22">
        <v>155335</v>
      </c>
      <c r="H26" s="22">
        <v>350</v>
      </c>
      <c r="I26" s="23">
        <v>1365</v>
      </c>
      <c r="J26" s="24">
        <v>912.4</v>
      </c>
      <c r="K26" s="25">
        <v>96</v>
      </c>
      <c r="M26" s="33" t="s">
        <v>59</v>
      </c>
      <c r="N26" s="196" t="s">
        <v>60</v>
      </c>
      <c r="O26" s="196"/>
      <c r="P26" s="12"/>
      <c r="Q26" s="12"/>
      <c r="R26" s="12"/>
      <c r="S26" s="12"/>
      <c r="T26" s="12"/>
    </row>
    <row r="27" spans="2:20" ht="15.75" customHeight="1" x14ac:dyDescent="0.2">
      <c r="B27" s="18">
        <v>21</v>
      </c>
      <c r="C27" s="19" t="str">
        <f t="shared" si="0"/>
        <v>RTX3060T</v>
      </c>
      <c r="D27" s="20">
        <v>1612</v>
      </c>
      <c r="E27" s="21">
        <v>2.67</v>
      </c>
      <c r="F27" s="22">
        <v>36</v>
      </c>
      <c r="G27" s="22">
        <v>442467</v>
      </c>
      <c r="H27" s="22">
        <v>200</v>
      </c>
      <c r="I27" s="23">
        <v>1410</v>
      </c>
      <c r="J27" s="24">
        <v>448</v>
      </c>
      <c r="K27" s="25">
        <v>61</v>
      </c>
      <c r="M27" s="26" t="s">
        <v>61</v>
      </c>
      <c r="N27" s="193" t="s">
        <v>62</v>
      </c>
      <c r="O27" s="192"/>
      <c r="P27" s="12"/>
      <c r="Q27" s="12"/>
      <c r="R27" s="12"/>
      <c r="S27" s="12"/>
      <c r="T27" s="12"/>
    </row>
    <row r="28" spans="2:20" ht="15.75" customHeight="1" x14ac:dyDescent="0.2">
      <c r="B28" s="18">
        <v>22</v>
      </c>
      <c r="C28" s="19" t="str">
        <f t="shared" si="0"/>
        <v>RTX2080T</v>
      </c>
      <c r="D28" s="20">
        <v>2090</v>
      </c>
      <c r="E28" s="21">
        <v>0.83</v>
      </c>
      <c r="F28" s="22">
        <v>60</v>
      </c>
      <c r="G28" s="22">
        <v>357946</v>
      </c>
      <c r="H28" s="22">
        <v>250</v>
      </c>
      <c r="I28" s="23">
        <v>1350</v>
      </c>
      <c r="J28" s="24">
        <v>616</v>
      </c>
      <c r="K28" s="25">
        <v>74</v>
      </c>
      <c r="M28" s="26" t="s">
        <v>63</v>
      </c>
      <c r="N28" s="193" t="s">
        <v>64</v>
      </c>
      <c r="O28" s="192"/>
      <c r="P28" s="12"/>
      <c r="Q28" s="12"/>
      <c r="R28" s="12"/>
      <c r="S28" s="12"/>
      <c r="T28" s="12"/>
    </row>
    <row r="29" spans="2:20" ht="15.75" customHeight="1" x14ac:dyDescent="0.2">
      <c r="B29" s="18">
        <v>23</v>
      </c>
      <c r="C29" s="19" t="str">
        <f t="shared" si="0"/>
        <v>RTX4070S</v>
      </c>
      <c r="D29" s="20">
        <v>2512</v>
      </c>
      <c r="E29" s="21">
        <v>2.12</v>
      </c>
      <c r="F29" s="22">
        <v>120</v>
      </c>
      <c r="G29" s="22">
        <v>45585</v>
      </c>
      <c r="H29" s="34">
        <v>200</v>
      </c>
      <c r="I29" s="23">
        <v>1920</v>
      </c>
      <c r="J29" s="24">
        <v>504.2</v>
      </c>
      <c r="K29" s="25">
        <v>89</v>
      </c>
      <c r="M29" s="26" t="s">
        <v>219</v>
      </c>
      <c r="N29" s="193" t="s">
        <v>220</v>
      </c>
      <c r="O29" s="192"/>
      <c r="P29" s="12"/>
      <c r="Q29" s="12"/>
      <c r="R29" s="12"/>
      <c r="S29" s="12"/>
      <c r="T29" s="12"/>
    </row>
    <row r="30" spans="2:20" ht="15.75" customHeight="1" x14ac:dyDescent="0.2">
      <c r="B30" s="18">
        <v>24</v>
      </c>
      <c r="C30" s="19" t="str">
        <f t="shared" si="0"/>
        <v>RTX2080</v>
      </c>
      <c r="D30" s="2">
        <v>1929</v>
      </c>
      <c r="E30" s="2">
        <v>0.69</v>
      </c>
      <c r="F30" s="2">
        <v>60</v>
      </c>
      <c r="G30" s="2">
        <v>316424</v>
      </c>
      <c r="H30" s="2">
        <v>215</v>
      </c>
      <c r="I30" s="2">
        <v>1515</v>
      </c>
      <c r="J30" s="2">
        <v>448</v>
      </c>
      <c r="K30" s="4">
        <v>58</v>
      </c>
      <c r="M30" s="33" t="s">
        <v>65</v>
      </c>
      <c r="N30" s="193" t="s">
        <v>67</v>
      </c>
      <c r="O30" s="192"/>
      <c r="P30" s="17"/>
      <c r="Q30" s="17"/>
      <c r="R30" s="17"/>
      <c r="S30" s="17"/>
      <c r="T30" s="17"/>
    </row>
    <row r="31" spans="2:20" ht="15" x14ac:dyDescent="0.2">
      <c r="B31" s="35">
        <v>25</v>
      </c>
      <c r="C31" s="36" t="str">
        <f t="shared" si="0"/>
        <v>RTX3080</v>
      </c>
      <c r="D31" s="5">
        <v>3176</v>
      </c>
      <c r="E31" s="5">
        <v>2.13</v>
      </c>
      <c r="F31" s="5">
        <v>36</v>
      </c>
      <c r="G31" s="5">
        <v>424051</v>
      </c>
      <c r="H31" s="5">
        <v>320</v>
      </c>
      <c r="I31" s="5">
        <v>1440</v>
      </c>
      <c r="J31" s="5">
        <v>760.3</v>
      </c>
      <c r="K31" s="6">
        <v>88</v>
      </c>
      <c r="M31" s="33" t="s">
        <v>66</v>
      </c>
      <c r="N31" s="193" t="s">
        <v>68</v>
      </c>
      <c r="O31" s="192"/>
      <c r="P31" s="17"/>
      <c r="Q31" s="17"/>
      <c r="R31" s="17"/>
      <c r="S31" s="17"/>
      <c r="T31" s="17"/>
    </row>
    <row r="32" spans="2:20" ht="15" x14ac:dyDescent="0.2">
      <c r="B32" s="11"/>
      <c r="K32" s="11"/>
    </row>
    <row r="33" spans="2:16" ht="15" x14ac:dyDescent="0.2">
      <c r="B33" s="44"/>
      <c r="C33" s="47" t="s">
        <v>71</v>
      </c>
      <c r="D33" s="8">
        <f>MIN(Tabela1[KOS])</f>
        <v>531</v>
      </c>
      <c r="E33" s="8">
        <f>MIN(Tabela1[UDZ])</f>
        <v>0.01</v>
      </c>
      <c r="F33" s="8">
        <f>MIN(Tabela1[WIK])</f>
        <v>8</v>
      </c>
      <c r="G33" s="8">
        <f>MIN(Tabela1[BEC])</f>
        <v>15395</v>
      </c>
      <c r="H33" s="8">
        <f>MIN(Tabela1[MOC])</f>
        <v>65</v>
      </c>
      <c r="I33" s="8">
        <f>MIN(Tabela1[ZEG])</f>
        <v>675</v>
      </c>
      <c r="J33" s="8">
        <f>MIN(Tabela1[PRP])</f>
        <v>80</v>
      </c>
      <c r="K33" s="8">
        <f>MIN(Tabela1[FPS])</f>
        <v>10</v>
      </c>
    </row>
    <row r="34" spans="2:16" ht="15" x14ac:dyDescent="0.2">
      <c r="B34" s="44"/>
      <c r="C34" s="47" t="s">
        <v>72</v>
      </c>
      <c r="D34" s="8">
        <f>MAX(Tabela1[KOS])</f>
        <v>9621</v>
      </c>
      <c r="E34" s="8">
        <f>MAX(Tabela1[UDZ])</f>
        <v>4.1900000000000004</v>
      </c>
      <c r="F34" s="8">
        <f>MAX(Tabela1[WIK])</f>
        <v>156</v>
      </c>
      <c r="G34" s="8">
        <f>MAX(Tabela1[BEC])</f>
        <v>1459281</v>
      </c>
      <c r="H34" s="8">
        <f>MAX(Tabela1[MOC])</f>
        <v>450</v>
      </c>
      <c r="I34" s="8">
        <f>MAX(Tabela1[ZEG])</f>
        <v>2310</v>
      </c>
      <c r="J34" s="8">
        <f>MAX(Tabela1[PRP])</f>
        <v>1008</v>
      </c>
      <c r="K34" s="8">
        <f>MAX(Tabela1[FPS])</f>
        <v>166</v>
      </c>
    </row>
    <row r="35" spans="2:16" ht="15" x14ac:dyDescent="0.2">
      <c r="B35" s="44"/>
      <c r="C35" s="47" t="s">
        <v>73</v>
      </c>
      <c r="D35" s="8">
        <f>D33/D34</f>
        <v>5.5191768007483627E-2</v>
      </c>
      <c r="E35" s="8">
        <f t="shared" ref="E35:K35" si="1">E33/E34</f>
        <v>2.3866348448687348E-3</v>
      </c>
      <c r="F35" s="8">
        <f t="shared" si="1"/>
        <v>5.128205128205128E-2</v>
      </c>
      <c r="G35" s="8">
        <f t="shared" si="1"/>
        <v>1.0549715921745023E-2</v>
      </c>
      <c r="H35" s="8">
        <f t="shared" si="1"/>
        <v>0.14444444444444443</v>
      </c>
      <c r="I35" s="8">
        <f t="shared" si="1"/>
        <v>0.29220779220779219</v>
      </c>
      <c r="J35" s="8">
        <f t="shared" si="1"/>
        <v>7.9365079365079361E-2</v>
      </c>
      <c r="K35" s="8">
        <f t="shared" si="1"/>
        <v>6.0240963855421686E-2</v>
      </c>
    </row>
    <row r="36" spans="2:16" ht="15" x14ac:dyDescent="0.2">
      <c r="B36" s="48" t="s">
        <v>75</v>
      </c>
      <c r="C36" s="49" t="s">
        <v>74</v>
      </c>
      <c r="D36" s="8">
        <f>D34-D33</f>
        <v>9090</v>
      </c>
      <c r="E36" s="8">
        <f t="shared" ref="E36:K36" si="2">E34-E33</f>
        <v>4.1800000000000006</v>
      </c>
      <c r="F36" s="8">
        <f t="shared" si="2"/>
        <v>148</v>
      </c>
      <c r="G36" s="8">
        <f t="shared" si="2"/>
        <v>1443886</v>
      </c>
      <c r="H36" s="8">
        <f t="shared" si="2"/>
        <v>385</v>
      </c>
      <c r="I36" s="8">
        <f t="shared" si="2"/>
        <v>1635</v>
      </c>
      <c r="J36" s="8">
        <f t="shared" si="2"/>
        <v>928</v>
      </c>
      <c r="K36" s="8">
        <f t="shared" si="2"/>
        <v>156</v>
      </c>
    </row>
    <row r="37" spans="2:16" ht="15" x14ac:dyDescent="0.2">
      <c r="B37" s="50" t="s">
        <v>76</v>
      </c>
      <c r="C37" s="51" t="s">
        <v>77</v>
      </c>
      <c r="D37" s="8">
        <f>(D36)/2</f>
        <v>4545</v>
      </c>
      <c r="E37" s="8">
        <f t="shared" ref="E37:K37" si="3">(E36)/2</f>
        <v>2.0900000000000003</v>
      </c>
      <c r="F37" s="8">
        <f t="shared" si="3"/>
        <v>74</v>
      </c>
      <c r="G37" s="8">
        <f t="shared" si="3"/>
        <v>721943</v>
      </c>
      <c r="H37" s="8">
        <f t="shared" si="3"/>
        <v>192.5</v>
      </c>
      <c r="I37" s="8">
        <f t="shared" si="3"/>
        <v>817.5</v>
      </c>
      <c r="J37" s="8">
        <f t="shared" si="3"/>
        <v>464</v>
      </c>
      <c r="K37" s="8">
        <f t="shared" si="3"/>
        <v>78</v>
      </c>
    </row>
    <row r="38" spans="2:16" ht="15" x14ac:dyDescent="0.2">
      <c r="B38" s="50" t="s">
        <v>78</v>
      </c>
      <c r="C38" s="51" t="s">
        <v>79</v>
      </c>
      <c r="D38" s="8">
        <f>AVERAGE(Tabela1[KOS])</f>
        <v>2223.08</v>
      </c>
      <c r="E38" s="8">
        <f>AVERAGE(Tabela1[UDZ])</f>
        <v>1.3380000000000001</v>
      </c>
      <c r="F38" s="8">
        <f>AVERAGE(Tabela1[WIK])</f>
        <v>73.72</v>
      </c>
      <c r="G38" s="8">
        <f>AVERAGE(Tabela1[BEC])</f>
        <v>302791.59999999998</v>
      </c>
      <c r="H38" s="8">
        <f>AVERAGE(Tabela1[MOC])</f>
        <v>206.48</v>
      </c>
      <c r="I38" s="8">
        <f>AVERAGE(Tabela1[ZEG])</f>
        <v>1438.88</v>
      </c>
      <c r="J38" s="8">
        <f>AVERAGE(Tabela1[PRP])</f>
        <v>398.36359999999991</v>
      </c>
      <c r="K38" s="8">
        <f>AVERAGE(Tabela1[FPS])</f>
        <v>56.04</v>
      </c>
    </row>
    <row r="39" spans="2:16" ht="15" x14ac:dyDescent="0.2">
      <c r="B39" s="50" t="s">
        <v>80</v>
      </c>
      <c r="C39" s="51" t="s">
        <v>81</v>
      </c>
      <c r="D39" s="8">
        <f>_xlfn.STDEV.S(Tabela1[KOS])</f>
        <v>1897.1094881424215</v>
      </c>
      <c r="E39" s="8">
        <f>_xlfn.STDEV.S(Tabela1[UDZ])</f>
        <v>1.1108405226073932</v>
      </c>
      <c r="F39" s="8">
        <f>_xlfn.STDEV.S(Tabela1[WIK])</f>
        <v>48.067244564256029</v>
      </c>
      <c r="G39" s="8">
        <f>_xlfn.STDEV.S(Tabela1[BEC])</f>
        <v>376432.03876906302</v>
      </c>
      <c r="H39" s="8">
        <f>_xlfn.STDEV.S(Tabela1[MOC])</f>
        <v>88.515591846860517</v>
      </c>
      <c r="I39" s="8">
        <f>_xlfn.STDEV.S(Tabela1[ZEG])</f>
        <v>445.59429604368444</v>
      </c>
      <c r="J39" s="8">
        <f>_xlfn.STDEV.S(Tabela1[PRP])</f>
        <v>251.1812029339246</v>
      </c>
      <c r="K39" s="8">
        <f>_xlfn.STDEV.S(Tabela1[FPS])</f>
        <v>39.806280911434065</v>
      </c>
    </row>
    <row r="40" spans="2:16" ht="15" x14ac:dyDescent="0.2">
      <c r="B40" s="52" t="s">
        <v>82</v>
      </c>
      <c r="C40" s="51" t="s">
        <v>83</v>
      </c>
      <c r="D40" s="8">
        <f>SKEW(Tabela1[KOS])</f>
        <v>2.812384461178548</v>
      </c>
      <c r="E40" s="8">
        <f>SKEW(Tabela1[UDZ])</f>
        <v>0.65198835308739433</v>
      </c>
      <c r="F40" s="8">
        <f>SKEW(Tabela1[WIK])</f>
        <v>0.22889414901199936</v>
      </c>
      <c r="G40" s="8">
        <f>SKEW(Tabela1[BEC])</f>
        <v>1.7162635499451011</v>
      </c>
      <c r="H40" s="8">
        <f>SKEW(Tabela1[MOC])</f>
        <v>0.89442503783843397</v>
      </c>
      <c r="I40" s="8">
        <f>SKEW(Tabela1[ZEG])</f>
        <v>0.35195118651418517</v>
      </c>
      <c r="J40" s="8">
        <f>SKEW(Tabela1[PRP])</f>
        <v>0.89599708218253449</v>
      </c>
      <c r="K40" s="8">
        <f>SKEW(Tabela1[FPS])</f>
        <v>0.91517941443630457</v>
      </c>
    </row>
    <row r="41" spans="2:16" ht="15" x14ac:dyDescent="0.2">
      <c r="B41" s="11"/>
      <c r="C41" s="37" t="s">
        <v>84</v>
      </c>
      <c r="D41" s="39" t="str">
        <f>IF(D35&gt;0.1,"TAK","NIE")</f>
        <v>NIE</v>
      </c>
      <c r="E41" s="39" t="str">
        <f t="shared" ref="E41:K41" si="4">IF(E35&gt;0.1,"TAK","NIE")</f>
        <v>NIE</v>
      </c>
      <c r="F41" s="39" t="str">
        <f t="shared" si="4"/>
        <v>NIE</v>
      </c>
      <c r="G41" s="39" t="str">
        <f t="shared" si="4"/>
        <v>NIE</v>
      </c>
      <c r="H41" s="39" t="str">
        <f t="shared" si="4"/>
        <v>TAK</v>
      </c>
      <c r="I41" s="39" t="str">
        <f t="shared" si="4"/>
        <v>TAK</v>
      </c>
      <c r="J41" s="39" t="str">
        <f t="shared" si="4"/>
        <v>NIE</v>
      </c>
      <c r="K41" s="39" t="str">
        <f t="shared" si="4"/>
        <v>NIE</v>
      </c>
      <c r="M41" s="185" t="s">
        <v>114</v>
      </c>
      <c r="N41" s="185"/>
      <c r="O41" s="185"/>
      <c r="P41" s="185"/>
    </row>
    <row r="42" spans="2:16" ht="15" x14ac:dyDescent="0.2">
      <c r="B42" s="11"/>
      <c r="C42" s="37" t="s">
        <v>102</v>
      </c>
      <c r="D42" s="38" t="str">
        <f t="shared" ref="D42:K42" si="5">IF(ABS(D37-D38)&lt;D39,"TAK","NIE")</f>
        <v>NIE</v>
      </c>
      <c r="E42" s="38" t="str">
        <f t="shared" si="5"/>
        <v>TAK</v>
      </c>
      <c r="F42" s="38" t="str">
        <f t="shared" si="5"/>
        <v>TAK</v>
      </c>
      <c r="G42" s="38" t="str">
        <f t="shared" si="5"/>
        <v>NIE</v>
      </c>
      <c r="H42" s="38" t="str">
        <f t="shared" si="5"/>
        <v>TAK</v>
      </c>
      <c r="I42" s="38" t="str">
        <f t="shared" si="5"/>
        <v>NIE</v>
      </c>
      <c r="J42" s="38" t="str">
        <f t="shared" si="5"/>
        <v>TAK</v>
      </c>
      <c r="K42" s="38" t="str">
        <f t="shared" si="5"/>
        <v>TAK</v>
      </c>
      <c r="M42" s="185"/>
      <c r="N42" s="185"/>
      <c r="O42" s="185"/>
      <c r="P42" s="185"/>
    </row>
    <row r="43" spans="2:16" ht="15" x14ac:dyDescent="0.2">
      <c r="B43" s="11"/>
      <c r="C43" s="37" t="s">
        <v>101</v>
      </c>
      <c r="D43" s="38" t="str">
        <f>IF(AND((D36/D39)&lt;=5,(D36/D39)&gt;=3),"TAK","NIE")</f>
        <v>TAK</v>
      </c>
      <c r="E43" s="38" t="str">
        <f t="shared" ref="E43:K43" si="6">IF(AND((E36/E39)&lt;=5,(E36/E39)&gt;=3),"TAK","NIE")</f>
        <v>TAK</v>
      </c>
      <c r="F43" s="38" t="str">
        <f t="shared" si="6"/>
        <v>TAK</v>
      </c>
      <c r="G43" s="38" t="str">
        <f t="shared" si="6"/>
        <v>TAK</v>
      </c>
      <c r="H43" s="38" t="str">
        <f t="shared" si="6"/>
        <v>TAK</v>
      </c>
      <c r="I43" s="38" t="str">
        <f t="shared" si="6"/>
        <v>TAK</v>
      </c>
      <c r="J43" s="38" t="str">
        <f t="shared" si="6"/>
        <v>TAK</v>
      </c>
      <c r="K43" s="38" t="str">
        <f t="shared" si="6"/>
        <v>TAK</v>
      </c>
      <c r="M43" s="185"/>
      <c r="N43" s="185"/>
      <c r="O43" s="185"/>
      <c r="P43" s="185"/>
    </row>
    <row r="44" spans="2:16" ht="15" x14ac:dyDescent="0.2">
      <c r="B44" s="11"/>
      <c r="C44" s="37" t="s">
        <v>103</v>
      </c>
      <c r="D44" s="38" t="str">
        <f>IF(ABS(D40)&lt;1.5,"TAK","NIE")</f>
        <v>NIE</v>
      </c>
      <c r="E44" s="38" t="str">
        <f t="shared" ref="E44:K44" si="7">IF(ABS(E40)&lt;1.5,"TAK","NIE")</f>
        <v>TAK</v>
      </c>
      <c r="F44" s="38" t="str">
        <f t="shared" si="7"/>
        <v>TAK</v>
      </c>
      <c r="G44" s="38" t="str">
        <f t="shared" si="7"/>
        <v>NIE</v>
      </c>
      <c r="H44" s="38" t="str">
        <f t="shared" si="7"/>
        <v>TAK</v>
      </c>
      <c r="I44" s="38" t="str">
        <f t="shared" si="7"/>
        <v>TAK</v>
      </c>
      <c r="J44" s="38" t="str">
        <f t="shared" si="7"/>
        <v>TAK</v>
      </c>
      <c r="K44" s="38" t="str">
        <f t="shared" si="7"/>
        <v>TAK</v>
      </c>
      <c r="M44" s="185"/>
      <c r="N44" s="185"/>
      <c r="O44" s="185"/>
      <c r="P44" s="185"/>
    </row>
    <row r="45" spans="2:16" ht="15" x14ac:dyDescent="0.2">
      <c r="B45" s="11"/>
      <c r="C45" s="37" t="s">
        <v>85</v>
      </c>
      <c r="D45" s="39">
        <f>COUNTIF(D41:D44,"TAK")</f>
        <v>1</v>
      </c>
      <c r="E45" s="39">
        <f t="shared" ref="E45:K45" si="8">COUNTIF(E41:E44,"TAK")</f>
        <v>3</v>
      </c>
      <c r="F45" s="39">
        <f t="shared" si="8"/>
        <v>3</v>
      </c>
      <c r="G45" s="39">
        <f t="shared" si="8"/>
        <v>1</v>
      </c>
      <c r="H45" s="39">
        <f t="shared" si="8"/>
        <v>4</v>
      </c>
      <c r="I45" s="39">
        <f t="shared" si="8"/>
        <v>3</v>
      </c>
      <c r="J45" s="39">
        <f t="shared" si="8"/>
        <v>3</v>
      </c>
      <c r="K45" s="39">
        <f t="shared" si="8"/>
        <v>3</v>
      </c>
    </row>
    <row r="46" spans="2:16" ht="15" x14ac:dyDescent="0.2">
      <c r="B46" s="11"/>
      <c r="K46" s="11"/>
    </row>
    <row r="47" spans="2:16" ht="15" x14ac:dyDescent="0.2">
      <c r="B47" s="11"/>
      <c r="C47" s="37" t="s">
        <v>94</v>
      </c>
      <c r="D47" s="39" t="s">
        <v>99</v>
      </c>
      <c r="E47" s="39" t="s">
        <v>99</v>
      </c>
      <c r="F47" s="39" t="s">
        <v>100</v>
      </c>
      <c r="G47" s="39" t="s">
        <v>99</v>
      </c>
      <c r="H47" s="40"/>
      <c r="I47" s="39" t="s">
        <v>99</v>
      </c>
      <c r="J47" s="39" t="s">
        <v>99</v>
      </c>
      <c r="K47" s="39" t="s">
        <v>99</v>
      </c>
    </row>
    <row r="48" spans="2:16" ht="15" x14ac:dyDescent="0.2">
      <c r="B48" s="195" t="s">
        <v>98</v>
      </c>
      <c r="C48" s="37" t="s">
        <v>95</v>
      </c>
      <c r="D48" s="39" t="s">
        <v>99</v>
      </c>
      <c r="E48" s="39" t="s">
        <v>99</v>
      </c>
      <c r="F48" s="39" t="s">
        <v>99</v>
      </c>
      <c r="G48" s="39" t="s">
        <v>99</v>
      </c>
      <c r="H48" s="40"/>
      <c r="I48" s="39" t="s">
        <v>99</v>
      </c>
      <c r="J48" s="39" t="s">
        <v>99</v>
      </c>
      <c r="K48" s="39" t="s">
        <v>99</v>
      </c>
    </row>
    <row r="49" spans="2:38" ht="15" x14ac:dyDescent="0.2">
      <c r="B49" s="195"/>
      <c r="C49" s="37" t="s">
        <v>96</v>
      </c>
      <c r="D49" s="39" t="s">
        <v>104</v>
      </c>
      <c r="E49" s="39" t="s">
        <v>104</v>
      </c>
      <c r="F49" s="39" t="s">
        <v>104</v>
      </c>
      <c r="G49" s="39" t="s">
        <v>104</v>
      </c>
      <c r="H49" s="40"/>
      <c r="I49" s="39" t="s">
        <v>104</v>
      </c>
      <c r="J49" s="39" t="s">
        <v>104</v>
      </c>
      <c r="K49" s="39" t="s">
        <v>104</v>
      </c>
      <c r="M49" s="197" t="s">
        <v>113</v>
      </c>
      <c r="N49" s="197"/>
      <c r="O49" s="197"/>
      <c r="P49" s="197"/>
    </row>
    <row r="50" spans="2:38" ht="15" x14ac:dyDescent="0.2">
      <c r="B50" s="195"/>
      <c r="C50" s="37" t="s">
        <v>97</v>
      </c>
      <c r="D50" s="39" t="s">
        <v>100</v>
      </c>
      <c r="E50" s="39" t="s">
        <v>99</v>
      </c>
      <c r="F50" s="39" t="s">
        <v>99</v>
      </c>
      <c r="G50" s="39" t="s">
        <v>99</v>
      </c>
      <c r="H50" s="40"/>
      <c r="I50" s="39" t="s">
        <v>99</v>
      </c>
      <c r="J50" s="39" t="s">
        <v>99</v>
      </c>
      <c r="K50" s="41" t="s">
        <v>100</v>
      </c>
      <c r="M50" s="197"/>
      <c r="N50" s="197"/>
      <c r="O50" s="197"/>
      <c r="P50" s="197"/>
    </row>
    <row r="51" spans="2:38" ht="15" x14ac:dyDescent="0.2">
      <c r="B51" s="11"/>
      <c r="C51" s="9"/>
      <c r="D51" s="9"/>
      <c r="E51" s="9"/>
      <c r="K51" s="11"/>
    </row>
    <row r="52" spans="2:38" ht="15" x14ac:dyDescent="0.2">
      <c r="B52" s="11"/>
      <c r="K52" s="11"/>
    </row>
    <row r="53" spans="2:38" ht="15" x14ac:dyDescent="0.2">
      <c r="B53" s="11"/>
    </row>
    <row r="54" spans="2:38" ht="15" x14ac:dyDescent="0.2">
      <c r="B54" s="11"/>
    </row>
    <row r="55" spans="2:38" ht="15" x14ac:dyDescent="0.2">
      <c r="B55" s="11"/>
    </row>
    <row r="56" spans="2:38" ht="15" x14ac:dyDescent="0.2">
      <c r="B56" s="11"/>
    </row>
    <row r="61" spans="2:38" ht="15.75" customHeight="1" x14ac:dyDescent="0.2">
      <c r="AL61" s="10" t="s">
        <v>105</v>
      </c>
    </row>
  </sheetData>
  <mergeCells count="37">
    <mergeCell ref="B48:B50"/>
    <mergeCell ref="N30:O30"/>
    <mergeCell ref="N31:O31"/>
    <mergeCell ref="N18:O18"/>
    <mergeCell ref="N26:O26"/>
    <mergeCell ref="N27:O27"/>
    <mergeCell ref="N28:O28"/>
    <mergeCell ref="N29:O29"/>
    <mergeCell ref="N19:O19"/>
    <mergeCell ref="N20:O20"/>
    <mergeCell ref="N25:O25"/>
    <mergeCell ref="N22:O22"/>
    <mergeCell ref="N23:O23"/>
    <mergeCell ref="N24:O24"/>
    <mergeCell ref="N21:O21"/>
    <mergeCell ref="M49:P50"/>
    <mergeCell ref="N9:O9"/>
    <mergeCell ref="N10:O10"/>
    <mergeCell ref="N11:O11"/>
    <mergeCell ref="N12:O12"/>
    <mergeCell ref="N13:O13"/>
    <mergeCell ref="M41:P44"/>
    <mergeCell ref="D2:I2"/>
    <mergeCell ref="C3:D3"/>
    <mergeCell ref="E3:F3"/>
    <mergeCell ref="G3:I3"/>
    <mergeCell ref="J3:K3"/>
    <mergeCell ref="C4:D4"/>
    <mergeCell ref="E4:F4"/>
    <mergeCell ref="M6:T6"/>
    <mergeCell ref="N7:O7"/>
    <mergeCell ref="N8:O8"/>
    <mergeCell ref="N5:R5"/>
    <mergeCell ref="N14:O14"/>
    <mergeCell ref="N15:O15"/>
    <mergeCell ref="N16:O16"/>
    <mergeCell ref="N17:O17"/>
  </mergeCells>
  <conditionalFormatting sqref="D41:K44">
    <cfRule type="containsText" dxfId="12" priority="4" operator="containsText" text="TAK">
      <formula>NOT(ISERROR(SEARCH("TAK",D41)))</formula>
    </cfRule>
    <cfRule type="containsText" dxfId="11" priority="5" operator="containsText" text="NIE">
      <formula>NOT(ISERROR(SEARCH("NIE",D41)))</formula>
    </cfRule>
  </conditionalFormatting>
  <conditionalFormatting sqref="D45:K45">
    <cfRule type="cellIs" dxfId="10" priority="3" operator="equal">
      <formula>4</formula>
    </cfRule>
  </conditionalFormatting>
  <conditionalFormatting sqref="D47:K50">
    <cfRule type="containsText" dxfId="9" priority="1" operator="containsText" text="NIE">
      <formula>NOT(ISERROR(SEARCH("NIE",D47)))</formula>
    </cfRule>
    <cfRule type="containsText" dxfId="8" priority="2" operator="containsText" text="TAK">
      <formula>NOT(ISERROR(SEARCH("TAK",D47)))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4510D-4EA1-42B1-AE2A-77BFF7C14874}">
  <sheetPr codeName="Arkusz2"/>
  <dimension ref="A1:CE253"/>
  <sheetViews>
    <sheetView zoomScale="85" zoomScaleNormal="85" workbookViewId="0">
      <selection activeCell="D27" sqref="D27"/>
    </sheetView>
  </sheetViews>
  <sheetFormatPr defaultRowHeight="12.75" x14ac:dyDescent="0.2"/>
  <cols>
    <col min="1" max="2" width="9.140625" style="42"/>
    <col min="3" max="3" width="6.42578125" style="42" customWidth="1"/>
    <col min="4" max="6" width="16.28515625" style="42" bestFit="1" customWidth="1"/>
    <col min="7" max="7" width="15" style="42" bestFit="1" customWidth="1"/>
    <col min="8" max="8" width="19.85546875" style="42" customWidth="1"/>
    <col min="9" max="9" width="15.42578125" style="42" bestFit="1" customWidth="1"/>
    <col min="10" max="10" width="16" style="42" customWidth="1"/>
    <col min="11" max="11" width="16" style="42" bestFit="1" customWidth="1"/>
    <col min="12" max="12" width="15.7109375" style="42" bestFit="1" customWidth="1"/>
    <col min="13" max="24" width="9.140625" style="42"/>
    <col min="25" max="32" width="9.140625" style="42" customWidth="1"/>
    <col min="33" max="16384" width="9.140625" style="42"/>
  </cols>
  <sheetData>
    <row r="1" spans="3:83" ht="15" customHeight="1" x14ac:dyDescent="0.2"/>
    <row r="2" spans="3:83" ht="15" customHeight="1" x14ac:dyDescent="0.2"/>
    <row r="3" spans="3:83" ht="15" customHeight="1" x14ac:dyDescent="0.2">
      <c r="D3" s="53" t="s">
        <v>122</v>
      </c>
      <c r="E3" s="53" t="s">
        <v>117</v>
      </c>
      <c r="F3" s="53" t="s">
        <v>115</v>
      </c>
      <c r="G3" s="53"/>
      <c r="H3" s="53" t="s">
        <v>116</v>
      </c>
      <c r="I3" s="54"/>
      <c r="J3" s="53" t="s">
        <v>117</v>
      </c>
      <c r="K3" s="53" t="s">
        <v>118</v>
      </c>
      <c r="L3" s="53" t="s">
        <v>119</v>
      </c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BY3" s="54"/>
      <c r="BZ3" s="54"/>
      <c r="CA3" s="54"/>
      <c r="CB3" s="54"/>
      <c r="CC3" s="54"/>
      <c r="CD3" s="54"/>
      <c r="CE3" s="54"/>
    </row>
    <row r="4" spans="3:83" ht="15" customHeight="1" x14ac:dyDescent="0.2">
      <c r="C4" s="55" t="s">
        <v>2</v>
      </c>
      <c r="D4" s="56" t="s">
        <v>22</v>
      </c>
      <c r="E4" s="56" t="s">
        <v>106</v>
      </c>
      <c r="F4" s="56" t="s">
        <v>107</v>
      </c>
      <c r="G4" s="56" t="s">
        <v>88</v>
      </c>
      <c r="H4" s="56" t="s">
        <v>108</v>
      </c>
      <c r="I4" s="56" t="s">
        <v>90</v>
      </c>
      <c r="J4" s="56" t="s">
        <v>109</v>
      </c>
      <c r="K4" s="56" t="s">
        <v>110</v>
      </c>
      <c r="L4" s="57" t="s">
        <v>111</v>
      </c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4"/>
      <c r="CE4" s="54"/>
    </row>
    <row r="5" spans="3:83" ht="15" customHeight="1" x14ac:dyDescent="0.2">
      <c r="C5" s="6">
        <v>1</v>
      </c>
      <c r="D5" s="58" t="str">
        <f>Dane!C7</f>
        <v>RTX4060</v>
      </c>
      <c r="E5" s="59">
        <v>3.1451964061141817</v>
      </c>
      <c r="F5" s="60">
        <v>0.50658561296859173</v>
      </c>
      <c r="G5" s="60">
        <v>8</v>
      </c>
      <c r="H5" s="60">
        <v>-2.2665983157327756</v>
      </c>
      <c r="I5" s="61">
        <v>115</v>
      </c>
      <c r="J5" s="62">
        <v>3.2624510897304293</v>
      </c>
      <c r="K5" s="59">
        <v>2.6294095991027189</v>
      </c>
      <c r="L5" s="63">
        <v>1.9822712330395684</v>
      </c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4"/>
    </row>
    <row r="6" spans="3:83" ht="15" customHeight="1" x14ac:dyDescent="0.2">
      <c r="C6" s="6">
        <v>2</v>
      </c>
      <c r="D6" s="58" t="str">
        <f>Dane!C8</f>
        <v>RTX3060</v>
      </c>
      <c r="E6" s="59">
        <v>3.1528995963937474</v>
      </c>
      <c r="F6" s="60">
        <v>0.24073182474723154</v>
      </c>
      <c r="G6" s="60">
        <v>36</v>
      </c>
      <c r="H6" s="60">
        <v>-0.94601834165116139</v>
      </c>
      <c r="I6" s="61">
        <v>170</v>
      </c>
      <c r="J6" s="62">
        <v>3.12057393120585</v>
      </c>
      <c r="K6" s="59">
        <v>2.7109631189952759</v>
      </c>
      <c r="L6" s="63">
        <v>1.9444826721501687</v>
      </c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  <c r="BY6" s="54"/>
      <c r="BZ6" s="54"/>
      <c r="CA6" s="54"/>
      <c r="CB6" s="54"/>
      <c r="CC6" s="54"/>
      <c r="CD6" s="54"/>
      <c r="CE6" s="54"/>
    </row>
    <row r="7" spans="3:83" ht="15" customHeight="1" x14ac:dyDescent="0.2">
      <c r="C7" s="6">
        <v>3</v>
      </c>
      <c r="D7" s="58" t="str">
        <f>Dane!C9</f>
        <v>GTX1080</v>
      </c>
      <c r="E7" s="59">
        <v>3.2778383330020473</v>
      </c>
      <c r="F7" s="60">
        <v>0.54824561403508765</v>
      </c>
      <c r="G7" s="60">
        <v>84</v>
      </c>
      <c r="H7" s="60">
        <v>-0.48640750373717689</v>
      </c>
      <c r="I7" s="61">
        <v>180</v>
      </c>
      <c r="J7" s="62">
        <v>3.2060158767633444</v>
      </c>
      <c r="K7" s="59">
        <v>2.6760531246518715</v>
      </c>
      <c r="L7" s="63">
        <v>1.9138138523837167</v>
      </c>
      <c r="O7" s="54"/>
      <c r="P7" s="54"/>
      <c r="Q7" s="54"/>
      <c r="R7" s="54"/>
      <c r="S7" s="54"/>
      <c r="T7" s="54"/>
      <c r="U7" s="54"/>
      <c r="V7" s="54"/>
      <c r="W7" s="54"/>
      <c r="X7" s="78" t="s">
        <v>75</v>
      </c>
      <c r="Y7" s="54"/>
      <c r="Z7" s="54"/>
      <c r="AA7" s="54"/>
      <c r="AB7" s="54"/>
      <c r="AC7" s="54"/>
      <c r="AD7" s="54"/>
      <c r="AE7" s="54"/>
      <c r="AF7" s="54"/>
      <c r="AG7" s="78" t="s">
        <v>75</v>
      </c>
      <c r="AH7" s="54"/>
      <c r="AI7" s="54"/>
      <c r="AJ7" s="54"/>
      <c r="AK7" s="54"/>
      <c r="AL7" s="54"/>
      <c r="AM7" s="54"/>
      <c r="AN7" s="54"/>
      <c r="AO7" s="54"/>
      <c r="AP7" s="78" t="s">
        <v>75</v>
      </c>
      <c r="AQ7" s="54"/>
      <c r="AR7" s="54"/>
      <c r="AS7" s="54"/>
      <c r="AT7" s="54"/>
      <c r="AU7" s="54"/>
      <c r="AV7" s="54"/>
      <c r="AW7" s="54"/>
      <c r="AX7" s="54"/>
      <c r="AY7" s="78" t="s">
        <v>75</v>
      </c>
      <c r="AZ7" s="54"/>
      <c r="BA7" s="54"/>
      <c r="BB7" s="54"/>
      <c r="BC7" s="54"/>
      <c r="BD7" s="54"/>
      <c r="BE7" s="54"/>
      <c r="BF7" s="54"/>
      <c r="BG7" s="54"/>
      <c r="BH7" s="78" t="s">
        <v>75</v>
      </c>
      <c r="BI7" s="54"/>
      <c r="BJ7" s="54"/>
      <c r="BK7" s="54"/>
      <c r="BL7" s="54"/>
      <c r="BM7" s="54"/>
      <c r="BN7" s="54"/>
      <c r="BO7" s="54"/>
      <c r="BP7" s="54"/>
      <c r="BQ7" s="78" t="s">
        <v>75</v>
      </c>
      <c r="BR7" s="54"/>
      <c r="BS7" s="54"/>
      <c r="BT7" s="54"/>
      <c r="BU7" s="54"/>
      <c r="BV7" s="54"/>
      <c r="BW7" s="54"/>
      <c r="BX7" s="54"/>
      <c r="BY7" s="54"/>
      <c r="BZ7" s="78" t="s">
        <v>75</v>
      </c>
      <c r="CA7" s="54"/>
      <c r="CB7" s="54"/>
      <c r="CC7" s="54"/>
      <c r="CD7" s="54"/>
      <c r="CE7" s="54"/>
    </row>
    <row r="8" spans="3:83" ht="15" customHeight="1" x14ac:dyDescent="0.2">
      <c r="C8" s="6">
        <v>4</v>
      </c>
      <c r="D8" s="58" t="str">
        <f>Dane!C10</f>
        <v>RTX2060</v>
      </c>
      <c r="E8" s="59">
        <v>3.1866738674997452</v>
      </c>
      <c r="F8" s="60">
        <v>0.44762757385854968</v>
      </c>
      <c r="G8" s="60">
        <v>60</v>
      </c>
      <c r="H8" s="60">
        <v>-0.76492400248178516</v>
      </c>
      <c r="I8" s="61">
        <v>160</v>
      </c>
      <c r="J8" s="62">
        <v>3.1351326513767748</v>
      </c>
      <c r="K8" s="59">
        <v>2.6901960800285138</v>
      </c>
      <c r="L8" s="63">
        <v>1.9138138523837167</v>
      </c>
      <c r="O8" s="54"/>
      <c r="P8" s="54"/>
      <c r="Q8" s="54"/>
      <c r="R8" s="54"/>
      <c r="S8" s="54"/>
      <c r="T8" s="54"/>
      <c r="U8" s="54"/>
      <c r="V8" s="54"/>
      <c r="W8" s="54"/>
      <c r="X8" s="75">
        <f>P218</f>
        <v>-0.25676236081470621</v>
      </c>
      <c r="Y8" s="54"/>
      <c r="Z8" s="54"/>
      <c r="AA8" s="54"/>
      <c r="AB8" s="54"/>
      <c r="AC8" s="54"/>
      <c r="AD8" s="54"/>
      <c r="AE8" s="54"/>
      <c r="AF8" s="54"/>
      <c r="AG8" s="75">
        <f>Q218</f>
        <v>-0.48951390530839589</v>
      </c>
      <c r="AH8" s="54"/>
      <c r="AI8" s="54"/>
      <c r="AJ8" s="54"/>
      <c r="AK8" s="54"/>
      <c r="AL8" s="54"/>
      <c r="AM8" s="54"/>
      <c r="AN8" s="54"/>
      <c r="AO8" s="54"/>
      <c r="AP8" s="75">
        <f>R218</f>
        <v>-0.28287293154163345</v>
      </c>
      <c r="AQ8" s="54"/>
      <c r="AR8" s="54"/>
      <c r="AS8" s="54"/>
      <c r="AT8" s="54"/>
      <c r="AU8" s="54"/>
      <c r="AV8" s="54"/>
      <c r="AW8" s="54"/>
      <c r="AX8" s="54"/>
      <c r="AY8" s="75">
        <f>S218</f>
        <v>0.88795807257407244</v>
      </c>
      <c r="AZ8" s="54"/>
      <c r="BA8" s="54"/>
      <c r="BB8" s="54"/>
      <c r="BC8" s="54"/>
      <c r="BD8" s="54"/>
      <c r="BE8" s="54"/>
      <c r="BF8" s="54"/>
      <c r="BG8" s="54"/>
      <c r="BH8" s="75">
        <f>T218</f>
        <v>0.5977163362522856</v>
      </c>
      <c r="BI8" s="54"/>
      <c r="BJ8" s="54"/>
      <c r="BK8" s="54"/>
      <c r="BL8" s="54"/>
      <c r="BM8" s="54"/>
      <c r="BN8" s="54"/>
      <c r="BO8" s="54"/>
      <c r="BP8" s="54"/>
      <c r="BQ8" s="75">
        <f>U218</f>
        <v>0.84818040890713098</v>
      </c>
      <c r="BR8" s="54"/>
      <c r="BS8" s="54"/>
      <c r="BT8" s="54"/>
      <c r="BU8" s="54"/>
      <c r="BV8" s="54"/>
      <c r="BW8" s="54"/>
      <c r="BX8" s="54"/>
      <c r="BY8" s="54"/>
      <c r="BZ8" s="75">
        <f>V218</f>
        <v>0.83058479418610476</v>
      </c>
      <c r="CA8" s="54"/>
      <c r="CB8" s="54"/>
      <c r="CC8" s="54"/>
      <c r="CD8" s="53"/>
      <c r="CE8" s="54"/>
    </row>
    <row r="9" spans="3:83" ht="15" customHeight="1" x14ac:dyDescent="0.2">
      <c r="C9" s="6">
        <v>5</v>
      </c>
      <c r="D9" s="58" t="str">
        <f>Dane!C11</f>
        <v>RTX4090</v>
      </c>
      <c r="E9" s="59">
        <v>3.9832202146481031</v>
      </c>
      <c r="F9" s="60">
        <v>0.71225071225071235</v>
      </c>
      <c r="G9" s="60">
        <v>17</v>
      </c>
      <c r="H9" s="60">
        <v>-2.2266453819531487</v>
      </c>
      <c r="I9" s="61">
        <v>450</v>
      </c>
      <c r="J9" s="62">
        <v>3.3492775274679554</v>
      </c>
      <c r="K9" s="59">
        <v>3.0652061280543119</v>
      </c>
      <c r="L9" s="63">
        <v>2.3138672203691533</v>
      </c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  <c r="CC9" s="54"/>
      <c r="CD9" s="54"/>
      <c r="CE9" s="54"/>
    </row>
    <row r="10" spans="3:83" ht="15" customHeight="1" x14ac:dyDescent="0.2">
      <c r="C10" s="6">
        <v>6</v>
      </c>
      <c r="D10" s="58" t="str">
        <f>Dane!C12</f>
        <v>GTX970</v>
      </c>
      <c r="E10" s="59">
        <v>2.976808337338066</v>
      </c>
      <c r="F10" s="60">
        <v>1.0706638115631693</v>
      </c>
      <c r="G10" s="60">
        <v>108</v>
      </c>
      <c r="H10" s="60">
        <v>-0.63086238411685391</v>
      </c>
      <c r="I10" s="61">
        <v>148</v>
      </c>
      <c r="J10" s="62">
        <v>3.0211892990699383</v>
      </c>
      <c r="K10" s="59">
        <v>2.5779511277297553</v>
      </c>
      <c r="L10" s="63">
        <v>1.8061799739838871</v>
      </c>
      <c r="O10" s="54"/>
      <c r="P10" s="54"/>
      <c r="Q10" s="54"/>
      <c r="R10" s="54"/>
      <c r="S10" s="54"/>
      <c r="T10" s="54"/>
      <c r="U10" s="54"/>
      <c r="V10" s="54"/>
      <c r="W10" s="54"/>
      <c r="X10" s="78" t="s">
        <v>76</v>
      </c>
      <c r="Y10" s="54"/>
      <c r="Z10" s="54"/>
      <c r="AA10" s="54"/>
      <c r="AB10" s="54"/>
      <c r="AC10" s="54"/>
      <c r="AD10" s="54"/>
      <c r="AE10" s="54"/>
      <c r="AF10" s="54"/>
      <c r="AG10" s="78" t="s">
        <v>76</v>
      </c>
      <c r="AH10" s="54"/>
      <c r="AI10" s="54"/>
      <c r="AJ10" s="54"/>
      <c r="AK10" s="54"/>
      <c r="AL10" s="54"/>
      <c r="AM10" s="54"/>
      <c r="AN10" s="54"/>
      <c r="AO10" s="54"/>
      <c r="AP10" s="78" t="s">
        <v>76</v>
      </c>
      <c r="AQ10" s="54"/>
      <c r="AR10" s="54"/>
      <c r="AS10" s="54"/>
      <c r="AT10" s="54"/>
      <c r="AU10" s="54"/>
      <c r="AV10" s="54"/>
      <c r="AW10" s="54"/>
      <c r="AX10" s="54"/>
      <c r="AY10" s="78" t="s">
        <v>76</v>
      </c>
      <c r="AZ10" s="54"/>
      <c r="BA10" s="54"/>
      <c r="BB10" s="54"/>
      <c r="BC10" s="54"/>
      <c r="BD10" s="54"/>
      <c r="BE10" s="54"/>
      <c r="BF10" s="54"/>
      <c r="BG10" s="54"/>
      <c r="BH10" s="78" t="s">
        <v>76</v>
      </c>
      <c r="BI10" s="54"/>
      <c r="BJ10" s="54"/>
      <c r="BK10" s="54"/>
      <c r="BL10" s="54"/>
      <c r="BM10" s="54"/>
      <c r="BN10" s="54"/>
      <c r="BO10" s="54"/>
      <c r="BP10" s="54"/>
      <c r="BQ10" s="78" t="s">
        <v>76</v>
      </c>
      <c r="BR10" s="54"/>
      <c r="BS10" s="54"/>
      <c r="BT10" s="54"/>
      <c r="BU10" s="54"/>
      <c r="BV10" s="54"/>
      <c r="BW10" s="54"/>
      <c r="BX10" s="54"/>
      <c r="BY10" s="54"/>
      <c r="BZ10" s="78" t="s">
        <v>76</v>
      </c>
      <c r="CA10" s="54"/>
      <c r="CB10" s="54"/>
      <c r="CC10" s="54"/>
      <c r="CD10" s="54"/>
      <c r="CE10" s="54"/>
    </row>
    <row r="11" spans="3:83" ht="15" customHeight="1" x14ac:dyDescent="0.2">
      <c r="C11" s="6">
        <v>7</v>
      </c>
      <c r="D11" s="58" t="str">
        <f>Dane!C13</f>
        <v>GTX660</v>
      </c>
      <c r="E11" s="59">
        <v>2.9063350418050908</v>
      </c>
      <c r="F11" s="60">
        <v>7.4626865671641784</v>
      </c>
      <c r="G11" s="60">
        <v>132</v>
      </c>
      <c r="H11" s="60">
        <v>-1.5377746120788371</v>
      </c>
      <c r="I11" s="61">
        <v>140</v>
      </c>
      <c r="J11" s="62">
        <v>2.9912260756924947</v>
      </c>
      <c r="K11" s="59">
        <v>2.4745076391169758</v>
      </c>
      <c r="L11" s="63">
        <v>1.7242758696007889</v>
      </c>
      <c r="O11" s="54"/>
      <c r="P11" s="54"/>
      <c r="Q11" s="54"/>
      <c r="R11" s="54"/>
      <c r="S11" s="54"/>
      <c r="T11" s="54"/>
      <c r="U11" s="54"/>
      <c r="V11" s="54"/>
      <c r="W11" s="54"/>
      <c r="X11" s="76">
        <f>P229</f>
        <v>6.5926909931141378E-2</v>
      </c>
      <c r="Y11" s="54"/>
      <c r="Z11" s="54"/>
      <c r="AA11" s="54"/>
      <c r="AB11" s="54"/>
      <c r="AC11" s="54"/>
      <c r="AD11" s="54"/>
      <c r="AE11" s="54"/>
      <c r="AF11" s="54"/>
      <c r="AG11" s="76">
        <f>Q229</f>
        <v>0.23962386349027717</v>
      </c>
      <c r="AH11" s="54"/>
      <c r="AI11" s="54"/>
      <c r="AJ11" s="54"/>
      <c r="AK11" s="54"/>
      <c r="AL11" s="54"/>
      <c r="AM11" s="54"/>
      <c r="AN11" s="54"/>
      <c r="AO11" s="54"/>
      <c r="AP11" s="76">
        <f>R229</f>
        <v>8.0017095398957641E-2</v>
      </c>
      <c r="AQ11" s="54"/>
      <c r="AR11" s="54"/>
      <c r="AS11" s="54"/>
      <c r="AT11" s="54"/>
      <c r="AU11" s="54"/>
      <c r="AV11" s="54"/>
      <c r="AW11" s="54"/>
      <c r="AX11" s="54"/>
      <c r="AY11" s="76">
        <f>S229</f>
        <v>0.78846953864946168</v>
      </c>
      <c r="AZ11" s="54"/>
      <c r="BA11" s="54"/>
      <c r="BB11" s="54"/>
      <c r="BC11" s="54"/>
      <c r="BD11" s="54"/>
      <c r="BE11" s="54"/>
      <c r="BF11" s="54"/>
      <c r="BG11" s="54"/>
      <c r="BH11" s="76">
        <f>T229</f>
        <v>0.35726481862285536</v>
      </c>
      <c r="BI11" s="54"/>
      <c r="BJ11" s="54"/>
      <c r="BK11" s="54"/>
      <c r="BL11" s="54"/>
      <c r="BM11" s="54"/>
      <c r="BN11" s="54"/>
      <c r="BO11" s="54"/>
      <c r="BP11" s="54"/>
      <c r="BQ11" s="76">
        <f>U229</f>
        <v>0.71941000605386796</v>
      </c>
      <c r="BR11" s="54"/>
      <c r="BS11" s="54"/>
      <c r="BT11" s="54"/>
      <c r="BU11" s="54"/>
      <c r="BV11" s="54"/>
      <c r="BW11" s="54"/>
      <c r="BX11" s="54"/>
      <c r="BY11" s="54"/>
      <c r="BZ11" s="76">
        <f>V229</f>
        <v>0.689871100333174</v>
      </c>
      <c r="CA11" s="54"/>
      <c r="CB11" s="54"/>
      <c r="CC11" s="54"/>
      <c r="CD11" s="54"/>
      <c r="CE11" s="54"/>
    </row>
    <row r="12" spans="3:83" ht="15" customHeight="1" x14ac:dyDescent="0.2">
      <c r="C12" s="6">
        <v>8</v>
      </c>
      <c r="D12" s="58" t="str">
        <f>Dane!C14</f>
        <v>GTX580</v>
      </c>
      <c r="E12" s="59">
        <v>3.3289908554494287</v>
      </c>
      <c r="F12" s="60">
        <v>-62.500000000000014</v>
      </c>
      <c r="G12" s="60">
        <v>156</v>
      </c>
      <c r="H12" s="60">
        <v>-2.4545507815330256</v>
      </c>
      <c r="I12" s="61">
        <v>244</v>
      </c>
      <c r="J12" s="62">
        <v>2.8876173003357359</v>
      </c>
      <c r="K12" s="59">
        <v>2.5395778833453089</v>
      </c>
      <c r="L12" s="63">
        <v>1.7075701760979363</v>
      </c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4"/>
      <c r="BS12" s="54"/>
      <c r="BT12" s="54"/>
      <c r="BU12" s="54"/>
      <c r="BV12" s="54"/>
      <c r="BW12" s="54"/>
      <c r="BX12" s="54"/>
      <c r="BY12" s="54"/>
      <c r="BZ12" s="54"/>
      <c r="CA12" s="54"/>
      <c r="CB12" s="54"/>
      <c r="CC12" s="54"/>
      <c r="CD12" s="54"/>
      <c r="CE12" s="54"/>
    </row>
    <row r="13" spans="3:83" ht="15" customHeight="1" x14ac:dyDescent="0.2">
      <c r="C13" s="6">
        <v>9</v>
      </c>
      <c r="D13" s="58" t="str">
        <f>Dane!C15</f>
        <v>GTX960M</v>
      </c>
      <c r="E13" s="59">
        <v>2.8041394323353503</v>
      </c>
      <c r="F13" s="60">
        <v>71.428571428571402</v>
      </c>
      <c r="G13" s="60">
        <v>96</v>
      </c>
      <c r="H13" s="60">
        <v>-1.7706733774733252</v>
      </c>
      <c r="I13" s="61">
        <v>75</v>
      </c>
      <c r="J13" s="62">
        <v>3.0402066275747113</v>
      </c>
      <c r="K13" s="59">
        <v>2.3695683465965476</v>
      </c>
      <c r="L13" s="63">
        <v>1.7242758696007889</v>
      </c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</row>
    <row r="14" spans="3:83" ht="15" customHeight="1" x14ac:dyDescent="0.2">
      <c r="C14" s="6">
        <v>10</v>
      </c>
      <c r="D14" s="58" t="str">
        <f>Dane!C16</f>
        <v>RTX4080</v>
      </c>
      <c r="E14" s="59">
        <v>3.7476448193282481</v>
      </c>
      <c r="F14" s="60">
        <v>1.1709601873536299</v>
      </c>
      <c r="G14" s="60">
        <v>16</v>
      </c>
      <c r="H14" s="60">
        <v>-2.2794866754189762</v>
      </c>
      <c r="I14" s="61">
        <v>320</v>
      </c>
      <c r="J14" s="62">
        <v>3.3434085938038574</v>
      </c>
      <c r="K14" s="59">
        <v>2.9399184203690565</v>
      </c>
      <c r="L14" s="63">
        <v>2.1846914308175989</v>
      </c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4"/>
      <c r="BR14" s="54"/>
      <c r="BS14" s="54"/>
      <c r="BT14" s="54"/>
      <c r="BU14" s="54"/>
      <c r="BV14" s="54"/>
      <c r="BW14" s="54"/>
      <c r="BX14" s="54"/>
      <c r="BY14" s="54"/>
      <c r="BZ14" s="54"/>
      <c r="CA14" s="54"/>
      <c r="CB14" s="54"/>
      <c r="CC14" s="54"/>
      <c r="CD14" s="54"/>
      <c r="CE14" s="54"/>
    </row>
    <row r="15" spans="3:83" ht="15" customHeight="1" x14ac:dyDescent="0.2">
      <c r="C15" s="6">
        <v>11</v>
      </c>
      <c r="D15" s="58" t="str">
        <f>Dane!C17</f>
        <v>RTX3050</v>
      </c>
      <c r="E15" s="59">
        <v>3.095518042323151</v>
      </c>
      <c r="F15" s="60">
        <v>1.6286644951140066</v>
      </c>
      <c r="G15" s="60">
        <v>24</v>
      </c>
      <c r="H15" s="60">
        <v>-1.9964135400295535</v>
      </c>
      <c r="I15" s="61">
        <v>130</v>
      </c>
      <c r="J15" s="62">
        <v>3.1908917169221698</v>
      </c>
      <c r="K15" s="59">
        <v>2.5774917998372255</v>
      </c>
      <c r="L15" s="63">
        <v>1.8808135922807914</v>
      </c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  <c r="CC15" s="54"/>
      <c r="CD15" s="54"/>
      <c r="CE15" s="54"/>
    </row>
    <row r="16" spans="3:83" ht="15" customHeight="1" x14ac:dyDescent="0.2">
      <c r="C16" s="6">
        <v>12</v>
      </c>
      <c r="D16" s="58" t="str">
        <f>Dane!C18</f>
        <v>GTX1070</v>
      </c>
      <c r="E16" s="59">
        <v>2.7979596437371961</v>
      </c>
      <c r="F16" s="60">
        <v>0.48685491723466412</v>
      </c>
      <c r="G16" s="60">
        <v>84</v>
      </c>
      <c r="H16" s="60">
        <v>-0.3043145995953021</v>
      </c>
      <c r="I16" s="61">
        <v>150</v>
      </c>
      <c r="J16" s="62">
        <v>3.1778249718646818</v>
      </c>
      <c r="K16" s="59">
        <v>2.6131015169669127</v>
      </c>
      <c r="L16" s="63">
        <v>1.8750612633917001</v>
      </c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54"/>
      <c r="CB16" s="54"/>
      <c r="CC16" s="54"/>
      <c r="CD16" s="54"/>
      <c r="CE16" s="54"/>
    </row>
    <row r="17" spans="3:83" ht="15" customHeight="1" x14ac:dyDescent="0.2">
      <c r="C17" s="6">
        <v>13</v>
      </c>
      <c r="D17" s="58" t="str">
        <f>Dane!C19</f>
        <v>GTX980</v>
      </c>
      <c r="E17" s="59">
        <v>3.374748346010104</v>
      </c>
      <c r="F17" s="60">
        <v>4.4642857142857144</v>
      </c>
      <c r="G17" s="60">
        <v>108</v>
      </c>
      <c r="H17" s="60">
        <v>-1.4036426478427486</v>
      </c>
      <c r="I17" s="61">
        <v>165</v>
      </c>
      <c r="J17" s="62">
        <v>3.0519239160461065</v>
      </c>
      <c r="K17" s="59">
        <v>2.5779511277297553</v>
      </c>
      <c r="L17" s="63">
        <v>1.8260748027008264</v>
      </c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  <c r="CB17" s="54"/>
      <c r="CC17" s="54"/>
      <c r="CD17" s="54"/>
      <c r="CE17" s="54"/>
    </row>
    <row r="18" spans="3:83" ht="15" customHeight="1" x14ac:dyDescent="0.2">
      <c r="C18" s="6">
        <v>14</v>
      </c>
      <c r="D18" s="58" t="str">
        <f>Dane!C20</f>
        <v>GTX460</v>
      </c>
      <c r="E18" s="59">
        <v>2.9831750720378132</v>
      </c>
      <c r="F18" s="60">
        <v>-38.461538461538467</v>
      </c>
      <c r="G18" s="60">
        <v>156</v>
      </c>
      <c r="H18" s="60">
        <v>-2.1399713564596086</v>
      </c>
      <c r="I18" s="61">
        <v>160</v>
      </c>
      <c r="J18" s="62">
        <v>2.8293037728310249</v>
      </c>
      <c r="K18" s="59">
        <v>2.3809344633307021</v>
      </c>
      <c r="L18" s="63">
        <v>1.6989700043360187</v>
      </c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  <c r="BU18" s="54"/>
      <c r="BV18" s="54"/>
      <c r="BW18" s="54"/>
      <c r="BX18" s="54"/>
      <c r="BY18" s="54"/>
      <c r="BZ18" s="54"/>
      <c r="CA18" s="54"/>
      <c r="CB18" s="54"/>
      <c r="CC18" s="54"/>
      <c r="CD18" s="54"/>
      <c r="CE18" s="54"/>
    </row>
    <row r="19" spans="3:83" ht="15" customHeight="1" x14ac:dyDescent="0.2">
      <c r="C19" s="6">
        <v>15</v>
      </c>
      <c r="D19" s="58" t="str">
        <f>Dane!C21</f>
        <v>GTX650</v>
      </c>
      <c r="E19" s="59">
        <v>2.725094521081469</v>
      </c>
      <c r="F19" s="60">
        <v>22.727272727272727</v>
      </c>
      <c r="G19" s="60">
        <v>132</v>
      </c>
      <c r="H19" s="60">
        <v>-1.7934561819603538</v>
      </c>
      <c r="I19" s="61">
        <v>65</v>
      </c>
      <c r="J19" s="62">
        <v>3.0244856676991669</v>
      </c>
      <c r="K19" s="59">
        <v>2.369215857410143</v>
      </c>
      <c r="L19" s="63">
        <v>1.6989700043360187</v>
      </c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  <c r="CA19" s="54"/>
      <c r="CB19" s="54"/>
      <c r="CC19" s="54"/>
      <c r="CD19" s="54"/>
      <c r="CE19" s="54"/>
    </row>
    <row r="20" spans="3:83" ht="15" customHeight="1" x14ac:dyDescent="0.2">
      <c r="C20" s="6">
        <v>16</v>
      </c>
      <c r="D20" s="58" t="str">
        <f>Dane!C22</f>
        <v>RTX3070</v>
      </c>
      <c r="E20" s="59">
        <v>3.3040594662175993</v>
      </c>
      <c r="F20" s="60">
        <v>0.32530904359141188</v>
      </c>
      <c r="G20" s="60">
        <v>36</v>
      </c>
      <c r="H20" s="60">
        <v>-0.78539208245228709</v>
      </c>
      <c r="I20" s="61">
        <v>220</v>
      </c>
      <c r="J20" s="62">
        <v>3.1760912590556813</v>
      </c>
      <c r="K20" s="59">
        <v>2.7795964912578244</v>
      </c>
      <c r="L20" s="63">
        <v>2.0413926851582249</v>
      </c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4"/>
      <c r="BO20" s="54"/>
      <c r="BP20" s="54"/>
      <c r="BQ20" s="54"/>
      <c r="BR20" s="54"/>
      <c r="BS20" s="54"/>
      <c r="BT20" s="54"/>
      <c r="BU20" s="54"/>
      <c r="BV20" s="54"/>
      <c r="BW20" s="54"/>
      <c r="BX20" s="54"/>
      <c r="BY20" s="54"/>
      <c r="BZ20" s="54"/>
      <c r="CA20" s="54"/>
      <c r="CB20" s="54"/>
      <c r="CC20" s="54"/>
      <c r="CD20" s="54"/>
      <c r="CE20" s="54"/>
    </row>
    <row r="21" spans="3:83" ht="15" customHeight="1" x14ac:dyDescent="0.2">
      <c r="C21" s="6">
        <v>17</v>
      </c>
      <c r="D21" s="58" t="str">
        <f>Dane!C23</f>
        <v>RTX4070</v>
      </c>
      <c r="E21" s="59">
        <v>3.4000196350651586</v>
      </c>
      <c r="F21" s="60">
        <v>0.47755491881566381</v>
      </c>
      <c r="G21" s="60">
        <v>120</v>
      </c>
      <c r="H21" s="60">
        <v>-1.9801078582247456</v>
      </c>
      <c r="I21" s="61">
        <v>200</v>
      </c>
      <c r="J21" s="62">
        <v>3.2833012287035497</v>
      </c>
      <c r="K21" s="59">
        <v>2.8183578779583547</v>
      </c>
      <c r="L21" s="63">
        <v>2.1105897102992488</v>
      </c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</row>
    <row r="22" spans="3:83" ht="15" customHeight="1" x14ac:dyDescent="0.2">
      <c r="C22" s="6">
        <v>18</v>
      </c>
      <c r="D22" s="58" t="str">
        <f>Dane!C24</f>
        <v>GTX780</v>
      </c>
      <c r="E22" s="59">
        <v>3.1928461151888419</v>
      </c>
      <c r="F22" s="60">
        <v>41.666666666666664</v>
      </c>
      <c r="G22" s="60">
        <v>120</v>
      </c>
      <c r="H22" s="60">
        <v>-1.9370747699033011</v>
      </c>
      <c r="I22" s="64">
        <v>250</v>
      </c>
      <c r="J22" s="65">
        <v>2.9360107957152097</v>
      </c>
      <c r="K22" s="65">
        <v>2.6458151182966416</v>
      </c>
      <c r="L22" s="63">
        <v>1.7781512503836436</v>
      </c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  <c r="BO22" s="54"/>
      <c r="BP22" s="54"/>
      <c r="BQ22" s="54"/>
      <c r="BR22" s="54"/>
      <c r="BS22" s="54"/>
      <c r="BT22" s="54"/>
      <c r="BU22" s="54"/>
      <c r="BV22" s="54"/>
      <c r="BW22" s="54"/>
      <c r="BX22" s="54"/>
      <c r="BY22" s="54"/>
      <c r="BZ22" s="54"/>
      <c r="CA22" s="54"/>
      <c r="CB22" s="54"/>
      <c r="CC22" s="54"/>
      <c r="CD22" s="54"/>
      <c r="CE22" s="54"/>
    </row>
    <row r="23" spans="3:83" ht="15" customHeight="1" x14ac:dyDescent="0.2">
      <c r="C23" s="6">
        <v>19</v>
      </c>
      <c r="D23" s="58" t="str">
        <f>Dane!C25</f>
        <v>RTX4070T</v>
      </c>
      <c r="E23" s="59">
        <v>3.5508396050657849</v>
      </c>
      <c r="F23" s="60">
        <v>0.62344139650872821</v>
      </c>
      <c r="G23" s="60">
        <v>14</v>
      </c>
      <c r="H23" s="60">
        <v>-1.975348925855567</v>
      </c>
      <c r="I23" s="61">
        <v>285</v>
      </c>
      <c r="J23" s="62">
        <v>3.3636119798921444</v>
      </c>
      <c r="K23" s="59">
        <v>2.8183578779583547</v>
      </c>
      <c r="L23" s="63">
        <v>2.1760912590556813</v>
      </c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4"/>
      <c r="BU23" s="54"/>
      <c r="BV23" s="54"/>
      <c r="BW23" s="54"/>
      <c r="BX23" s="54"/>
      <c r="BY23" s="54"/>
      <c r="BZ23" s="54"/>
      <c r="CA23" s="54"/>
      <c r="CB23" s="54"/>
      <c r="CC23" s="54"/>
      <c r="CD23" s="54"/>
      <c r="CE23" s="54"/>
    </row>
    <row r="24" spans="3:83" ht="15" customHeight="1" x14ac:dyDescent="0.2">
      <c r="C24" s="6">
        <v>20</v>
      </c>
      <c r="D24" s="58" t="str">
        <f>Dane!C26</f>
        <v>RTX3080T</v>
      </c>
      <c r="E24" s="59">
        <v>3.4610480916706576</v>
      </c>
      <c r="F24" s="60">
        <v>0.93109869646182486</v>
      </c>
      <c r="G24" s="60">
        <v>24</v>
      </c>
      <c r="H24" s="60">
        <v>-1.4365740985251962</v>
      </c>
      <c r="I24" s="61">
        <v>350</v>
      </c>
      <c r="J24" s="62">
        <v>3.1351326513767748</v>
      </c>
      <c r="K24" s="59">
        <v>3.027920136405803</v>
      </c>
      <c r="L24" s="63">
        <v>2.1335389083702174</v>
      </c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  <c r="BO24" s="54"/>
      <c r="BP24" s="54"/>
      <c r="BQ24" s="54"/>
      <c r="BR24" s="54"/>
      <c r="BS24" s="54"/>
      <c r="BT24" s="54"/>
      <c r="BU24" s="54"/>
      <c r="BV24" s="54"/>
      <c r="BW24" s="54"/>
      <c r="BX24" s="54"/>
      <c r="BY24" s="54"/>
      <c r="BZ24" s="54"/>
      <c r="CA24" s="54"/>
      <c r="CB24" s="54"/>
      <c r="CC24" s="54"/>
      <c r="CD24" s="54"/>
      <c r="CE24" s="54"/>
    </row>
    <row r="25" spans="3:83" ht="15" customHeight="1" x14ac:dyDescent="0.2">
      <c r="C25" s="6">
        <v>21</v>
      </c>
      <c r="D25" s="58" t="str">
        <f>Dane!C27</f>
        <v>RTX3060T</v>
      </c>
      <c r="E25" s="59">
        <v>3.2073650374690716</v>
      </c>
      <c r="F25" s="60">
        <v>0.37965072133637057</v>
      </c>
      <c r="G25" s="60">
        <v>36</v>
      </c>
      <c r="H25" s="60">
        <v>-0.95154365916318262</v>
      </c>
      <c r="I25" s="61">
        <v>200</v>
      </c>
      <c r="J25" s="62">
        <v>3.1492191126553797</v>
      </c>
      <c r="K25" s="59">
        <v>2.7795964912578244</v>
      </c>
      <c r="L25" s="63">
        <v>2.0043213737826426</v>
      </c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</row>
    <row r="26" spans="3:83" ht="15" customHeight="1" x14ac:dyDescent="0.2">
      <c r="C26" s="6">
        <v>22</v>
      </c>
      <c r="D26" s="58" t="str">
        <f>Dane!C28</f>
        <v>RTX2080T</v>
      </c>
      <c r="E26" s="59">
        <v>3.3201462861110542</v>
      </c>
      <c r="F26" s="60">
        <v>1.2594458438287155</v>
      </c>
      <c r="G26" s="60">
        <v>60</v>
      </c>
      <c r="H26" s="60">
        <v>-1.0527845975978549</v>
      </c>
      <c r="I26" s="61">
        <v>250</v>
      </c>
      <c r="J26" s="62">
        <v>3.1303337684950061</v>
      </c>
      <c r="K26" s="59">
        <v>2.8864907251724818</v>
      </c>
      <c r="L26" s="63">
        <v>2.0569048513364727</v>
      </c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4"/>
      <c r="BU26" s="54"/>
      <c r="BV26" s="54"/>
      <c r="BW26" s="54"/>
      <c r="BX26" s="54"/>
      <c r="BY26" s="54"/>
      <c r="BZ26" s="54"/>
      <c r="CA26" s="54"/>
      <c r="CB26" s="54"/>
      <c r="CC26" s="54"/>
      <c r="CD26" s="54"/>
      <c r="CE26" s="54"/>
    </row>
    <row r="27" spans="3:83" ht="15" customHeight="1" x14ac:dyDescent="0.2">
      <c r="C27" s="6">
        <v>23</v>
      </c>
      <c r="D27" s="58" t="str">
        <f>Dane!C29</f>
        <v>RTX4070S</v>
      </c>
      <c r="E27" s="59">
        <v>3.4000196350651586</v>
      </c>
      <c r="F27" s="60">
        <v>0.47984644913627639</v>
      </c>
      <c r="G27" s="60">
        <v>120</v>
      </c>
      <c r="H27" s="60">
        <v>-1.9801078582247456</v>
      </c>
      <c r="I27" s="61">
        <v>200</v>
      </c>
      <c r="J27" s="62">
        <v>3.2833012287035497</v>
      </c>
      <c r="K27" s="59">
        <v>2.8183578779583547</v>
      </c>
      <c r="L27" s="63">
        <v>2.1105897102992488</v>
      </c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4"/>
      <c r="BU27" s="54"/>
      <c r="BV27" s="54"/>
      <c r="BW27" s="54"/>
      <c r="BX27" s="54"/>
      <c r="BY27" s="54"/>
      <c r="BZ27" s="54"/>
      <c r="CA27" s="54"/>
      <c r="CB27" s="54"/>
      <c r="CC27" s="54"/>
      <c r="CD27" s="54"/>
      <c r="CE27" s="54"/>
    </row>
    <row r="28" spans="3:83" ht="15" customHeight="1" x14ac:dyDescent="0.2">
      <c r="C28" s="6">
        <v>24</v>
      </c>
      <c r="D28" s="58" t="str">
        <f>Dane!C30</f>
        <v>RTX2080</v>
      </c>
      <c r="E28" s="62">
        <v>3.2853322276438846</v>
      </c>
      <c r="F28" s="62">
        <v>1.5290519877675843</v>
      </c>
      <c r="G28" s="62">
        <v>60</v>
      </c>
      <c r="H28" s="62">
        <v>-1.1107712264469305</v>
      </c>
      <c r="I28" s="6">
        <v>215</v>
      </c>
      <c r="J28" s="62">
        <v>3.180412632838324</v>
      </c>
      <c r="K28" s="62">
        <v>2.7795964912578244</v>
      </c>
      <c r="L28" s="63">
        <v>1.9912260756924949</v>
      </c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4"/>
      <c r="CC28" s="54"/>
      <c r="CD28" s="54"/>
      <c r="CE28" s="54"/>
    </row>
    <row r="29" spans="3:83" ht="15" customHeight="1" x14ac:dyDescent="0.2">
      <c r="C29" s="4">
        <v>25</v>
      </c>
      <c r="D29" s="66" t="str">
        <f>Dane!C31</f>
        <v>RTX3080</v>
      </c>
      <c r="E29" s="67">
        <v>3.5018804937550585</v>
      </c>
      <c r="F29" s="67">
        <v>0.47755491881566381</v>
      </c>
      <c r="G29" s="67">
        <v>36</v>
      </c>
      <c r="H29" s="67">
        <v>-0.97202271330817314</v>
      </c>
      <c r="I29" s="68">
        <v>320</v>
      </c>
      <c r="J29" s="67">
        <v>3.1583624920952498</v>
      </c>
      <c r="K29" s="67">
        <v>2.9610887197678961</v>
      </c>
      <c r="L29" s="7">
        <v>2.1072099696478683</v>
      </c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</row>
    <row r="30" spans="3:83" ht="15" customHeight="1" x14ac:dyDescent="0.2"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</row>
    <row r="31" spans="3:83" ht="15" customHeight="1" x14ac:dyDescent="0.2"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</row>
    <row r="32" spans="3:83" ht="15" customHeight="1" x14ac:dyDescent="0.2"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</row>
    <row r="33" spans="15:83" ht="15" customHeight="1" x14ac:dyDescent="0.2">
      <c r="O33" s="54"/>
      <c r="P33" s="54"/>
      <c r="Q33" s="54"/>
      <c r="R33" s="54"/>
      <c r="S33" s="54"/>
      <c r="T33" s="54"/>
      <c r="U33" s="54"/>
      <c r="V33" s="54"/>
      <c r="W33" s="54"/>
      <c r="X33" s="78" t="s">
        <v>75</v>
      </c>
      <c r="Y33" s="54"/>
      <c r="Z33" s="54"/>
      <c r="AA33" s="54"/>
      <c r="AB33" s="54"/>
      <c r="AC33" s="54"/>
      <c r="AD33" s="54"/>
      <c r="AE33" s="54"/>
      <c r="AF33" s="54"/>
      <c r="AG33" s="78" t="s">
        <v>75</v>
      </c>
      <c r="AH33" s="54"/>
      <c r="AI33" s="54"/>
      <c r="AJ33" s="54"/>
      <c r="AK33" s="54"/>
      <c r="AL33" s="54"/>
      <c r="AM33" s="54"/>
      <c r="AN33" s="54"/>
      <c r="AO33" s="54"/>
      <c r="AP33" s="78" t="s">
        <v>75</v>
      </c>
      <c r="AQ33" s="54"/>
      <c r="AR33" s="54"/>
      <c r="AS33" s="54"/>
      <c r="AT33" s="54"/>
      <c r="AU33" s="54"/>
      <c r="AV33" s="54"/>
      <c r="AW33" s="54"/>
      <c r="AX33" s="54"/>
      <c r="AY33" s="78" t="s">
        <v>75</v>
      </c>
      <c r="AZ33" s="54"/>
      <c r="BA33" s="54"/>
      <c r="BB33" s="54"/>
      <c r="BC33" s="54"/>
      <c r="BD33" s="54"/>
      <c r="BE33" s="54"/>
      <c r="BF33" s="54"/>
      <c r="BG33" s="54"/>
      <c r="BH33" s="78" t="s">
        <v>75</v>
      </c>
      <c r="BI33" s="54"/>
      <c r="BJ33" s="54"/>
      <c r="BK33" s="54"/>
      <c r="BL33" s="54"/>
      <c r="BM33" s="54"/>
      <c r="BN33" s="54"/>
      <c r="BO33" s="54"/>
      <c r="BP33" s="54"/>
      <c r="BQ33" s="78" t="s">
        <v>75</v>
      </c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</row>
    <row r="34" spans="15:83" ht="15" customHeight="1" x14ac:dyDescent="0.2">
      <c r="O34" s="54"/>
      <c r="P34" s="54"/>
      <c r="Q34" s="54"/>
      <c r="R34" s="54"/>
      <c r="S34" s="54"/>
      <c r="T34" s="54"/>
      <c r="U34" s="54"/>
      <c r="V34" s="54"/>
      <c r="W34" s="54"/>
      <c r="X34" s="75">
        <f>Q219</f>
        <v>-0.12017183772391583</v>
      </c>
      <c r="Y34" s="54"/>
      <c r="Z34" s="54"/>
      <c r="AA34" s="54"/>
      <c r="AB34" s="54"/>
      <c r="AC34" s="54"/>
      <c r="AD34" s="54"/>
      <c r="AE34" s="54"/>
      <c r="AF34" s="54"/>
      <c r="AG34" s="75">
        <f>R219</f>
        <v>0.11464975972700009</v>
      </c>
      <c r="AH34" s="54"/>
      <c r="AI34" s="54"/>
      <c r="AJ34" s="54"/>
      <c r="AK34" s="54"/>
      <c r="AL34" s="54"/>
      <c r="AM34" s="54"/>
      <c r="AN34" s="54"/>
      <c r="AO34" s="54"/>
      <c r="AP34" s="75">
        <f>S219</f>
        <v>-0.24019236587640122</v>
      </c>
      <c r="AQ34" s="54"/>
      <c r="AR34" s="54"/>
      <c r="AS34" s="54"/>
      <c r="AT34" s="54"/>
      <c r="AU34" s="54"/>
      <c r="AV34" s="54"/>
      <c r="AW34" s="54"/>
      <c r="AX34" s="54"/>
      <c r="AY34" s="75">
        <f>T219</f>
        <v>0.11549337339485613</v>
      </c>
      <c r="AZ34" s="54"/>
      <c r="BA34" s="54"/>
      <c r="BB34" s="54"/>
      <c r="BC34" s="54"/>
      <c r="BD34" s="54"/>
      <c r="BE34" s="54"/>
      <c r="BF34" s="54"/>
      <c r="BG34" s="54"/>
      <c r="BH34" s="75">
        <f>U219</f>
        <v>-0.11269241583206957</v>
      </c>
      <c r="BI34" s="54"/>
      <c r="BJ34" s="54"/>
      <c r="BK34" s="54"/>
      <c r="BL34" s="54"/>
      <c r="BM34" s="54"/>
      <c r="BN34" s="54"/>
      <c r="BO34" s="54"/>
      <c r="BP34" s="54"/>
      <c r="BQ34" s="75">
        <f>V219</f>
        <v>-5.4868301732546511E-2</v>
      </c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  <c r="CC34" s="54"/>
      <c r="CD34" s="54"/>
      <c r="CE34" s="54"/>
    </row>
    <row r="35" spans="15:83" ht="15" customHeight="1" x14ac:dyDescent="0.2"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</row>
    <row r="36" spans="15:83" ht="15" customHeight="1" x14ac:dyDescent="0.2">
      <c r="O36" s="54"/>
      <c r="P36" s="54"/>
      <c r="Q36" s="54"/>
      <c r="R36" s="54"/>
      <c r="S36" s="54"/>
      <c r="T36" s="54"/>
      <c r="U36" s="54"/>
      <c r="V36" s="54"/>
      <c r="W36" s="54"/>
      <c r="X36" s="78" t="s">
        <v>76</v>
      </c>
      <c r="Y36" s="54"/>
      <c r="Z36" s="54"/>
      <c r="AA36" s="54"/>
      <c r="AB36" s="54"/>
      <c r="AC36" s="54"/>
      <c r="AD36" s="54"/>
      <c r="AE36" s="54"/>
      <c r="AF36" s="54"/>
      <c r="AG36" s="78" t="s">
        <v>76</v>
      </c>
      <c r="AH36" s="54"/>
      <c r="AI36" s="54"/>
      <c r="AJ36" s="54"/>
      <c r="AK36" s="54"/>
      <c r="AL36" s="54"/>
      <c r="AM36" s="54"/>
      <c r="AN36" s="54"/>
      <c r="AO36" s="54"/>
      <c r="AP36" s="78" t="s">
        <v>76</v>
      </c>
      <c r="AQ36" s="54"/>
      <c r="AR36" s="54"/>
      <c r="AS36" s="54"/>
      <c r="AT36" s="54"/>
      <c r="AU36" s="54"/>
      <c r="AV36" s="54"/>
      <c r="AW36" s="54"/>
      <c r="AX36" s="54"/>
      <c r="AY36" s="78" t="s">
        <v>76</v>
      </c>
      <c r="AZ36" s="54"/>
      <c r="BA36" s="54"/>
      <c r="BB36" s="54"/>
      <c r="BC36" s="54"/>
      <c r="BD36" s="54"/>
      <c r="BE36" s="54"/>
      <c r="BF36" s="54"/>
      <c r="BG36" s="54"/>
      <c r="BH36" s="78" t="s">
        <v>76</v>
      </c>
      <c r="BI36" s="54"/>
      <c r="BJ36" s="54"/>
      <c r="BK36" s="54"/>
      <c r="BL36" s="54"/>
      <c r="BM36" s="54"/>
      <c r="BN36" s="54"/>
      <c r="BO36" s="54"/>
      <c r="BP36" s="54"/>
      <c r="BQ36" s="78" t="s">
        <v>76</v>
      </c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</row>
    <row r="37" spans="15:83" ht="15" customHeight="1" x14ac:dyDescent="0.2">
      <c r="O37" s="54"/>
      <c r="P37" s="54"/>
      <c r="Q37" s="54"/>
      <c r="R37" s="54"/>
      <c r="S37" s="54"/>
      <c r="T37" s="54"/>
      <c r="U37" s="54"/>
      <c r="V37" s="54"/>
      <c r="W37" s="54"/>
      <c r="X37" s="76">
        <f>Q230</f>
        <v>1.4441270581943161E-2</v>
      </c>
      <c r="Y37" s="54"/>
      <c r="Z37" s="54"/>
      <c r="AA37" s="54"/>
      <c r="AB37" s="54"/>
      <c r="AC37" s="54"/>
      <c r="AD37" s="54"/>
      <c r="AE37" s="54"/>
      <c r="AF37" s="54"/>
      <c r="AG37" s="76">
        <f>R230</f>
        <v>1.3144567405458852E-2</v>
      </c>
      <c r="AH37" s="54"/>
      <c r="AI37" s="54"/>
      <c r="AJ37" s="54"/>
      <c r="AK37" s="54"/>
      <c r="AL37" s="54"/>
      <c r="AM37" s="54"/>
      <c r="AN37" s="54"/>
      <c r="AO37" s="53"/>
      <c r="AP37" s="76">
        <f>S230</f>
        <v>5.7692372625302989E-2</v>
      </c>
      <c r="AQ37" s="54"/>
      <c r="AR37" s="54"/>
      <c r="AS37" s="54"/>
      <c r="AT37" s="54"/>
      <c r="AU37" s="54"/>
      <c r="AV37" s="54"/>
      <c r="AW37" s="54"/>
      <c r="AX37" s="54"/>
      <c r="AY37" s="76">
        <f>T230</f>
        <v>1.3338719298123662E-2</v>
      </c>
      <c r="AZ37" s="54"/>
      <c r="BA37" s="54"/>
      <c r="BB37" s="54"/>
      <c r="BC37" s="54"/>
      <c r="BD37" s="54"/>
      <c r="BE37" s="54"/>
      <c r="BF37" s="54"/>
      <c r="BG37" s="54"/>
      <c r="BH37" s="76">
        <f>U230</f>
        <v>1.2699580586068085E-2</v>
      </c>
      <c r="BI37" s="54"/>
      <c r="BJ37" s="54"/>
      <c r="BK37" s="54"/>
      <c r="BL37" s="54"/>
      <c r="BM37" s="54"/>
      <c r="BN37" s="54"/>
      <c r="BO37" s="54"/>
      <c r="BP37" s="54"/>
      <c r="BQ37" s="76">
        <f>V230</f>
        <v>3.0105305350137663E-3</v>
      </c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</row>
    <row r="38" spans="15:83" ht="15" customHeight="1" x14ac:dyDescent="0.2"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</row>
    <row r="39" spans="15:83" ht="15" customHeight="1" x14ac:dyDescent="0.2"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</row>
    <row r="40" spans="15:83" ht="15" customHeight="1" x14ac:dyDescent="0.2"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3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</row>
    <row r="41" spans="15:83" ht="15" customHeight="1" x14ac:dyDescent="0.2"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</row>
    <row r="42" spans="15:83" ht="15" customHeight="1" x14ac:dyDescent="0.2"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</row>
    <row r="43" spans="15:83" ht="15" customHeight="1" x14ac:dyDescent="0.2"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</row>
    <row r="44" spans="15:83" ht="15" customHeight="1" x14ac:dyDescent="0.2"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</row>
    <row r="45" spans="15:83" ht="15" customHeight="1" x14ac:dyDescent="0.2"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</row>
    <row r="46" spans="15:83" ht="15" customHeight="1" x14ac:dyDescent="0.2"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</row>
    <row r="47" spans="15:83" ht="15" customHeight="1" x14ac:dyDescent="0.2"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</row>
    <row r="48" spans="15:83" ht="15" customHeight="1" x14ac:dyDescent="0.2"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54"/>
      <c r="CE48" s="54"/>
    </row>
    <row r="49" spans="15:83" ht="15" customHeight="1" x14ac:dyDescent="0.2"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</row>
    <row r="50" spans="15:83" ht="15" customHeight="1" x14ac:dyDescent="0.2"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</row>
    <row r="51" spans="15:83" ht="15" customHeight="1" x14ac:dyDescent="0.2"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</row>
    <row r="52" spans="15:83" ht="15" customHeight="1" x14ac:dyDescent="0.2"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</row>
    <row r="53" spans="15:83" ht="15" customHeight="1" x14ac:dyDescent="0.2"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</row>
    <row r="54" spans="15:83" ht="15" customHeight="1" x14ac:dyDescent="0.2"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</row>
    <row r="55" spans="15:83" ht="15" customHeight="1" x14ac:dyDescent="0.2"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</row>
    <row r="56" spans="15:83" ht="15" customHeight="1" x14ac:dyDescent="0.2"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</row>
    <row r="57" spans="15:83" ht="15" customHeight="1" x14ac:dyDescent="0.2"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</row>
    <row r="58" spans="15:83" ht="15" customHeight="1" x14ac:dyDescent="0.2">
      <c r="O58" s="54"/>
      <c r="P58" s="54"/>
      <c r="Q58" s="54"/>
      <c r="R58" s="54"/>
      <c r="S58" s="54"/>
      <c r="T58" s="54"/>
      <c r="U58" s="54"/>
      <c r="V58" s="54"/>
      <c r="W58" s="54"/>
      <c r="X58" s="78" t="s">
        <v>75</v>
      </c>
      <c r="Y58" s="54"/>
      <c r="Z58" s="54"/>
      <c r="AA58" s="54"/>
      <c r="AB58" s="54"/>
      <c r="AC58" s="54"/>
      <c r="AD58" s="54"/>
      <c r="AE58" s="54"/>
      <c r="AF58" s="54"/>
      <c r="AG58" s="78" t="s">
        <v>75</v>
      </c>
      <c r="AH58" s="54"/>
      <c r="AI58" s="54"/>
      <c r="AJ58" s="54"/>
      <c r="AK58" s="54"/>
      <c r="AL58" s="54"/>
      <c r="AM58" s="54"/>
      <c r="AN58" s="54"/>
      <c r="AO58" s="54"/>
      <c r="AP58" s="78" t="s">
        <v>75</v>
      </c>
      <c r="AQ58" s="54"/>
      <c r="AR58" s="54"/>
      <c r="AS58" s="54"/>
      <c r="AT58" s="54"/>
      <c r="AU58" s="54"/>
      <c r="AV58" s="54"/>
      <c r="AW58" s="54"/>
      <c r="AX58" s="54"/>
      <c r="AY58" s="78" t="s">
        <v>75</v>
      </c>
      <c r="AZ58" s="54"/>
      <c r="BA58" s="54"/>
      <c r="BB58" s="54"/>
      <c r="BC58" s="54"/>
      <c r="BD58" s="54"/>
      <c r="BE58" s="54"/>
      <c r="BF58" s="54"/>
      <c r="BG58" s="54"/>
      <c r="BH58" s="78" t="s">
        <v>75</v>
      </c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</row>
    <row r="59" spans="15:83" ht="15" customHeight="1" x14ac:dyDescent="0.2">
      <c r="O59" s="54"/>
      <c r="P59" s="54"/>
      <c r="Q59" s="54"/>
      <c r="R59" s="54"/>
      <c r="S59" s="54"/>
      <c r="T59" s="54"/>
      <c r="U59" s="54"/>
      <c r="V59" s="54"/>
      <c r="W59" s="54"/>
      <c r="X59" s="75">
        <f>R220</f>
        <v>-0.12035326000462289</v>
      </c>
      <c r="Y59" s="54"/>
      <c r="Z59" s="54"/>
      <c r="AA59" s="54"/>
      <c r="AB59" s="54"/>
      <c r="AC59" s="54"/>
      <c r="AD59" s="54"/>
      <c r="AE59" s="54"/>
      <c r="AF59" s="54"/>
      <c r="AG59" s="75">
        <f>S220</f>
        <v>-0.43358554212019984</v>
      </c>
      <c r="AH59" s="54"/>
      <c r="AI59" s="54"/>
      <c r="AJ59" s="54"/>
      <c r="AK59" s="54"/>
      <c r="AL59" s="54"/>
      <c r="AM59" s="54"/>
      <c r="AN59" s="54"/>
      <c r="AO59" s="54"/>
      <c r="AP59" s="75">
        <f>T220</f>
        <v>-0.71349522320465819</v>
      </c>
      <c r="AQ59" s="54"/>
      <c r="AR59" s="54"/>
      <c r="AS59" s="54"/>
      <c r="AT59" s="54"/>
      <c r="AU59" s="54"/>
      <c r="AV59" s="54"/>
      <c r="AW59" s="54"/>
      <c r="AX59" s="54"/>
      <c r="AY59" s="75">
        <f>U220</f>
        <v>-0.65190209714630132</v>
      </c>
      <c r="AZ59" s="54"/>
      <c r="BA59" s="54"/>
      <c r="BB59" s="54"/>
      <c r="BC59" s="54"/>
      <c r="BD59" s="54"/>
      <c r="BE59" s="54"/>
      <c r="BF59" s="54"/>
      <c r="BG59" s="54"/>
      <c r="BH59" s="75">
        <f>V220</f>
        <v>-0.71651041924406689</v>
      </c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</row>
    <row r="60" spans="15:83" ht="15" customHeight="1" x14ac:dyDescent="0.2"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</row>
    <row r="61" spans="15:83" ht="15" customHeight="1" x14ac:dyDescent="0.2">
      <c r="O61" s="54"/>
      <c r="P61" s="54"/>
      <c r="Q61" s="54"/>
      <c r="R61" s="54"/>
      <c r="S61" s="54"/>
      <c r="T61" s="54"/>
      <c r="U61" s="54"/>
      <c r="V61" s="54"/>
      <c r="W61" s="54"/>
      <c r="X61" s="78" t="s">
        <v>76</v>
      </c>
      <c r="Y61" s="54"/>
      <c r="Z61" s="54"/>
      <c r="AA61" s="54"/>
      <c r="AB61" s="54"/>
      <c r="AC61" s="54"/>
      <c r="AD61" s="54"/>
      <c r="AE61" s="54"/>
      <c r="AF61" s="54"/>
      <c r="AG61" s="78" t="s">
        <v>76</v>
      </c>
      <c r="AH61" s="54"/>
      <c r="AI61" s="54"/>
      <c r="AJ61" s="54"/>
      <c r="AK61" s="54"/>
      <c r="AL61" s="54"/>
      <c r="AM61" s="54"/>
      <c r="AN61" s="54"/>
      <c r="AO61" s="54"/>
      <c r="AP61" s="78" t="s">
        <v>76</v>
      </c>
      <c r="AQ61" s="54"/>
      <c r="AR61" s="54"/>
      <c r="AS61" s="54"/>
      <c r="AT61" s="54"/>
      <c r="AU61" s="54"/>
      <c r="AV61" s="54"/>
      <c r="AW61" s="54"/>
      <c r="AX61" s="54"/>
      <c r="AY61" s="78" t="s">
        <v>76</v>
      </c>
      <c r="AZ61" s="54"/>
      <c r="BA61" s="54"/>
      <c r="BB61" s="54"/>
      <c r="BC61" s="54"/>
      <c r="BD61" s="54"/>
      <c r="BE61" s="54"/>
      <c r="BF61" s="54"/>
      <c r="BG61" s="54"/>
      <c r="BH61" s="78" t="s">
        <v>76</v>
      </c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</row>
    <row r="62" spans="15:83" ht="15" customHeight="1" x14ac:dyDescent="0.2">
      <c r="O62" s="54"/>
      <c r="P62" s="54"/>
      <c r="Q62" s="54"/>
      <c r="R62" s="54"/>
      <c r="S62" s="54"/>
      <c r="T62" s="54"/>
      <c r="U62" s="54"/>
      <c r="V62" s="54"/>
      <c r="W62" s="54"/>
      <c r="X62" s="76">
        <f>R231</f>
        <v>1.4484907193740359E-2</v>
      </c>
      <c r="Y62" s="54"/>
      <c r="Z62" s="54"/>
      <c r="AA62" s="54"/>
      <c r="AB62" s="54"/>
      <c r="AC62" s="54"/>
      <c r="AD62" s="54"/>
      <c r="AE62" s="54"/>
      <c r="AF62" s="54"/>
      <c r="AG62" s="75">
        <f>S231</f>
        <v>0.1879964223356676</v>
      </c>
      <c r="AH62" s="54"/>
      <c r="AI62" s="54"/>
      <c r="AJ62" s="54"/>
      <c r="AK62" s="54"/>
      <c r="AL62" s="54"/>
      <c r="AM62" s="54"/>
      <c r="AN62" s="54"/>
      <c r="AO62" s="54"/>
      <c r="AP62" s="76">
        <f>T231</f>
        <v>0.50907543353586504</v>
      </c>
      <c r="AQ62" s="54"/>
      <c r="AR62" s="54"/>
      <c r="AS62" s="54"/>
      <c r="AT62" s="54"/>
      <c r="AU62" s="54"/>
      <c r="AV62" s="54"/>
      <c r="AW62" s="54"/>
      <c r="AX62" s="54"/>
      <c r="AY62" s="76">
        <f>U231</f>
        <v>0.4249763442637457</v>
      </c>
      <c r="AZ62" s="54"/>
      <c r="BA62" s="54"/>
      <c r="BB62" s="54"/>
      <c r="BC62" s="54"/>
      <c r="BD62" s="54"/>
      <c r="BE62" s="54"/>
      <c r="BF62" s="54"/>
      <c r="BG62" s="54"/>
      <c r="BH62" s="76">
        <f>V231</f>
        <v>0.51338718088530855</v>
      </c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</row>
    <row r="63" spans="15:83" ht="15" customHeight="1" x14ac:dyDescent="0.2"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</row>
    <row r="64" spans="15:83" ht="15" customHeight="1" x14ac:dyDescent="0.2"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</row>
    <row r="65" spans="15:83" ht="15" customHeight="1" x14ac:dyDescent="0.2"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</row>
    <row r="66" spans="15:83" ht="15" customHeight="1" x14ac:dyDescent="0.2"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</row>
    <row r="67" spans="15:83" ht="15" customHeight="1" x14ac:dyDescent="0.2"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</row>
    <row r="68" spans="15:83" ht="15" customHeight="1" x14ac:dyDescent="0.2"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</row>
    <row r="69" spans="15:83" ht="15" customHeight="1" x14ac:dyDescent="0.2"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</row>
    <row r="70" spans="15:83" ht="15" customHeight="1" x14ac:dyDescent="0.2"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</row>
    <row r="71" spans="15:83" ht="15" customHeight="1" x14ac:dyDescent="0.2"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</row>
    <row r="72" spans="15:83" ht="15" customHeight="1" x14ac:dyDescent="0.2"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</row>
    <row r="73" spans="15:83" ht="15" customHeight="1" x14ac:dyDescent="0.2"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</row>
    <row r="74" spans="15:83" ht="15" customHeight="1" x14ac:dyDescent="0.2"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</row>
    <row r="75" spans="15:83" ht="15" customHeight="1" x14ac:dyDescent="0.2"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</row>
    <row r="76" spans="15:83" ht="15" customHeight="1" x14ac:dyDescent="0.2"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</row>
    <row r="77" spans="15:83" ht="15" customHeight="1" x14ac:dyDescent="0.2"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</row>
    <row r="78" spans="15:83" ht="15" customHeight="1" x14ac:dyDescent="0.2"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</row>
    <row r="79" spans="15:83" ht="15" customHeight="1" x14ac:dyDescent="0.2"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</row>
    <row r="80" spans="15:83" ht="15" customHeight="1" x14ac:dyDescent="0.2"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</row>
    <row r="81" spans="15:83" ht="15" customHeight="1" x14ac:dyDescent="0.2"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</row>
    <row r="82" spans="15:83" ht="15" customHeight="1" x14ac:dyDescent="0.2"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</row>
    <row r="83" spans="15:83" ht="15" customHeight="1" x14ac:dyDescent="0.2">
      <c r="O83" s="54"/>
      <c r="P83" s="54"/>
      <c r="Q83" s="54"/>
      <c r="R83" s="54"/>
      <c r="S83" s="54"/>
      <c r="T83" s="54"/>
      <c r="U83" s="54"/>
      <c r="V83" s="54"/>
      <c r="W83" s="54"/>
      <c r="X83" s="78" t="s">
        <v>75</v>
      </c>
      <c r="Y83" s="54"/>
      <c r="Z83" s="54"/>
      <c r="AA83" s="54"/>
      <c r="AB83" s="54"/>
      <c r="AC83" s="54"/>
      <c r="AD83" s="54"/>
      <c r="AE83" s="54"/>
      <c r="AF83" s="54"/>
      <c r="AG83" s="78" t="s">
        <v>75</v>
      </c>
      <c r="AH83" s="54"/>
      <c r="AI83" s="54"/>
      <c r="AJ83" s="54"/>
      <c r="AK83" s="54"/>
      <c r="AL83" s="54"/>
      <c r="AM83" s="54"/>
      <c r="AN83" s="54"/>
      <c r="AO83" s="54"/>
      <c r="AP83" s="78" t="s">
        <v>75</v>
      </c>
      <c r="AQ83" s="54"/>
      <c r="AR83" s="54"/>
      <c r="AS83" s="54"/>
      <c r="AT83" s="54"/>
      <c r="AU83" s="54"/>
      <c r="AV83" s="54"/>
      <c r="AW83" s="54"/>
      <c r="AX83" s="54"/>
      <c r="AY83" s="78" t="s">
        <v>75</v>
      </c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</row>
    <row r="84" spans="15:83" ht="15" customHeight="1" x14ac:dyDescent="0.2">
      <c r="O84" s="54"/>
      <c r="P84" s="54"/>
      <c r="Q84" s="54"/>
      <c r="R84" s="54"/>
      <c r="S84" s="54"/>
      <c r="T84" s="54"/>
      <c r="U84" s="54"/>
      <c r="V84" s="54"/>
      <c r="W84" s="54"/>
      <c r="X84" s="75">
        <f>S221</f>
        <v>-0.17611889717052015</v>
      </c>
      <c r="Y84" s="54"/>
      <c r="Z84" s="54"/>
      <c r="AA84" s="54"/>
      <c r="AB84" s="54"/>
      <c r="AC84" s="54"/>
      <c r="AD84" s="54"/>
      <c r="AE84" s="54"/>
      <c r="AF84" s="54"/>
      <c r="AG84" s="75">
        <f>T221</f>
        <v>-1.8368496129849244E-2</v>
      </c>
      <c r="AH84" s="54"/>
      <c r="AI84" s="54"/>
      <c r="AJ84" s="54"/>
      <c r="AK84" s="54"/>
      <c r="AL84" s="54"/>
      <c r="AM84" s="54"/>
      <c r="AN84" s="54"/>
      <c r="AO84" s="54"/>
      <c r="AP84" s="75">
        <f>U221</f>
        <v>6.4790487950455597E-2</v>
      </c>
      <c r="AQ84" s="54"/>
      <c r="AR84" s="54"/>
      <c r="AS84" s="54"/>
      <c r="AT84" s="54"/>
      <c r="AU84" s="54"/>
      <c r="AV84" s="54"/>
      <c r="AW84" s="54"/>
      <c r="AX84" s="54"/>
      <c r="AY84" s="77">
        <f>V221</f>
        <v>-4.7327588798363227E-2</v>
      </c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</row>
    <row r="85" spans="15:83" ht="15" customHeight="1" x14ac:dyDescent="0.2"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</row>
    <row r="86" spans="15:83" ht="15" customHeight="1" x14ac:dyDescent="0.2">
      <c r="O86" s="54"/>
      <c r="P86" s="54"/>
      <c r="Q86" s="54"/>
      <c r="R86" s="54"/>
      <c r="S86" s="54"/>
      <c r="T86" s="54"/>
      <c r="U86" s="54"/>
      <c r="V86" s="54"/>
      <c r="W86" s="54"/>
      <c r="X86" s="78" t="s">
        <v>76</v>
      </c>
      <c r="Y86" s="54"/>
      <c r="Z86" s="54"/>
      <c r="AA86" s="54"/>
      <c r="AB86" s="54"/>
      <c r="AC86" s="54"/>
      <c r="AD86" s="54"/>
      <c r="AE86" s="54"/>
      <c r="AF86" s="54"/>
      <c r="AG86" s="78" t="s">
        <v>76</v>
      </c>
      <c r="AH86" s="54"/>
      <c r="AI86" s="54"/>
      <c r="AJ86" s="54"/>
      <c r="AK86" s="54"/>
      <c r="AL86" s="54"/>
      <c r="AM86" s="54"/>
      <c r="AN86" s="54"/>
      <c r="AO86" s="54"/>
      <c r="AP86" s="78" t="s">
        <v>76</v>
      </c>
      <c r="AQ86" s="54"/>
      <c r="AR86" s="54"/>
      <c r="AS86" s="54"/>
      <c r="AT86" s="54"/>
      <c r="AU86" s="54"/>
      <c r="AV86" s="54"/>
      <c r="AW86" s="54"/>
      <c r="AX86" s="54"/>
      <c r="AY86" s="78" t="s">
        <v>76</v>
      </c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</row>
    <row r="87" spans="15:83" ht="15" customHeight="1" x14ac:dyDescent="0.2">
      <c r="O87" s="54"/>
      <c r="P87" s="54"/>
      <c r="Q87" s="54"/>
      <c r="R87" s="54"/>
      <c r="S87" s="54"/>
      <c r="T87" s="54"/>
      <c r="U87" s="54"/>
      <c r="V87" s="54"/>
      <c r="W87" s="54"/>
      <c r="X87" s="76">
        <f>S232</f>
        <v>3.101786594056025E-2</v>
      </c>
      <c r="Y87" s="54"/>
      <c r="Z87" s="54"/>
      <c r="AA87" s="54"/>
      <c r="AB87" s="54"/>
      <c r="AC87" s="54"/>
      <c r="AD87" s="54"/>
      <c r="AE87" s="54"/>
      <c r="AF87" s="54"/>
      <c r="AG87" s="76">
        <f>T232</f>
        <v>3.3740165007228667E-4</v>
      </c>
      <c r="AH87" s="54"/>
      <c r="AI87" s="54"/>
      <c r="AJ87" s="54"/>
      <c r="AK87" s="54"/>
      <c r="AL87" s="54"/>
      <c r="AM87" s="54"/>
      <c r="AN87" s="54"/>
      <c r="AO87" s="54"/>
      <c r="AP87" s="76">
        <f>U232</f>
        <v>4.1978073288581321E-3</v>
      </c>
      <c r="AQ87" s="54"/>
      <c r="AR87" s="54"/>
      <c r="AS87" s="54"/>
      <c r="AT87" s="54"/>
      <c r="AU87" s="54"/>
      <c r="AV87" s="54"/>
      <c r="AW87" s="54"/>
      <c r="AX87" s="54"/>
      <c r="AY87" s="76">
        <f>V232</f>
        <v>2.2399006614669563E-3</v>
      </c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</row>
    <row r="88" spans="15:83" ht="15" customHeight="1" x14ac:dyDescent="0.2"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</row>
    <row r="89" spans="15:83" ht="15" customHeight="1" x14ac:dyDescent="0.2"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</row>
    <row r="90" spans="15:83" ht="15" customHeight="1" x14ac:dyDescent="0.2"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</row>
    <row r="91" spans="15:83" ht="15" customHeight="1" x14ac:dyDescent="0.2"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</row>
    <row r="92" spans="15:83" ht="15" customHeight="1" x14ac:dyDescent="0.2"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</row>
    <row r="93" spans="15:83" ht="15" customHeight="1" x14ac:dyDescent="0.2"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</row>
    <row r="94" spans="15:83" ht="15" customHeight="1" x14ac:dyDescent="0.2"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</row>
    <row r="95" spans="15:83" ht="15" customHeight="1" x14ac:dyDescent="0.2"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</row>
    <row r="96" spans="15:83" ht="15" customHeight="1" x14ac:dyDescent="0.2"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</row>
    <row r="97" spans="15:83" ht="15" customHeight="1" x14ac:dyDescent="0.2"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</row>
    <row r="98" spans="15:83" ht="15" customHeight="1" x14ac:dyDescent="0.2"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</row>
    <row r="99" spans="15:83" ht="15" customHeight="1" x14ac:dyDescent="0.2"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</row>
    <row r="100" spans="15:83" ht="15" customHeight="1" x14ac:dyDescent="0.2"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</row>
    <row r="101" spans="15:83" ht="15" customHeight="1" x14ac:dyDescent="0.2"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</row>
    <row r="102" spans="15:83" ht="15" customHeight="1" x14ac:dyDescent="0.2"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</row>
    <row r="103" spans="15:83" ht="15" customHeight="1" x14ac:dyDescent="0.2"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</row>
    <row r="104" spans="15:83" ht="15" customHeight="1" x14ac:dyDescent="0.2"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</row>
    <row r="105" spans="15:83" ht="15" customHeight="1" x14ac:dyDescent="0.2"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</row>
    <row r="106" spans="15:83" ht="15" customHeight="1" x14ac:dyDescent="0.2"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</row>
    <row r="107" spans="15:83" ht="15" customHeight="1" x14ac:dyDescent="0.2"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</row>
    <row r="108" spans="15:83" ht="15" customHeight="1" x14ac:dyDescent="0.2"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</row>
    <row r="109" spans="15:83" ht="15" customHeight="1" x14ac:dyDescent="0.2">
      <c r="O109" s="54"/>
      <c r="P109" s="54"/>
      <c r="Q109" s="54"/>
      <c r="R109" s="54"/>
      <c r="S109" s="54"/>
      <c r="T109" s="54"/>
      <c r="U109" s="54"/>
      <c r="V109" s="54"/>
      <c r="W109" s="54"/>
      <c r="X109" s="78" t="s">
        <v>75</v>
      </c>
      <c r="Y109" s="54"/>
      <c r="Z109" s="54"/>
      <c r="AA109" s="54"/>
      <c r="AB109" s="54"/>
      <c r="AC109" s="54"/>
      <c r="AD109" s="54"/>
      <c r="AE109" s="54"/>
      <c r="AF109" s="54"/>
      <c r="AG109" s="78" t="s">
        <v>75</v>
      </c>
      <c r="AH109" s="54"/>
      <c r="AI109" s="54"/>
      <c r="AJ109" s="54"/>
      <c r="AK109" s="54"/>
      <c r="AL109" s="54"/>
      <c r="AM109" s="54"/>
      <c r="AN109" s="54"/>
      <c r="AO109" s="54"/>
      <c r="AP109" s="78" t="s">
        <v>75</v>
      </c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</row>
    <row r="110" spans="15:83" ht="15" customHeight="1" x14ac:dyDescent="0.2">
      <c r="O110" s="54"/>
      <c r="P110" s="54"/>
      <c r="Q110" s="54"/>
      <c r="R110" s="54"/>
      <c r="S110" s="54"/>
      <c r="T110" s="54"/>
      <c r="U110" s="54"/>
      <c r="V110" s="54"/>
      <c r="W110" s="54"/>
      <c r="X110" s="75">
        <f>T222</f>
        <v>0.40093073990112504</v>
      </c>
      <c r="Y110" s="54"/>
      <c r="Z110" s="54"/>
      <c r="AA110" s="54"/>
      <c r="AB110" s="54"/>
      <c r="AC110" s="54"/>
      <c r="AD110" s="54"/>
      <c r="AE110" s="54"/>
      <c r="AF110" s="54"/>
      <c r="AG110" s="75">
        <f>U222</f>
        <v>0.85400272136038569</v>
      </c>
      <c r="AH110" s="54"/>
      <c r="AI110" s="54"/>
      <c r="AJ110" s="54"/>
      <c r="AK110" s="54"/>
      <c r="AL110" s="54"/>
      <c r="AM110" s="54"/>
      <c r="AN110" s="54"/>
      <c r="AO110" s="54"/>
      <c r="AP110" s="75">
        <f>V222</f>
        <v>0.7489711034465607</v>
      </c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</row>
    <row r="111" spans="15:83" ht="15" customHeight="1" x14ac:dyDescent="0.2"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</row>
    <row r="112" spans="15:83" ht="15" customHeight="1" x14ac:dyDescent="0.2">
      <c r="O112" s="54"/>
      <c r="P112" s="54"/>
      <c r="Q112" s="54"/>
      <c r="R112" s="54"/>
      <c r="S112" s="54"/>
      <c r="T112" s="54"/>
      <c r="U112" s="54"/>
      <c r="V112" s="54"/>
      <c r="W112" s="54"/>
      <c r="X112" s="78" t="s">
        <v>76</v>
      </c>
      <c r="Y112" s="54"/>
      <c r="Z112" s="54"/>
      <c r="AA112" s="54"/>
      <c r="AB112" s="54"/>
      <c r="AC112" s="54"/>
      <c r="AD112" s="54"/>
      <c r="AE112" s="54"/>
      <c r="AF112" s="54"/>
      <c r="AG112" s="78" t="s">
        <v>76</v>
      </c>
      <c r="AH112" s="54"/>
      <c r="AI112" s="54"/>
      <c r="AJ112" s="54"/>
      <c r="AK112" s="54"/>
      <c r="AL112" s="54"/>
      <c r="AM112" s="54"/>
      <c r="AN112" s="54"/>
      <c r="AO112" s="54"/>
      <c r="AP112" s="78" t="s">
        <v>76</v>
      </c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</row>
    <row r="113" spans="11:83" ht="15" customHeight="1" x14ac:dyDescent="0.2">
      <c r="O113" s="54"/>
      <c r="P113" s="54"/>
      <c r="Q113" s="54"/>
      <c r="R113" s="54"/>
      <c r="S113" s="54"/>
      <c r="T113" s="54"/>
      <c r="U113" s="54"/>
      <c r="V113" s="54"/>
      <c r="W113" s="54"/>
      <c r="X113" s="76">
        <f>T233</f>
        <v>0.16074545819766359</v>
      </c>
      <c r="Y113" s="54"/>
      <c r="Z113" s="54"/>
      <c r="AA113" s="54"/>
      <c r="AB113" s="54"/>
      <c r="AC113" s="54"/>
      <c r="AD113" s="54"/>
      <c r="AE113" s="54"/>
      <c r="AF113" s="54"/>
      <c r="AG113" s="76">
        <f>U233</f>
        <v>0.72932064809094455</v>
      </c>
      <c r="AH113" s="54"/>
      <c r="AI113" s="54"/>
      <c r="AJ113" s="54"/>
      <c r="AK113" s="54"/>
      <c r="AL113" s="54"/>
      <c r="AM113" s="54"/>
      <c r="AN113" s="54"/>
      <c r="AO113" s="54"/>
      <c r="AP113" s="76">
        <f>V233</f>
        <v>0.56095771379795878</v>
      </c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</row>
    <row r="114" spans="11:83" ht="15" customHeight="1" x14ac:dyDescent="0.2"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</row>
    <row r="115" spans="11:83" ht="15" customHeight="1" x14ac:dyDescent="0.2"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</row>
    <row r="116" spans="11:83" ht="15" customHeight="1" x14ac:dyDescent="0.2"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</row>
    <row r="117" spans="11:83" ht="15" customHeight="1" x14ac:dyDescent="0.2"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</row>
    <row r="118" spans="11:83" ht="15" customHeight="1" x14ac:dyDescent="0.2"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</row>
    <row r="119" spans="11:83" ht="15" customHeight="1" x14ac:dyDescent="0.2"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</row>
    <row r="120" spans="11:83" ht="15" customHeight="1" x14ac:dyDescent="0.2"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</row>
    <row r="121" spans="11:83" ht="15" customHeight="1" x14ac:dyDescent="0.2"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</row>
    <row r="122" spans="11:83" ht="15" customHeight="1" x14ac:dyDescent="0.2">
      <c r="K122" s="201" t="s">
        <v>121</v>
      </c>
      <c r="L122" s="202"/>
      <c r="M122" s="202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</row>
    <row r="123" spans="11:83" ht="15" customHeight="1" x14ac:dyDescent="0.2">
      <c r="K123" s="202"/>
      <c r="L123" s="202"/>
      <c r="M123" s="202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</row>
    <row r="124" spans="11:83" ht="15" customHeight="1" x14ac:dyDescent="0.2">
      <c r="K124" s="202"/>
      <c r="L124" s="202"/>
      <c r="M124" s="202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</row>
    <row r="125" spans="11:83" ht="15" customHeight="1" x14ac:dyDescent="0.2">
      <c r="K125" s="202"/>
      <c r="L125" s="202"/>
      <c r="M125" s="202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</row>
    <row r="126" spans="11:83" ht="15" customHeight="1" x14ac:dyDescent="0.2">
      <c r="K126" s="202"/>
      <c r="L126" s="202"/>
      <c r="M126" s="202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</row>
    <row r="127" spans="11:83" ht="15" customHeight="1" x14ac:dyDescent="0.2">
      <c r="K127" s="202"/>
      <c r="L127" s="202"/>
      <c r="M127" s="202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</row>
    <row r="128" spans="11:83" ht="15" customHeight="1" x14ac:dyDescent="0.2">
      <c r="K128" s="202"/>
      <c r="L128" s="202"/>
      <c r="M128" s="202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</row>
    <row r="129" spans="11:83" ht="15" customHeight="1" x14ac:dyDescent="0.2">
      <c r="K129" s="202"/>
      <c r="L129" s="202"/>
      <c r="M129" s="202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</row>
    <row r="130" spans="11:83" ht="15" customHeight="1" x14ac:dyDescent="0.2">
      <c r="K130" s="201" t="s">
        <v>120</v>
      </c>
      <c r="L130" s="202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</row>
    <row r="131" spans="11:83" ht="15" customHeight="1" x14ac:dyDescent="0.2">
      <c r="K131" s="202"/>
      <c r="L131" s="202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</row>
    <row r="132" spans="11:83" ht="15" customHeight="1" x14ac:dyDescent="0.2">
      <c r="K132" s="202"/>
      <c r="L132" s="202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</row>
    <row r="133" spans="11:83" ht="15" customHeight="1" x14ac:dyDescent="0.2">
      <c r="K133" s="202"/>
      <c r="L133" s="202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</row>
    <row r="134" spans="11:83" ht="15" customHeight="1" x14ac:dyDescent="0.2">
      <c r="K134" s="202"/>
      <c r="L134" s="202"/>
      <c r="O134" s="54"/>
      <c r="P134" s="54"/>
      <c r="Q134" s="54"/>
      <c r="R134" s="54"/>
      <c r="S134" s="54"/>
      <c r="T134" s="54"/>
      <c r="U134" s="54"/>
      <c r="V134" s="54"/>
      <c r="W134" s="54"/>
      <c r="X134" s="78" t="s">
        <v>75</v>
      </c>
      <c r="Y134" s="54"/>
      <c r="Z134" s="54"/>
      <c r="AA134" s="54"/>
      <c r="AB134" s="54"/>
      <c r="AC134" s="54"/>
      <c r="AD134" s="54"/>
      <c r="AE134" s="54"/>
      <c r="AF134" s="54"/>
      <c r="AG134" s="78" t="s">
        <v>75</v>
      </c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</row>
    <row r="135" spans="11:83" ht="15" customHeight="1" x14ac:dyDescent="0.2">
      <c r="K135" s="202"/>
      <c r="L135" s="202"/>
      <c r="O135" s="54"/>
      <c r="P135" s="54"/>
      <c r="Q135" s="54"/>
      <c r="R135" s="54"/>
      <c r="S135" s="54"/>
      <c r="T135" s="54"/>
      <c r="U135" s="54"/>
      <c r="V135" s="54"/>
      <c r="W135" s="54"/>
      <c r="X135" s="75">
        <f>U223</f>
        <v>0.68936972980454048</v>
      </c>
      <c r="Y135" s="54"/>
      <c r="Z135" s="54"/>
      <c r="AA135" s="54"/>
      <c r="AB135" s="54"/>
      <c r="AC135" s="54"/>
      <c r="AD135" s="54"/>
      <c r="AE135" s="54"/>
      <c r="AF135" s="54"/>
      <c r="AG135" s="75">
        <f>V223</f>
        <v>0.86227532868391588</v>
      </c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</row>
    <row r="136" spans="11:83" ht="15" customHeight="1" x14ac:dyDescent="0.2">
      <c r="K136" s="202"/>
      <c r="L136" s="202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</row>
    <row r="137" spans="11:83" ht="15" customHeight="1" x14ac:dyDescent="0.2">
      <c r="K137" s="202"/>
      <c r="L137" s="202"/>
      <c r="O137" s="54"/>
      <c r="P137" s="54"/>
      <c r="Q137" s="54"/>
      <c r="R137" s="54"/>
      <c r="S137" s="54"/>
      <c r="T137" s="54"/>
      <c r="U137" s="54"/>
      <c r="V137" s="54"/>
      <c r="W137" s="54"/>
      <c r="X137" s="78" t="s">
        <v>76</v>
      </c>
      <c r="Y137" s="54"/>
      <c r="Z137" s="54"/>
      <c r="AA137" s="54"/>
      <c r="AB137" s="54"/>
      <c r="AC137" s="54"/>
      <c r="AD137" s="54"/>
      <c r="AE137" s="54"/>
      <c r="AF137" s="54"/>
      <c r="AG137" s="78" t="s">
        <v>76</v>
      </c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</row>
    <row r="138" spans="11:83" ht="15" customHeight="1" x14ac:dyDescent="0.2">
      <c r="K138" s="202"/>
      <c r="L138" s="202"/>
      <c r="O138" s="54"/>
      <c r="P138" s="54"/>
      <c r="Q138" s="54"/>
      <c r="R138" s="54"/>
      <c r="S138" s="54"/>
      <c r="T138" s="54"/>
      <c r="U138" s="54"/>
      <c r="V138" s="54"/>
      <c r="W138" s="54"/>
      <c r="X138" s="76">
        <f>U234</f>
        <v>0.47523062437078512</v>
      </c>
      <c r="Y138" s="54"/>
      <c r="Z138" s="54"/>
      <c r="AA138" s="54"/>
      <c r="AB138" s="54"/>
      <c r="AC138" s="54"/>
      <c r="AD138" s="54"/>
      <c r="AE138" s="54"/>
      <c r="AF138" s="54"/>
      <c r="AG138" s="76">
        <f>V234</f>
        <v>0.74351874245695515</v>
      </c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</row>
    <row r="139" spans="11:83" ht="15" customHeight="1" x14ac:dyDescent="0.2"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</row>
    <row r="140" spans="11:83" ht="15" customHeight="1" x14ac:dyDescent="0.2"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</row>
    <row r="141" spans="11:83" ht="15" customHeight="1" x14ac:dyDescent="0.2"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</row>
    <row r="142" spans="11:83" ht="15" customHeight="1" x14ac:dyDescent="0.2"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</row>
    <row r="143" spans="11:83" ht="15" customHeight="1" x14ac:dyDescent="0.2"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</row>
    <row r="144" spans="11:83" ht="15" customHeight="1" x14ac:dyDescent="0.2"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</row>
    <row r="145" spans="15:83" ht="15" customHeight="1" x14ac:dyDescent="0.2"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</row>
    <row r="146" spans="15:83" ht="15" customHeight="1" x14ac:dyDescent="0.2"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</row>
    <row r="147" spans="15:83" ht="15" customHeight="1" x14ac:dyDescent="0.2"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</row>
    <row r="148" spans="15:83" ht="15" customHeight="1" x14ac:dyDescent="0.2"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</row>
    <row r="149" spans="15:83" ht="15" customHeight="1" x14ac:dyDescent="0.2"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</row>
    <row r="150" spans="15:83" ht="15" customHeight="1" x14ac:dyDescent="0.2"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</row>
    <row r="151" spans="15:83" ht="15" customHeight="1" x14ac:dyDescent="0.2"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</row>
    <row r="152" spans="15:83" ht="15" customHeight="1" x14ac:dyDescent="0.2"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</row>
    <row r="153" spans="15:83" ht="15" customHeight="1" x14ac:dyDescent="0.2"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</row>
    <row r="154" spans="15:83" ht="15" customHeight="1" x14ac:dyDescent="0.2"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</row>
    <row r="155" spans="15:83" ht="15" customHeight="1" x14ac:dyDescent="0.2"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</row>
    <row r="156" spans="15:83" ht="15" customHeight="1" x14ac:dyDescent="0.2"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</row>
    <row r="157" spans="15:83" ht="15" customHeight="1" x14ac:dyDescent="0.2"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</row>
    <row r="158" spans="15:83" ht="15" customHeight="1" x14ac:dyDescent="0.2"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</row>
    <row r="159" spans="15:83" ht="15" customHeight="1" x14ac:dyDescent="0.2">
      <c r="O159" s="54"/>
      <c r="P159" s="54"/>
      <c r="Q159" s="54"/>
      <c r="R159" s="54"/>
      <c r="S159" s="54"/>
      <c r="T159" s="54"/>
      <c r="U159" s="54"/>
      <c r="V159" s="54"/>
      <c r="W159" s="54"/>
      <c r="X159" s="78" t="s">
        <v>75</v>
      </c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</row>
    <row r="160" spans="15:83" ht="15" customHeight="1" x14ac:dyDescent="0.2">
      <c r="O160" s="54"/>
      <c r="P160" s="54"/>
      <c r="Q160" s="54"/>
      <c r="R160" s="54"/>
      <c r="S160" s="54"/>
      <c r="T160" s="54"/>
      <c r="U160" s="54"/>
      <c r="V160" s="54"/>
      <c r="W160" s="54"/>
      <c r="X160" s="75">
        <f>V224</f>
        <v>0.93752217330557053</v>
      </c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</row>
    <row r="161" spans="10:83" ht="15" customHeight="1" x14ac:dyDescent="0.2"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</row>
    <row r="162" spans="10:83" ht="15" customHeight="1" x14ac:dyDescent="0.2">
      <c r="O162" s="54"/>
      <c r="P162" s="54"/>
      <c r="Q162" s="54"/>
      <c r="R162" s="54"/>
      <c r="S162" s="54"/>
      <c r="T162" s="54"/>
      <c r="U162" s="54"/>
      <c r="V162" s="54"/>
      <c r="W162" s="54"/>
      <c r="X162" s="78" t="s">
        <v>76</v>
      </c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</row>
    <row r="163" spans="10:83" ht="15" customHeight="1" x14ac:dyDescent="0.2">
      <c r="O163" s="54"/>
      <c r="P163" s="54"/>
      <c r="Q163" s="54"/>
      <c r="R163" s="54"/>
      <c r="S163" s="54"/>
      <c r="T163" s="54"/>
      <c r="U163" s="54"/>
      <c r="V163" s="54"/>
      <c r="W163" s="54"/>
      <c r="X163" s="76">
        <f>V235</f>
        <v>0.87894782543960026</v>
      </c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</row>
    <row r="164" spans="10:83" ht="15" customHeight="1" x14ac:dyDescent="0.2"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</row>
    <row r="165" spans="10:83" ht="15" customHeight="1" x14ac:dyDescent="0.2"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</row>
    <row r="166" spans="10:83" ht="15" customHeight="1" x14ac:dyDescent="0.2"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</row>
    <row r="167" spans="10:83" ht="15" customHeight="1" x14ac:dyDescent="0.2"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</row>
    <row r="168" spans="10:83" ht="15" customHeight="1" x14ac:dyDescent="0.2"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</row>
    <row r="169" spans="10:83" ht="15" customHeight="1" x14ac:dyDescent="0.2"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</row>
    <row r="170" spans="10:83" ht="15" customHeight="1" x14ac:dyDescent="0.2"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</row>
    <row r="171" spans="10:83" ht="15" customHeight="1" x14ac:dyDescent="0.2">
      <c r="J171" s="45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</row>
    <row r="172" spans="10:83" ht="15" customHeight="1" x14ac:dyDescent="0.2">
      <c r="J172" s="46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</row>
    <row r="173" spans="10:83" ht="15" customHeight="1" x14ac:dyDescent="0.2">
      <c r="J173" s="46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</row>
    <row r="174" spans="10:83" ht="15" customHeight="1" x14ac:dyDescent="0.2">
      <c r="J174" s="46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</row>
    <row r="175" spans="10:83" ht="15" customHeight="1" x14ac:dyDescent="0.2">
      <c r="J175" s="46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</row>
    <row r="176" spans="10:83" ht="15" customHeight="1" x14ac:dyDescent="0.2">
      <c r="J176" s="46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</row>
    <row r="177" spans="10:83" ht="15" customHeight="1" x14ac:dyDescent="0.2">
      <c r="J177" s="46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</row>
    <row r="178" spans="10:83" ht="15" customHeight="1" x14ac:dyDescent="0.2">
      <c r="J178" s="46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</row>
    <row r="179" spans="10:83" ht="15" customHeight="1" x14ac:dyDescent="0.2">
      <c r="J179" s="46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</row>
    <row r="180" spans="10:83" ht="15" customHeight="1" x14ac:dyDescent="0.2">
      <c r="J180" s="46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</row>
    <row r="181" spans="10:83" ht="15" customHeight="1" x14ac:dyDescent="0.2"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</row>
    <row r="182" spans="10:83" ht="15" customHeight="1" x14ac:dyDescent="0.2"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</row>
    <row r="183" spans="10:83" ht="15" customHeight="1" x14ac:dyDescent="0.2"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</row>
    <row r="184" spans="10:83" ht="15" customHeight="1" x14ac:dyDescent="0.2"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</row>
    <row r="185" spans="10:83" ht="15" customHeight="1" x14ac:dyDescent="0.2"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</row>
    <row r="186" spans="10:83" ht="15" customHeight="1" x14ac:dyDescent="0.2"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</row>
    <row r="187" spans="10:83" ht="15" customHeight="1" x14ac:dyDescent="0.2"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</row>
    <row r="188" spans="10:83" ht="15" customHeight="1" x14ac:dyDescent="0.2"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</row>
    <row r="189" spans="10:83" ht="15" customHeight="1" x14ac:dyDescent="0.2"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</row>
    <row r="190" spans="10:83" ht="15" customHeight="1" x14ac:dyDescent="0.2"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</row>
    <row r="191" spans="10:83" ht="15" customHeight="1" x14ac:dyDescent="0.2"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</row>
    <row r="192" spans="10:83" ht="15" customHeight="1" x14ac:dyDescent="0.2"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</row>
    <row r="193" spans="1:83" ht="15" customHeight="1" x14ac:dyDescent="0.2"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</row>
    <row r="194" spans="1:83" ht="15" customHeight="1" x14ac:dyDescent="0.2"/>
    <row r="195" spans="1:83" ht="15" customHeight="1" x14ac:dyDescent="0.2"/>
    <row r="196" spans="1:83" ht="15" customHeight="1" x14ac:dyDescent="0.2"/>
    <row r="197" spans="1:83" ht="15" customHeight="1" x14ac:dyDescent="0.2"/>
    <row r="198" spans="1:83" ht="15" customHeight="1" x14ac:dyDescent="0.2"/>
    <row r="199" spans="1:83" ht="15" customHeight="1" x14ac:dyDescent="0.2"/>
    <row r="200" spans="1:83" ht="15" customHeight="1" x14ac:dyDescent="0.2"/>
    <row r="201" spans="1:83" ht="15" customHeight="1" x14ac:dyDescent="0.2"/>
    <row r="202" spans="1:83" ht="15" customHeight="1" x14ac:dyDescent="0.2"/>
    <row r="203" spans="1:83" ht="15" customHeight="1" x14ac:dyDescent="0.2">
      <c r="A203" s="197" t="s">
        <v>112</v>
      </c>
      <c r="B203" s="197"/>
      <c r="C203" s="197"/>
      <c r="D203" s="197"/>
      <c r="E203" s="197"/>
      <c r="F203" s="197"/>
      <c r="G203" s="197"/>
      <c r="H203" s="197"/>
    </row>
    <row r="204" spans="1:83" ht="15" customHeight="1" x14ac:dyDescent="0.2">
      <c r="A204" s="197"/>
      <c r="B204" s="197"/>
      <c r="C204" s="197"/>
      <c r="D204" s="197"/>
      <c r="E204" s="197"/>
      <c r="F204" s="197"/>
      <c r="G204" s="197"/>
      <c r="H204" s="197"/>
    </row>
    <row r="205" spans="1:83" ht="15" customHeight="1" x14ac:dyDescent="0.2">
      <c r="A205" s="197"/>
      <c r="B205" s="197"/>
      <c r="C205" s="197"/>
      <c r="D205" s="197"/>
      <c r="E205" s="197"/>
      <c r="F205" s="197"/>
      <c r="G205" s="197"/>
      <c r="H205" s="197"/>
    </row>
    <row r="206" spans="1:83" ht="15" customHeight="1" x14ac:dyDescent="0.2">
      <c r="A206" s="197"/>
      <c r="B206" s="197"/>
      <c r="C206" s="197"/>
      <c r="D206" s="197"/>
      <c r="E206" s="197"/>
      <c r="F206" s="197"/>
      <c r="G206" s="197"/>
      <c r="H206" s="197"/>
    </row>
    <row r="207" spans="1:83" ht="15" customHeight="1" x14ac:dyDescent="0.2">
      <c r="A207" s="197"/>
      <c r="B207" s="197"/>
      <c r="C207" s="197"/>
      <c r="D207" s="197"/>
      <c r="E207" s="197"/>
      <c r="F207" s="197"/>
      <c r="G207" s="197"/>
      <c r="H207" s="197"/>
      <c r="M207" s="72" t="s">
        <v>106</v>
      </c>
      <c r="N207" s="43">
        <v>3.1451964061141817</v>
      </c>
      <c r="O207" s="43">
        <v>3.1528995963937474</v>
      </c>
      <c r="P207" s="43">
        <v>3.2778383330020473</v>
      </c>
      <c r="Q207" s="43">
        <v>3.1866738674997452</v>
      </c>
      <c r="R207" s="43">
        <v>3.9832202146481031</v>
      </c>
      <c r="S207" s="43">
        <v>2.976808337338066</v>
      </c>
      <c r="T207" s="43">
        <v>2.9063350418050908</v>
      </c>
      <c r="U207" s="43">
        <v>3.3289908554494287</v>
      </c>
      <c r="V207" s="43">
        <v>2.8041394323353503</v>
      </c>
      <c r="W207" s="43">
        <v>3.7476448193282481</v>
      </c>
      <c r="X207" s="43">
        <v>3.095518042323151</v>
      </c>
      <c r="Y207" s="43">
        <v>2.7979596437371961</v>
      </c>
      <c r="Z207" s="43">
        <v>3.374748346010104</v>
      </c>
      <c r="AA207" s="43">
        <v>2.9831750720378132</v>
      </c>
      <c r="AB207" s="43">
        <v>2.725094521081469</v>
      </c>
      <c r="AC207" s="43">
        <v>3.3040594662175993</v>
      </c>
      <c r="AD207" s="43">
        <v>3.4000196350651586</v>
      </c>
      <c r="AE207" s="43">
        <v>3.1928461151888419</v>
      </c>
      <c r="AF207" s="43">
        <v>3.5508396050657849</v>
      </c>
      <c r="AG207" s="43">
        <v>3.4610480916706576</v>
      </c>
      <c r="AH207" s="43">
        <v>3.2073650374690716</v>
      </c>
      <c r="AI207" s="43">
        <v>3.3201462861110542</v>
      </c>
      <c r="AJ207" s="43">
        <v>3.4000196350651586</v>
      </c>
      <c r="AK207" s="7">
        <v>3.2853322276438846</v>
      </c>
      <c r="AL207" s="69">
        <v>3.5018804937550585</v>
      </c>
    </row>
    <row r="208" spans="1:83" ht="15" customHeight="1" x14ac:dyDescent="0.2">
      <c r="A208" s="197"/>
      <c r="B208" s="197"/>
      <c r="C208" s="197"/>
      <c r="D208" s="197"/>
      <c r="E208" s="197"/>
      <c r="F208" s="197"/>
      <c r="G208" s="197"/>
      <c r="H208" s="197"/>
      <c r="M208" s="72" t="s">
        <v>107</v>
      </c>
      <c r="N208" s="70">
        <v>0.50658561296859173</v>
      </c>
      <c r="O208" s="70">
        <v>0.24073182474723154</v>
      </c>
      <c r="P208" s="70">
        <v>0.54824561403508765</v>
      </c>
      <c r="Q208" s="70">
        <v>0.44762757385854968</v>
      </c>
      <c r="R208" s="70">
        <v>0.71225071225071235</v>
      </c>
      <c r="S208" s="70">
        <v>1.0706638115631693</v>
      </c>
      <c r="T208" s="70">
        <v>7.4626865671641784</v>
      </c>
      <c r="U208" s="70">
        <v>-62.500000000000014</v>
      </c>
      <c r="V208" s="70">
        <v>71.428571428571402</v>
      </c>
      <c r="W208" s="70">
        <v>1.1709601873536299</v>
      </c>
      <c r="X208" s="70">
        <v>1.6286644951140066</v>
      </c>
      <c r="Y208" s="70">
        <v>0.48685491723466412</v>
      </c>
      <c r="Z208" s="70">
        <v>4.4642857142857144</v>
      </c>
      <c r="AA208" s="70">
        <v>-38.461538461538467</v>
      </c>
      <c r="AB208" s="70">
        <v>22.727272727272727</v>
      </c>
      <c r="AC208" s="70">
        <v>0.32530904359141188</v>
      </c>
      <c r="AD208" s="70">
        <v>0.47755491881566381</v>
      </c>
      <c r="AE208" s="70">
        <v>41.666666666666664</v>
      </c>
      <c r="AF208" s="70">
        <v>0.62344139650872821</v>
      </c>
      <c r="AG208" s="70">
        <v>0.93109869646182486</v>
      </c>
      <c r="AH208" s="70">
        <v>0.37965072133637057</v>
      </c>
      <c r="AI208" s="70">
        <v>1.2594458438287155</v>
      </c>
      <c r="AJ208" s="70">
        <v>0.47984644913627639</v>
      </c>
      <c r="AK208" s="7">
        <v>1.5290519877675843</v>
      </c>
      <c r="AL208" s="69">
        <v>0.47755491881566381</v>
      </c>
    </row>
    <row r="209" spans="1:42" ht="15" customHeight="1" x14ac:dyDescent="0.2">
      <c r="A209" s="197"/>
      <c r="B209" s="197"/>
      <c r="C209" s="197"/>
      <c r="D209" s="197"/>
      <c r="E209" s="197"/>
      <c r="F209" s="197"/>
      <c r="G209" s="197"/>
      <c r="H209" s="197"/>
      <c r="M209" s="72" t="s">
        <v>88</v>
      </c>
      <c r="N209" s="70">
        <v>8</v>
      </c>
      <c r="O209" s="70">
        <v>36</v>
      </c>
      <c r="P209" s="70">
        <v>84</v>
      </c>
      <c r="Q209" s="70">
        <v>60</v>
      </c>
      <c r="R209" s="70">
        <v>17</v>
      </c>
      <c r="S209" s="70">
        <v>108</v>
      </c>
      <c r="T209" s="70">
        <v>132</v>
      </c>
      <c r="U209" s="70">
        <v>156</v>
      </c>
      <c r="V209" s="70">
        <v>96</v>
      </c>
      <c r="W209" s="70">
        <v>16</v>
      </c>
      <c r="X209" s="70">
        <v>24</v>
      </c>
      <c r="Y209" s="70">
        <v>84</v>
      </c>
      <c r="Z209" s="70">
        <v>108</v>
      </c>
      <c r="AA209" s="70">
        <v>156</v>
      </c>
      <c r="AB209" s="70">
        <v>132</v>
      </c>
      <c r="AC209" s="70">
        <v>36</v>
      </c>
      <c r="AD209" s="70">
        <v>120</v>
      </c>
      <c r="AE209" s="70">
        <v>120</v>
      </c>
      <c r="AF209" s="70">
        <v>14</v>
      </c>
      <c r="AG209" s="70">
        <v>24</v>
      </c>
      <c r="AH209" s="70">
        <v>36</v>
      </c>
      <c r="AI209" s="70">
        <v>60</v>
      </c>
      <c r="AJ209" s="70">
        <v>120</v>
      </c>
      <c r="AK209" s="7">
        <v>60</v>
      </c>
      <c r="AL209" s="69">
        <v>36</v>
      </c>
    </row>
    <row r="210" spans="1:42" ht="15" customHeight="1" x14ac:dyDescent="0.2">
      <c r="A210" s="197"/>
      <c r="B210" s="197"/>
      <c r="C210" s="197"/>
      <c r="D210" s="197"/>
      <c r="E210" s="197"/>
      <c r="F210" s="197"/>
      <c r="G210" s="197"/>
      <c r="H210" s="197"/>
      <c r="M210" s="72" t="s">
        <v>108</v>
      </c>
      <c r="N210" s="70">
        <v>-2.2665983157327756</v>
      </c>
      <c r="O210" s="70">
        <v>-0.94601834165116139</v>
      </c>
      <c r="P210" s="70">
        <v>-0.48640750373717689</v>
      </c>
      <c r="Q210" s="70">
        <v>-0.76492400248178516</v>
      </c>
      <c r="R210" s="70">
        <v>-2.2266453819531487</v>
      </c>
      <c r="S210" s="70">
        <v>-0.63086238411685391</v>
      </c>
      <c r="T210" s="70">
        <v>-1.5377746120788371</v>
      </c>
      <c r="U210" s="70">
        <v>-2.4545507815330256</v>
      </c>
      <c r="V210" s="70">
        <v>-1.7706733774733252</v>
      </c>
      <c r="W210" s="70">
        <v>-2.2794866754189762</v>
      </c>
      <c r="X210" s="70">
        <v>-1.9964135400295535</v>
      </c>
      <c r="Y210" s="70">
        <v>-0.3043145995953021</v>
      </c>
      <c r="Z210" s="70">
        <v>-1.4036426478427486</v>
      </c>
      <c r="AA210" s="70">
        <v>-2.1399713564596086</v>
      </c>
      <c r="AB210" s="70">
        <v>-1.7934561819603538</v>
      </c>
      <c r="AC210" s="70">
        <v>-0.78539208245228709</v>
      </c>
      <c r="AD210" s="70">
        <v>-1.9801078582247456</v>
      </c>
      <c r="AE210" s="70">
        <v>-1.9370747699033011</v>
      </c>
      <c r="AF210" s="70">
        <v>-1.975348925855567</v>
      </c>
      <c r="AG210" s="70">
        <v>-1.4365740985251962</v>
      </c>
      <c r="AH210" s="70">
        <v>-0.95154365916318262</v>
      </c>
      <c r="AI210" s="70">
        <v>-1.0527845975978549</v>
      </c>
      <c r="AJ210" s="70">
        <v>-1.9801078582247456</v>
      </c>
      <c r="AK210" s="7">
        <v>-1.1107712264469305</v>
      </c>
      <c r="AL210" s="69">
        <v>-0.97202271330817314</v>
      </c>
    </row>
    <row r="211" spans="1:42" ht="15" customHeight="1" x14ac:dyDescent="0.2">
      <c r="A211" s="197"/>
      <c r="B211" s="197"/>
      <c r="C211" s="197"/>
      <c r="D211" s="197"/>
      <c r="E211" s="197"/>
      <c r="F211" s="197"/>
      <c r="G211" s="197"/>
      <c r="H211" s="197"/>
      <c r="M211" s="72" t="s">
        <v>90</v>
      </c>
      <c r="N211" s="34">
        <v>115</v>
      </c>
      <c r="O211" s="34">
        <v>170</v>
      </c>
      <c r="P211" s="34">
        <v>180</v>
      </c>
      <c r="Q211" s="34">
        <v>160</v>
      </c>
      <c r="R211" s="34">
        <v>450</v>
      </c>
      <c r="S211" s="34">
        <v>148</v>
      </c>
      <c r="T211" s="34">
        <v>140</v>
      </c>
      <c r="U211" s="34">
        <v>244</v>
      </c>
      <c r="V211" s="34">
        <v>75</v>
      </c>
      <c r="W211" s="34">
        <v>320</v>
      </c>
      <c r="X211" s="34">
        <v>130</v>
      </c>
      <c r="Y211" s="34">
        <v>150</v>
      </c>
      <c r="Z211" s="34">
        <v>165</v>
      </c>
      <c r="AA211" s="34">
        <v>160</v>
      </c>
      <c r="AB211" s="34">
        <v>65</v>
      </c>
      <c r="AC211" s="34">
        <v>220</v>
      </c>
      <c r="AD211" s="34">
        <v>200</v>
      </c>
      <c r="AE211" s="71">
        <v>250</v>
      </c>
      <c r="AF211" s="34">
        <v>285</v>
      </c>
      <c r="AG211" s="34">
        <v>350</v>
      </c>
      <c r="AH211" s="34">
        <v>200</v>
      </c>
      <c r="AI211" s="34">
        <v>250</v>
      </c>
      <c r="AJ211" s="34">
        <v>200</v>
      </c>
      <c r="AK211" s="2">
        <v>215</v>
      </c>
      <c r="AL211" s="71">
        <v>320</v>
      </c>
    </row>
    <row r="212" spans="1:42" ht="15" customHeight="1" x14ac:dyDescent="0.2">
      <c r="A212" s="197"/>
      <c r="B212" s="197"/>
      <c r="C212" s="197"/>
      <c r="D212" s="197"/>
      <c r="E212" s="197"/>
      <c r="F212" s="197"/>
      <c r="G212" s="197"/>
      <c r="H212" s="197"/>
      <c r="M212" s="72" t="s">
        <v>109</v>
      </c>
      <c r="N212" s="7">
        <v>3.2624510897304293</v>
      </c>
      <c r="O212" s="7">
        <v>3.12057393120585</v>
      </c>
      <c r="P212" s="7">
        <v>3.2060158767633444</v>
      </c>
      <c r="Q212" s="7">
        <v>3.1351326513767748</v>
      </c>
      <c r="R212" s="7">
        <v>3.3492775274679554</v>
      </c>
      <c r="S212" s="7">
        <v>3.0211892990699383</v>
      </c>
      <c r="T212" s="7">
        <v>2.9912260756924947</v>
      </c>
      <c r="U212" s="7">
        <v>2.8876173003357359</v>
      </c>
      <c r="V212" s="7">
        <v>3.0402066275747113</v>
      </c>
      <c r="W212" s="7">
        <v>3.3434085938038574</v>
      </c>
      <c r="X212" s="7">
        <v>3.1908917169221698</v>
      </c>
      <c r="Y212" s="7">
        <v>3.1778249718646818</v>
      </c>
      <c r="Z212" s="7">
        <v>3.0519239160461065</v>
      </c>
      <c r="AA212" s="7">
        <v>2.8293037728310249</v>
      </c>
      <c r="AB212" s="7">
        <v>3.0244856676991669</v>
      </c>
      <c r="AC212" s="7">
        <v>3.1760912590556813</v>
      </c>
      <c r="AD212" s="7">
        <v>3.2833012287035497</v>
      </c>
      <c r="AE212" s="69">
        <v>2.9360107957152097</v>
      </c>
      <c r="AF212" s="7">
        <v>3.3636119798921444</v>
      </c>
      <c r="AG212" s="7">
        <v>3.1351326513767748</v>
      </c>
      <c r="AH212" s="7">
        <v>3.1492191126553797</v>
      </c>
      <c r="AI212" s="7">
        <v>3.1303337684950061</v>
      </c>
      <c r="AJ212" s="7">
        <v>3.2833012287035497</v>
      </c>
      <c r="AK212" s="7">
        <v>3.180412632838324</v>
      </c>
      <c r="AL212" s="69">
        <v>3.1583624920952498</v>
      </c>
    </row>
    <row r="213" spans="1:42" ht="15" customHeight="1" x14ac:dyDescent="0.2">
      <c r="A213" s="197"/>
      <c r="B213" s="197"/>
      <c r="C213" s="197"/>
      <c r="D213" s="197"/>
      <c r="E213" s="197"/>
      <c r="F213" s="197"/>
      <c r="G213" s="197"/>
      <c r="H213" s="197"/>
      <c r="M213" s="72" t="s">
        <v>110</v>
      </c>
      <c r="N213" s="43">
        <v>2.6294095991027189</v>
      </c>
      <c r="O213" s="43">
        <v>2.7109631189952759</v>
      </c>
      <c r="P213" s="43">
        <v>2.6760531246518715</v>
      </c>
      <c r="Q213" s="43">
        <v>2.6901960800285138</v>
      </c>
      <c r="R213" s="43">
        <v>3.0652061280543119</v>
      </c>
      <c r="S213" s="43">
        <v>2.5779511277297553</v>
      </c>
      <c r="T213" s="43">
        <v>2.4745076391169758</v>
      </c>
      <c r="U213" s="43">
        <v>2.5395778833453089</v>
      </c>
      <c r="V213" s="43">
        <v>2.3695683465965476</v>
      </c>
      <c r="W213" s="43">
        <v>2.9399184203690565</v>
      </c>
      <c r="X213" s="43">
        <v>2.5774917998372255</v>
      </c>
      <c r="Y213" s="43">
        <v>2.6131015169669127</v>
      </c>
      <c r="Z213" s="43">
        <v>2.5779511277297553</v>
      </c>
      <c r="AA213" s="43">
        <v>2.3809344633307021</v>
      </c>
      <c r="AB213" s="43">
        <v>2.369215857410143</v>
      </c>
      <c r="AC213" s="43">
        <v>2.7795964912578244</v>
      </c>
      <c r="AD213" s="43">
        <v>2.8183578779583547</v>
      </c>
      <c r="AE213" s="69">
        <v>2.6458151182966416</v>
      </c>
      <c r="AF213" s="43">
        <v>2.8183578779583547</v>
      </c>
      <c r="AG213" s="43">
        <v>3.027920136405803</v>
      </c>
      <c r="AH213" s="43">
        <v>2.7795964912578244</v>
      </c>
      <c r="AI213" s="43">
        <v>2.8864907251724818</v>
      </c>
      <c r="AJ213" s="43">
        <v>2.8183578779583547</v>
      </c>
      <c r="AK213" s="7">
        <v>2.7795964912578244</v>
      </c>
      <c r="AL213" s="69">
        <v>2.9610887197678961</v>
      </c>
    </row>
    <row r="214" spans="1:42" ht="15" customHeight="1" x14ac:dyDescent="0.2">
      <c r="M214" s="72" t="s">
        <v>111</v>
      </c>
      <c r="N214" s="43">
        <v>1.9822712330395684</v>
      </c>
      <c r="O214" s="43">
        <v>1.9444826721501687</v>
      </c>
      <c r="P214" s="43">
        <v>1.9138138523837167</v>
      </c>
      <c r="Q214" s="43">
        <v>1.9138138523837167</v>
      </c>
      <c r="R214" s="43">
        <v>2.3138672203691533</v>
      </c>
      <c r="S214" s="43">
        <v>1.8061799739838871</v>
      </c>
      <c r="T214" s="43">
        <v>1.7242758696007889</v>
      </c>
      <c r="U214" s="43">
        <v>1.7075701760979363</v>
      </c>
      <c r="V214" s="43">
        <v>1.7242758696007889</v>
      </c>
      <c r="W214" s="43">
        <v>2.1846914308175989</v>
      </c>
      <c r="X214" s="43">
        <v>1.8808135922807914</v>
      </c>
      <c r="Y214" s="43">
        <v>1.8750612633917001</v>
      </c>
      <c r="Z214" s="43">
        <v>1.8260748027008264</v>
      </c>
      <c r="AA214" s="43">
        <v>1.6989700043360187</v>
      </c>
      <c r="AB214" s="43">
        <v>1.6989700043360187</v>
      </c>
      <c r="AC214" s="43">
        <v>2.0413926851582249</v>
      </c>
      <c r="AD214" s="43">
        <v>2.1105897102992488</v>
      </c>
      <c r="AE214" s="43">
        <v>1.7781512503836436</v>
      </c>
      <c r="AF214" s="43">
        <v>2.1760912590556813</v>
      </c>
      <c r="AG214" s="43">
        <v>2.1335389083702174</v>
      </c>
      <c r="AH214" s="43">
        <v>2.0043213737826426</v>
      </c>
      <c r="AI214" s="43">
        <v>2.0569048513364727</v>
      </c>
      <c r="AJ214" s="43">
        <v>2.1105897102992488</v>
      </c>
      <c r="AK214" s="43">
        <v>1.9912260756924949</v>
      </c>
      <c r="AL214" s="7">
        <v>2.1072099696478683</v>
      </c>
    </row>
    <row r="215" spans="1:42" ht="15" customHeight="1" x14ac:dyDescent="0.2"/>
    <row r="216" spans="1:42" ht="15" customHeight="1" x14ac:dyDescent="0.2">
      <c r="C216" s="200" t="s">
        <v>156</v>
      </c>
      <c r="D216" s="200"/>
      <c r="E216" s="200"/>
      <c r="F216" s="200"/>
      <c r="G216" s="200"/>
      <c r="H216" s="200"/>
      <c r="I216" s="200"/>
      <c r="J216" s="200"/>
      <c r="K216" s="200"/>
      <c r="L216" s="200"/>
      <c r="O216" s="200" t="s">
        <v>123</v>
      </c>
      <c r="P216" s="200"/>
      <c r="Q216" s="200"/>
      <c r="R216" s="200"/>
      <c r="S216" s="200"/>
      <c r="T216" s="200"/>
      <c r="U216" s="200"/>
      <c r="V216" s="200"/>
      <c r="Y216" s="200" t="s">
        <v>129</v>
      </c>
      <c r="Z216" s="200"/>
      <c r="AA216" s="200"/>
      <c r="AB216" s="200"/>
      <c r="AC216" s="200"/>
      <c r="AD216" s="200"/>
      <c r="AE216" s="200"/>
      <c r="AF216" s="200"/>
      <c r="AJ216" s="88"/>
    </row>
    <row r="217" spans="1:42" ht="15" customHeight="1" x14ac:dyDescent="0.2">
      <c r="C217" s="55" t="str">
        <f t="shared" ref="C217:D242" si="0">C4</f>
        <v>l.p</v>
      </c>
      <c r="D217" s="56" t="str">
        <f t="shared" si="0"/>
        <v>Karty</v>
      </c>
      <c r="E217" s="56" t="str">
        <f t="shared" ref="E217:L217" si="1">E4</f>
        <v>*KOS</v>
      </c>
      <c r="F217" s="56" t="str">
        <f t="shared" si="1"/>
        <v>*UDZ</v>
      </c>
      <c r="G217" s="56" t="str">
        <f t="shared" si="1"/>
        <v>WIK</v>
      </c>
      <c r="H217" s="56" t="str">
        <f t="shared" si="1"/>
        <v>*BEC</v>
      </c>
      <c r="I217" s="56" t="str">
        <f t="shared" si="1"/>
        <v>MOC</v>
      </c>
      <c r="J217" s="56" t="str">
        <f t="shared" si="1"/>
        <v>*ZEG</v>
      </c>
      <c r="K217" s="56" t="str">
        <f t="shared" si="1"/>
        <v>*PRP</v>
      </c>
      <c r="L217" s="57" t="str">
        <f t="shared" si="1"/>
        <v>*FPS</v>
      </c>
      <c r="O217" s="72" t="s">
        <v>106</v>
      </c>
      <c r="P217" s="72" t="s">
        <v>107</v>
      </c>
      <c r="Q217" s="72" t="s">
        <v>88</v>
      </c>
      <c r="R217" s="72" t="s">
        <v>108</v>
      </c>
      <c r="S217" s="72" t="s">
        <v>90</v>
      </c>
      <c r="T217" s="72" t="s">
        <v>109</v>
      </c>
      <c r="U217" s="72" t="s">
        <v>110</v>
      </c>
      <c r="V217" s="72" t="s">
        <v>111</v>
      </c>
      <c r="Y217" s="72" t="s">
        <v>106</v>
      </c>
      <c r="Z217" s="72" t="s">
        <v>107</v>
      </c>
      <c r="AA217" s="72" t="s">
        <v>88</v>
      </c>
      <c r="AB217" s="72" t="s">
        <v>108</v>
      </c>
      <c r="AC217" s="72" t="s">
        <v>90</v>
      </c>
      <c r="AD217" s="72" t="s">
        <v>109</v>
      </c>
      <c r="AE217" s="72" t="s">
        <v>110</v>
      </c>
      <c r="AF217" s="72" t="s">
        <v>111</v>
      </c>
      <c r="AJ217" s="88"/>
    </row>
    <row r="218" spans="1:42" ht="15" customHeight="1" x14ac:dyDescent="0.2">
      <c r="C218" s="6">
        <f t="shared" si="0"/>
        <v>1</v>
      </c>
      <c r="D218" s="58" t="str">
        <f t="shared" si="0"/>
        <v>RTX4060</v>
      </c>
      <c r="E218" s="43">
        <f>(E5-AVERAGE(E$5:E$29))/_xlfn.STDEV.S(E$5:E$29)</f>
        <v>-0.33894368183807799</v>
      </c>
      <c r="F218" s="43">
        <f t="shared" ref="F218:L218" si="2">(F5-AVERAGE(F$5:F$29))/_xlfn.STDEV.S(F$5:F$29)</f>
        <v>-8.2505619498528679E-2</v>
      </c>
      <c r="G218" s="43">
        <f t="shared" si="2"/>
        <v>-1.3672512455367785</v>
      </c>
      <c r="H218" s="43">
        <f t="shared" si="2"/>
        <v>-1.2170025332099554</v>
      </c>
      <c r="I218" s="43">
        <f t="shared" si="2"/>
        <v>-1.0334902370451089</v>
      </c>
      <c r="J218" s="43">
        <f t="shared" si="2"/>
        <v>0.89349175519449342</v>
      </c>
      <c r="K218" s="43">
        <f t="shared" si="2"/>
        <v>-0.36192218289067796</v>
      </c>
      <c r="L218" s="43">
        <f t="shared" si="2"/>
        <v>0.19409189023346382</v>
      </c>
      <c r="N218" s="72" t="s">
        <v>106</v>
      </c>
      <c r="O218" s="74">
        <f t="shared" ref="O218:V225" si="3">CORREL(E$5:E$29,$N207:$AL207)</f>
        <v>0.99999999999999978</v>
      </c>
      <c r="P218" s="74">
        <f t="shared" si="3"/>
        <v>-0.25676236081470621</v>
      </c>
      <c r="Q218" s="74">
        <f t="shared" si="3"/>
        <v>-0.48951390530839589</v>
      </c>
      <c r="R218" s="74">
        <f t="shared" si="3"/>
        <v>-0.28287293154163345</v>
      </c>
      <c r="S218" s="74">
        <f t="shared" si="3"/>
        <v>0.88795807257407244</v>
      </c>
      <c r="T218" s="74">
        <f t="shared" si="3"/>
        <v>0.5977163362522856</v>
      </c>
      <c r="U218" s="74">
        <f t="shared" si="3"/>
        <v>0.84818040890713098</v>
      </c>
      <c r="V218" s="74">
        <f t="shared" si="3"/>
        <v>0.83058479418610476</v>
      </c>
      <c r="X218" s="72" t="s">
        <v>106</v>
      </c>
      <c r="Y218" s="89">
        <f>IFERROR(SQRT((1-(O218)^2)/(O218)^2),0)</f>
        <v>2.1073424255447021E-8</v>
      </c>
      <c r="Z218" s="89">
        <f t="shared" ref="Z218:AF218" si="4">IFERROR(SQRT((1-(P218)^2)/(P218)^2),0)</f>
        <v>3.7640819497973248</v>
      </c>
      <c r="AA218" s="89">
        <f t="shared" si="4"/>
        <v>1.7813497873098052</v>
      </c>
      <c r="AB218" s="89">
        <f t="shared" si="4"/>
        <v>3.3907712123640699</v>
      </c>
      <c r="AC218" s="89">
        <f t="shared" si="4"/>
        <v>0.51795734788154046</v>
      </c>
      <c r="AD218" s="89">
        <f t="shared" si="4"/>
        <v>1.341284514341615</v>
      </c>
      <c r="AE218" s="89">
        <f t="shared" si="4"/>
        <v>0.62452215962641133</v>
      </c>
      <c r="AF218" s="89">
        <f t="shared" si="4"/>
        <v>0.67048203081569968</v>
      </c>
      <c r="AJ218" s="88"/>
    </row>
    <row r="219" spans="1:42" ht="15" customHeight="1" x14ac:dyDescent="0.2">
      <c r="C219" s="6">
        <f t="shared" si="0"/>
        <v>2</v>
      </c>
      <c r="D219" s="58" t="str">
        <f t="shared" si="0"/>
        <v>RTX3060</v>
      </c>
      <c r="E219" s="43">
        <f t="shared" ref="E219:L242" si="5">(E6-AVERAGE(E$5:E$29))/_xlfn.STDEV.S(E$5:E$29)</f>
        <v>-0.31262246637878111</v>
      </c>
      <c r="F219" s="43">
        <f t="shared" si="5"/>
        <v>-9.4069815335755341E-2</v>
      </c>
      <c r="G219" s="43">
        <f t="shared" si="5"/>
        <v>-0.78473397720096294</v>
      </c>
      <c r="H219" s="43">
        <f t="shared" si="5"/>
        <v>0.84540278157484616</v>
      </c>
      <c r="I219" s="43">
        <f t="shared" si="5"/>
        <v>-0.41213078101667655</v>
      </c>
      <c r="J219" s="43">
        <f t="shared" si="5"/>
        <v>-0.11773384600344719</v>
      </c>
      <c r="K219" s="43">
        <f t="shared" si="5"/>
        <v>5.4504078474133272E-2</v>
      </c>
      <c r="L219" s="43">
        <f t="shared" si="5"/>
        <v>-2.1213627665209331E-2</v>
      </c>
      <c r="N219" s="72" t="s">
        <v>107</v>
      </c>
      <c r="O219" s="74">
        <f t="shared" si="3"/>
        <v>-0.25676236081470621</v>
      </c>
      <c r="P219" s="74">
        <f t="shared" si="3"/>
        <v>1.0000000000000002</v>
      </c>
      <c r="Q219" s="74">
        <f t="shared" si="3"/>
        <v>-0.12017183772391583</v>
      </c>
      <c r="R219" s="74">
        <f t="shared" si="3"/>
        <v>0.11464975972700009</v>
      </c>
      <c r="S219" s="74">
        <f t="shared" si="3"/>
        <v>-0.24019236587640122</v>
      </c>
      <c r="T219" s="74">
        <f t="shared" si="3"/>
        <v>0.11549337339485613</v>
      </c>
      <c r="U219" s="74">
        <f t="shared" si="3"/>
        <v>-0.11269241583206957</v>
      </c>
      <c r="V219" s="74">
        <f t="shared" si="3"/>
        <v>-5.4868301732546511E-2</v>
      </c>
      <c r="X219" s="72" t="s">
        <v>107</v>
      </c>
      <c r="Y219" s="89">
        <f t="shared" ref="Y219:Y225" si="6">IFERROR(SQRT((1-(O219)^2)/(O219)^2),0)</f>
        <v>3.7640819497973248</v>
      </c>
      <c r="Z219" s="89">
        <f t="shared" ref="Z219:Z225" si="7">IFERROR(SQRT((1-(P219)^2)/(P219)^2),0)</f>
        <v>0</v>
      </c>
      <c r="AA219" s="89">
        <f t="shared" ref="AA219:AA225" si="8">IFERROR(SQRT((1-(Q219)^2)/(Q219)^2),0)</f>
        <v>8.2611127929429529</v>
      </c>
      <c r="AB219" s="89">
        <f t="shared" ref="AB219:AB225" si="9">IFERROR(SQRT((1-(R219)^2)/(R219)^2),0)</f>
        <v>8.6647017672311328</v>
      </c>
      <c r="AC219" s="89">
        <f t="shared" ref="AC219:AC225" si="10">IFERROR(SQRT((1-(S219)^2)/(S219)^2),0)</f>
        <v>4.0414494707465529</v>
      </c>
      <c r="AD219" s="89">
        <f t="shared" ref="AD219:AD225" si="11">IFERROR(SQRT((1-(T219)^2)/(T219)^2),0)</f>
        <v>8.6005648756999129</v>
      </c>
      <c r="AE219" s="89">
        <f t="shared" ref="AE219:AE225" si="12">IFERROR(SQRT((1-(U219)^2)/(U219)^2),0)</f>
        <v>8.8171853750373739</v>
      </c>
      <c r="AF219" s="89">
        <f t="shared" ref="AF219:AF225" si="13">IFERROR(SQRT((1-(V219)^2)/(V219)^2),0)</f>
        <v>18.198004468578269</v>
      </c>
      <c r="AJ219" s="88"/>
    </row>
    <row r="220" spans="1:42" ht="15" customHeight="1" x14ac:dyDescent="0.2">
      <c r="C220" s="6">
        <f t="shared" si="0"/>
        <v>3</v>
      </c>
      <c r="D220" s="58" t="str">
        <f t="shared" si="0"/>
        <v>GTX1080</v>
      </c>
      <c r="E220" s="43">
        <f t="shared" si="5"/>
        <v>0.11428369666939714</v>
      </c>
      <c r="F220" s="43">
        <f t="shared" si="5"/>
        <v>-8.0693479020353898E-2</v>
      </c>
      <c r="G220" s="43">
        <f t="shared" si="5"/>
        <v>0.21386705423186372</v>
      </c>
      <c r="H220" s="43">
        <f t="shared" si="5"/>
        <v>1.5631963673103175</v>
      </c>
      <c r="I220" s="43">
        <f t="shared" si="5"/>
        <v>-0.29915633446605244</v>
      </c>
      <c r="J220" s="43">
        <f t="shared" si="5"/>
        <v>0.49125130468894262</v>
      </c>
      <c r="K220" s="43">
        <f t="shared" si="5"/>
        <v>-0.12375234071958138</v>
      </c>
      <c r="L220" s="43">
        <f t="shared" si="5"/>
        <v>-0.19595344224780942</v>
      </c>
      <c r="N220" s="72" t="s">
        <v>88</v>
      </c>
      <c r="O220" s="74">
        <f t="shared" si="3"/>
        <v>-0.48951390530839589</v>
      </c>
      <c r="P220" s="74">
        <f t="shared" si="3"/>
        <v>-0.12017183772391583</v>
      </c>
      <c r="Q220" s="74">
        <f t="shared" si="3"/>
        <v>1</v>
      </c>
      <c r="R220" s="74">
        <f t="shared" si="3"/>
        <v>-0.12035326000462289</v>
      </c>
      <c r="S220" s="74">
        <f t="shared" si="3"/>
        <v>-0.43358554212019984</v>
      </c>
      <c r="T220" s="74">
        <f t="shared" si="3"/>
        <v>-0.71349522320465819</v>
      </c>
      <c r="U220" s="74">
        <f t="shared" si="3"/>
        <v>-0.65190209714630132</v>
      </c>
      <c r="V220" s="74">
        <f t="shared" si="3"/>
        <v>-0.71651041924406689</v>
      </c>
      <c r="X220" s="72" t="s">
        <v>88</v>
      </c>
      <c r="Y220" s="89">
        <f t="shared" si="6"/>
        <v>1.7813497873098052</v>
      </c>
      <c r="Z220" s="89">
        <f t="shared" si="7"/>
        <v>8.2611127929429529</v>
      </c>
      <c r="AA220" s="89">
        <f t="shared" si="8"/>
        <v>0</v>
      </c>
      <c r="AB220" s="89">
        <f t="shared" si="9"/>
        <v>8.2484772586637245</v>
      </c>
      <c r="AC220" s="89">
        <f t="shared" si="10"/>
        <v>2.078280578312095</v>
      </c>
      <c r="AD220" s="89">
        <f t="shared" si="11"/>
        <v>0.98201090995300089</v>
      </c>
      <c r="AE220" s="89">
        <f t="shared" si="12"/>
        <v>1.1632162953528891</v>
      </c>
      <c r="AF220" s="89">
        <f t="shared" si="13"/>
        <v>0.97357466229662859</v>
      </c>
      <c r="AJ220" s="88"/>
    </row>
    <row r="221" spans="1:42" ht="15" customHeight="1" x14ac:dyDescent="0.2">
      <c r="C221" s="6">
        <f t="shared" si="0"/>
        <v>4</v>
      </c>
      <c r="D221" s="58" t="str">
        <f t="shared" si="0"/>
        <v>RTX2060</v>
      </c>
      <c r="E221" s="43">
        <f t="shared" si="5"/>
        <v>-0.19721835009726071</v>
      </c>
      <c r="F221" s="43">
        <f t="shared" si="5"/>
        <v>-8.507019574552839E-2</v>
      </c>
      <c r="G221" s="43">
        <f t="shared" si="5"/>
        <v>-0.28543346148454957</v>
      </c>
      <c r="H221" s="43">
        <f t="shared" si="5"/>
        <v>1.128225431403459</v>
      </c>
      <c r="I221" s="43">
        <f t="shared" si="5"/>
        <v>-0.5251052275673006</v>
      </c>
      <c r="J221" s="43">
        <f t="shared" si="5"/>
        <v>-1.3966962661436617E-2</v>
      </c>
      <c r="K221" s="43">
        <f t="shared" si="5"/>
        <v>-5.153598463950454E-2</v>
      </c>
      <c r="L221" s="43">
        <f t="shared" si="5"/>
        <v>-0.19595344224780942</v>
      </c>
      <c r="N221" s="72" t="s">
        <v>108</v>
      </c>
      <c r="O221" s="74">
        <f t="shared" si="3"/>
        <v>-0.28287293154163345</v>
      </c>
      <c r="P221" s="74">
        <f t="shared" si="3"/>
        <v>0.11464975972700009</v>
      </c>
      <c r="Q221" s="74">
        <f t="shared" si="3"/>
        <v>-0.12035326000462289</v>
      </c>
      <c r="R221" s="74">
        <f t="shared" si="3"/>
        <v>0.99999999999999989</v>
      </c>
      <c r="S221" s="74">
        <f t="shared" si="3"/>
        <v>-0.17611889717052015</v>
      </c>
      <c r="T221" s="74">
        <f t="shared" si="3"/>
        <v>-1.8368496129849244E-2</v>
      </c>
      <c r="U221" s="74">
        <f t="shared" si="3"/>
        <v>6.4790487950455597E-2</v>
      </c>
      <c r="V221" s="74">
        <f t="shared" si="3"/>
        <v>-4.7327588798363227E-2</v>
      </c>
      <c r="X221" s="72" t="s">
        <v>108</v>
      </c>
      <c r="Y221" s="89">
        <f t="shared" si="6"/>
        <v>3.3907712123640699</v>
      </c>
      <c r="Z221" s="89">
        <f t="shared" si="7"/>
        <v>8.6647017672311328</v>
      </c>
      <c r="AA221" s="89">
        <f t="shared" si="8"/>
        <v>8.2484772586637245</v>
      </c>
      <c r="AB221" s="89">
        <f t="shared" si="9"/>
        <v>1.4901161193847656E-8</v>
      </c>
      <c r="AC221" s="89">
        <f t="shared" si="10"/>
        <v>5.5892293060127969</v>
      </c>
      <c r="AD221" s="89">
        <f t="shared" si="11"/>
        <v>54.431853205327407</v>
      </c>
      <c r="AE221" s="89">
        <f t="shared" si="12"/>
        <v>15.401935076718937</v>
      </c>
      <c r="AF221" s="89">
        <f t="shared" si="13"/>
        <v>21.105647830004912</v>
      </c>
      <c r="AH221" s="105"/>
      <c r="AI221" s="105"/>
      <c r="AJ221" s="105"/>
      <c r="AK221" s="105"/>
      <c r="AL221" s="105"/>
      <c r="AM221" s="105"/>
      <c r="AN221" s="105"/>
      <c r="AO221" s="105"/>
      <c r="AP221" s="105"/>
    </row>
    <row r="222" spans="1:42" ht="15" customHeight="1" x14ac:dyDescent="0.2">
      <c r="C222" s="6">
        <f t="shared" si="0"/>
        <v>5</v>
      </c>
      <c r="D222" s="58" t="str">
        <f t="shared" si="0"/>
        <v>RTX4090</v>
      </c>
      <c r="E222" s="43">
        <f t="shared" si="5"/>
        <v>2.5245199512692147</v>
      </c>
      <c r="F222" s="43">
        <f t="shared" si="5"/>
        <v>-7.3559531120804308E-2</v>
      </c>
      <c r="G222" s="43">
        <f t="shared" si="5"/>
        <v>-1.1800135521431234</v>
      </c>
      <c r="H222" s="43">
        <f t="shared" si="5"/>
        <v>-1.1546063553293604</v>
      </c>
      <c r="I222" s="43">
        <f t="shared" si="5"/>
        <v>2.7511537224007978</v>
      </c>
      <c r="J222" s="43">
        <f t="shared" si="5"/>
        <v>1.5123448363674885</v>
      </c>
      <c r="K222" s="43">
        <f t="shared" si="5"/>
        <v>1.863329645677376</v>
      </c>
      <c r="L222" s="43">
        <f t="shared" si="5"/>
        <v>2.0834055900612158</v>
      </c>
      <c r="N222" s="72" t="s">
        <v>90</v>
      </c>
      <c r="O222" s="74">
        <f t="shared" si="3"/>
        <v>0.88795807257407244</v>
      </c>
      <c r="P222" s="74">
        <f t="shared" si="3"/>
        <v>-0.24019236587640122</v>
      </c>
      <c r="Q222" s="74">
        <f t="shared" si="3"/>
        <v>-0.43358554212019984</v>
      </c>
      <c r="R222" s="74">
        <f t="shared" si="3"/>
        <v>-0.17611889717052015</v>
      </c>
      <c r="S222" s="74">
        <f t="shared" si="3"/>
        <v>0.99999999999999989</v>
      </c>
      <c r="T222" s="74">
        <f t="shared" si="3"/>
        <v>0.40093073990112504</v>
      </c>
      <c r="U222" s="74">
        <f t="shared" si="3"/>
        <v>0.85400272136038569</v>
      </c>
      <c r="V222" s="74">
        <f t="shared" si="3"/>
        <v>0.7489711034465607</v>
      </c>
      <c r="X222" s="72" t="s">
        <v>90</v>
      </c>
      <c r="Y222" s="89">
        <f t="shared" si="6"/>
        <v>0.51795734788154046</v>
      </c>
      <c r="Z222" s="89">
        <f t="shared" si="7"/>
        <v>4.0414494707465529</v>
      </c>
      <c r="AA222" s="89">
        <f t="shared" si="8"/>
        <v>2.078280578312095</v>
      </c>
      <c r="AB222" s="89">
        <f t="shared" si="9"/>
        <v>5.5892293060127969</v>
      </c>
      <c r="AC222" s="89">
        <f t="shared" si="10"/>
        <v>1.4901161193847656E-8</v>
      </c>
      <c r="AD222" s="89">
        <f t="shared" si="11"/>
        <v>2.2849541747831834</v>
      </c>
      <c r="AE222" s="89">
        <f t="shared" si="12"/>
        <v>0.60921180372454442</v>
      </c>
      <c r="AF222" s="89">
        <f t="shared" si="13"/>
        <v>0.88468387876175347</v>
      </c>
      <c r="AI222" s="105"/>
      <c r="AJ222" s="105"/>
      <c r="AK222" s="105"/>
      <c r="AL222" s="105"/>
      <c r="AM222" s="105"/>
      <c r="AN222" s="105"/>
      <c r="AO222" s="105"/>
      <c r="AP222" s="105"/>
    </row>
    <row r="223" spans="1:42" ht="15" customHeight="1" x14ac:dyDescent="0.2">
      <c r="C223" s="6">
        <f t="shared" si="0"/>
        <v>6</v>
      </c>
      <c r="D223" s="58" t="str">
        <f t="shared" si="0"/>
        <v>GTX970</v>
      </c>
      <c r="E223" s="43">
        <f>(E10-AVERAGE(E$5:E$29))/_xlfn.STDEV.S(E$5:E$29)</f>
        <v>-0.91431290915527486</v>
      </c>
      <c r="F223" s="43">
        <f t="shared" si="5"/>
        <v>-5.7969159816312926E-2</v>
      </c>
      <c r="G223" s="43">
        <f t="shared" si="5"/>
        <v>0.71316756994827701</v>
      </c>
      <c r="H223" s="43">
        <f t="shared" si="5"/>
        <v>1.3375951020413681</v>
      </c>
      <c r="I223" s="43">
        <f t="shared" si="5"/>
        <v>-0.66067456342804953</v>
      </c>
      <c r="J223" s="43">
        <f t="shared" si="5"/>
        <v>-0.82609511730747132</v>
      </c>
      <c r="K223" s="43">
        <f t="shared" si="5"/>
        <v>-0.62467796434097778</v>
      </c>
      <c r="L223" s="43">
        <f t="shared" si="5"/>
        <v>-0.8092122535622891</v>
      </c>
      <c r="N223" s="72" t="s">
        <v>109</v>
      </c>
      <c r="O223" s="74">
        <f t="shared" si="3"/>
        <v>0.5977163362522856</v>
      </c>
      <c r="P223" s="74">
        <f t="shared" si="3"/>
        <v>0.11549337339485613</v>
      </c>
      <c r="Q223" s="74">
        <f t="shared" si="3"/>
        <v>-0.71349522320465819</v>
      </c>
      <c r="R223" s="74">
        <f t="shared" si="3"/>
        <v>-1.8368496129849244E-2</v>
      </c>
      <c r="S223" s="74">
        <f t="shared" si="3"/>
        <v>0.40093073990112504</v>
      </c>
      <c r="T223" s="74">
        <f t="shared" si="3"/>
        <v>1</v>
      </c>
      <c r="U223" s="74">
        <f t="shared" si="3"/>
        <v>0.68936972980454048</v>
      </c>
      <c r="V223" s="74">
        <f t="shared" si="3"/>
        <v>0.86227532868391588</v>
      </c>
      <c r="X223" s="72" t="s">
        <v>109</v>
      </c>
      <c r="Y223" s="89">
        <f t="shared" si="6"/>
        <v>1.341284514341615</v>
      </c>
      <c r="Z223" s="89">
        <f t="shared" si="7"/>
        <v>8.6005648756999129</v>
      </c>
      <c r="AA223" s="89">
        <f t="shared" si="8"/>
        <v>0.98201090995300089</v>
      </c>
      <c r="AB223" s="89">
        <f t="shared" si="9"/>
        <v>54.431853205327407</v>
      </c>
      <c r="AC223" s="89">
        <f t="shared" si="10"/>
        <v>2.2849541747831834</v>
      </c>
      <c r="AD223" s="89">
        <f t="shared" si="11"/>
        <v>0</v>
      </c>
      <c r="AE223" s="89">
        <f t="shared" si="12"/>
        <v>1.0508289566152209</v>
      </c>
      <c r="AF223" s="89">
        <f t="shared" si="13"/>
        <v>0.58732955686370125</v>
      </c>
      <c r="AH223" s="99"/>
      <c r="AI223" s="75"/>
      <c r="AJ223" s="75"/>
      <c r="AK223" s="75"/>
      <c r="AL223" s="75"/>
      <c r="AM223" s="75"/>
      <c r="AN223" s="75"/>
      <c r="AO223" s="75"/>
      <c r="AP223" s="75"/>
    </row>
    <row r="224" spans="1:42" ht="15" customHeight="1" x14ac:dyDescent="0.2">
      <c r="C224" s="6">
        <f t="shared" si="0"/>
        <v>7</v>
      </c>
      <c r="D224" s="58" t="str">
        <f t="shared" si="0"/>
        <v>GTX660</v>
      </c>
      <c r="E224" s="43">
        <f t="shared" si="5"/>
        <v>-1.1551148014272041</v>
      </c>
      <c r="F224" s="43">
        <f t="shared" si="5"/>
        <v>0.22007315598560373</v>
      </c>
      <c r="G224" s="43">
        <f t="shared" si="5"/>
        <v>1.2124680856646903</v>
      </c>
      <c r="H224" s="43">
        <f t="shared" si="5"/>
        <v>-7.8767886722631214E-2</v>
      </c>
      <c r="I224" s="43">
        <f t="shared" si="5"/>
        <v>-0.75105412066854882</v>
      </c>
      <c r="J224" s="43">
        <f t="shared" si="5"/>
        <v>-1.0396571796491301</v>
      </c>
      <c r="K224" s="43">
        <f t="shared" si="5"/>
        <v>-1.1528781607556098</v>
      </c>
      <c r="L224" s="43">
        <f t="shared" si="5"/>
        <v>-1.2758721420889423</v>
      </c>
      <c r="N224" s="72" t="s">
        <v>110</v>
      </c>
      <c r="O224" s="74">
        <f t="shared" si="3"/>
        <v>0.84818040890713098</v>
      </c>
      <c r="P224" s="74">
        <f t="shared" si="3"/>
        <v>-0.11269241583206957</v>
      </c>
      <c r="Q224" s="74">
        <f t="shared" si="3"/>
        <v>-0.65190209714630132</v>
      </c>
      <c r="R224" s="74">
        <f t="shared" si="3"/>
        <v>6.4790487950455597E-2</v>
      </c>
      <c r="S224" s="74">
        <f t="shared" si="3"/>
        <v>0.85400272136038569</v>
      </c>
      <c r="T224" s="74">
        <f t="shared" si="3"/>
        <v>0.68936972980454048</v>
      </c>
      <c r="U224" s="74">
        <f t="shared" si="3"/>
        <v>0.99999999999999978</v>
      </c>
      <c r="V224" s="74">
        <f t="shared" si="3"/>
        <v>0.93752217330557053</v>
      </c>
      <c r="X224" s="72" t="s">
        <v>110</v>
      </c>
      <c r="Y224" s="89">
        <f t="shared" si="6"/>
        <v>0.62452215962641133</v>
      </c>
      <c r="Z224" s="89">
        <f t="shared" si="7"/>
        <v>8.8171853750373739</v>
      </c>
      <c r="AA224" s="89">
        <f t="shared" si="8"/>
        <v>1.1632162953528891</v>
      </c>
      <c r="AB224" s="89">
        <f t="shared" si="9"/>
        <v>15.401935076718937</v>
      </c>
      <c r="AC224" s="89">
        <f t="shared" si="10"/>
        <v>0.60921180372454442</v>
      </c>
      <c r="AD224" s="89">
        <f t="shared" si="11"/>
        <v>1.0508289566152209</v>
      </c>
      <c r="AE224" s="89">
        <f t="shared" si="12"/>
        <v>2.1073424255447021E-8</v>
      </c>
      <c r="AF224" s="89">
        <f t="shared" si="13"/>
        <v>0.37111178817960438</v>
      </c>
      <c r="AH224" s="99"/>
      <c r="AI224" s="75"/>
      <c r="AJ224" s="75"/>
      <c r="AK224" s="75"/>
      <c r="AL224" s="75"/>
      <c r="AM224" s="75"/>
      <c r="AN224" s="75"/>
      <c r="AO224" s="75"/>
      <c r="AP224" s="75"/>
    </row>
    <row r="225" spans="3:42" ht="15" customHeight="1" x14ac:dyDescent="0.2">
      <c r="C225" s="6">
        <f t="shared" si="0"/>
        <v>8</v>
      </c>
      <c r="D225" s="58" t="str">
        <f t="shared" si="0"/>
        <v>GTX580</v>
      </c>
      <c r="E225" s="43">
        <f t="shared" si="5"/>
        <v>0.28906797639771264</v>
      </c>
      <c r="F225" s="43">
        <f t="shared" si="5"/>
        <v>-2.8231868786900627</v>
      </c>
      <c r="G225" s="43">
        <f t="shared" si="5"/>
        <v>1.7117686013811038</v>
      </c>
      <c r="H225" s="43">
        <f t="shared" si="5"/>
        <v>-1.51053580798411</v>
      </c>
      <c r="I225" s="43">
        <f t="shared" si="5"/>
        <v>0.42388012345794168</v>
      </c>
      <c r="J225" s="43">
        <f t="shared" si="5"/>
        <v>-1.7781259172463078</v>
      </c>
      <c r="K225" s="43">
        <f t="shared" si="5"/>
        <v>-0.82061833229205694</v>
      </c>
      <c r="L225" s="43">
        <f t="shared" si="5"/>
        <v>-1.3710551262204485</v>
      </c>
      <c r="N225" s="72" t="s">
        <v>111</v>
      </c>
      <c r="O225" s="74">
        <f t="shared" si="3"/>
        <v>0.83058479418610476</v>
      </c>
      <c r="P225" s="74">
        <f t="shared" si="3"/>
        <v>-5.4868301732546511E-2</v>
      </c>
      <c r="Q225" s="74">
        <f t="shared" si="3"/>
        <v>-0.71651041924406689</v>
      </c>
      <c r="R225" s="74">
        <f t="shared" si="3"/>
        <v>-4.7327588798363227E-2</v>
      </c>
      <c r="S225" s="74">
        <f t="shared" si="3"/>
        <v>0.7489711034465607</v>
      </c>
      <c r="T225" s="74">
        <f t="shared" si="3"/>
        <v>0.86227532868391588</v>
      </c>
      <c r="U225" s="74">
        <f t="shared" si="3"/>
        <v>0.93752217330557053</v>
      </c>
      <c r="V225" s="74">
        <f t="shared" si="3"/>
        <v>1.0000000000000002</v>
      </c>
      <c r="X225" s="72" t="s">
        <v>111</v>
      </c>
      <c r="Y225" s="89">
        <f t="shared" si="6"/>
        <v>0.67048203081569968</v>
      </c>
      <c r="Z225" s="89">
        <f t="shared" si="7"/>
        <v>18.198004468578269</v>
      </c>
      <c r="AA225" s="89">
        <f t="shared" si="8"/>
        <v>0.97357466229662859</v>
      </c>
      <c r="AB225" s="89">
        <f t="shared" si="9"/>
        <v>21.105647830004912</v>
      </c>
      <c r="AC225" s="89">
        <f t="shared" si="10"/>
        <v>0.88468387876175347</v>
      </c>
      <c r="AD225" s="89">
        <f t="shared" si="11"/>
        <v>0.58732955686370125</v>
      </c>
      <c r="AE225" s="89">
        <f t="shared" si="12"/>
        <v>0.37111178817960438</v>
      </c>
      <c r="AF225" s="89">
        <f t="shared" si="13"/>
        <v>0</v>
      </c>
      <c r="AH225" s="99"/>
      <c r="AI225" s="75"/>
      <c r="AJ225" s="75"/>
      <c r="AK225" s="75"/>
      <c r="AL225" s="75"/>
      <c r="AM225" s="75"/>
      <c r="AN225" s="75"/>
      <c r="AO225" s="75"/>
      <c r="AP225" s="75"/>
    </row>
    <row r="226" spans="3:42" ht="15" customHeight="1" x14ac:dyDescent="0.2">
      <c r="C226" s="6">
        <f t="shared" si="0"/>
        <v>9</v>
      </c>
      <c r="D226" s="58" t="str">
        <f t="shared" si="0"/>
        <v>GTX960M</v>
      </c>
      <c r="E226" s="43">
        <f t="shared" si="5"/>
        <v>-1.5043094283576535</v>
      </c>
      <c r="F226" s="43">
        <f t="shared" si="5"/>
        <v>3.0024823305462118</v>
      </c>
      <c r="G226" s="43">
        <f t="shared" si="5"/>
        <v>0.46351731209007041</v>
      </c>
      <c r="H226" s="43">
        <f t="shared" si="5"/>
        <v>-0.44249568888807994</v>
      </c>
      <c r="I226" s="43">
        <f t="shared" si="5"/>
        <v>-1.4853880232476053</v>
      </c>
      <c r="J226" s="43">
        <f t="shared" si="5"/>
        <v>-0.69054962393556818</v>
      </c>
      <c r="K226" s="43">
        <f t="shared" si="5"/>
        <v>-1.688716188496439</v>
      </c>
      <c r="L226" s="43">
        <f t="shared" si="5"/>
        <v>-1.2758721420889423</v>
      </c>
      <c r="AH226" s="99"/>
      <c r="AI226" s="75"/>
      <c r="AJ226" s="75"/>
      <c r="AK226" s="75"/>
      <c r="AL226" s="75"/>
      <c r="AM226" s="75"/>
      <c r="AN226" s="75"/>
      <c r="AO226" s="75"/>
      <c r="AP226" s="75"/>
    </row>
    <row r="227" spans="3:42" ht="15" customHeight="1" x14ac:dyDescent="0.2">
      <c r="C227" s="6">
        <f t="shared" si="0"/>
        <v>10</v>
      </c>
      <c r="D227" s="58" t="str">
        <f t="shared" si="0"/>
        <v>RTX4080</v>
      </c>
      <c r="E227" s="43">
        <f t="shared" si="5"/>
        <v>1.7195767378617237</v>
      </c>
      <c r="F227" s="43">
        <f t="shared" si="5"/>
        <v>-5.3606434954784031E-2</v>
      </c>
      <c r="G227" s="43">
        <f t="shared" si="5"/>
        <v>-1.2008177402979741</v>
      </c>
      <c r="H227" s="43">
        <f t="shared" si="5"/>
        <v>-1.2371308268668115</v>
      </c>
      <c r="I227" s="43">
        <f t="shared" si="5"/>
        <v>1.2824859172426846</v>
      </c>
      <c r="J227" s="43">
        <f t="shared" si="5"/>
        <v>1.4705141707791289</v>
      </c>
      <c r="K227" s="43">
        <f t="shared" si="5"/>
        <v>1.2235891197617086</v>
      </c>
      <c r="L227" s="43">
        <f t="shared" si="5"/>
        <v>1.347408780053847</v>
      </c>
      <c r="O227" s="200" t="s">
        <v>124</v>
      </c>
      <c r="P227" s="200"/>
      <c r="Q227" s="200"/>
      <c r="R227" s="200"/>
      <c r="S227" s="200"/>
      <c r="T227" s="200"/>
      <c r="U227" s="200"/>
      <c r="V227" s="200"/>
      <c r="AH227" s="99"/>
      <c r="AI227" s="75"/>
      <c r="AJ227" s="75"/>
      <c r="AK227" s="75"/>
      <c r="AL227" s="75"/>
      <c r="AM227" s="75"/>
      <c r="AN227" s="75"/>
      <c r="AO227" s="75"/>
      <c r="AP227" s="75"/>
    </row>
    <row r="228" spans="3:42" ht="15" customHeight="1" x14ac:dyDescent="0.2">
      <c r="C228" s="6">
        <f t="shared" si="0"/>
        <v>11</v>
      </c>
      <c r="D228" s="58" t="str">
        <f t="shared" si="0"/>
        <v>RTX3050</v>
      </c>
      <c r="E228" s="43">
        <f t="shared" si="5"/>
        <v>-0.50869087352795783</v>
      </c>
      <c r="F228" s="43">
        <f t="shared" si="5"/>
        <v>-3.3697061889630953E-2</v>
      </c>
      <c r="G228" s="43">
        <f t="shared" si="5"/>
        <v>-1.0343842350591697</v>
      </c>
      <c r="H228" s="43">
        <f t="shared" si="5"/>
        <v>-0.79504359977104277</v>
      </c>
      <c r="I228" s="43">
        <f t="shared" si="5"/>
        <v>-0.86402856721917287</v>
      </c>
      <c r="J228" s="43">
        <f t="shared" si="5"/>
        <v>0.38345426542588168</v>
      </c>
      <c r="K228" s="43">
        <f t="shared" si="5"/>
        <v>-0.62702337134828723</v>
      </c>
      <c r="L228" s="43">
        <f t="shared" si="5"/>
        <v>-0.3839769584924928</v>
      </c>
      <c r="O228" s="72" t="s">
        <v>106</v>
      </c>
      <c r="P228" s="72" t="s">
        <v>107</v>
      </c>
      <c r="Q228" s="72" t="s">
        <v>88</v>
      </c>
      <c r="R228" s="72" t="s">
        <v>108</v>
      </c>
      <c r="S228" s="72" t="s">
        <v>90</v>
      </c>
      <c r="T228" s="72" t="s">
        <v>109</v>
      </c>
      <c r="U228" s="72" t="s">
        <v>110</v>
      </c>
      <c r="V228" s="72" t="s">
        <v>111</v>
      </c>
      <c r="Y228" s="99"/>
      <c r="Z228" s="99"/>
      <c r="AA228" s="99"/>
      <c r="AB228" s="99"/>
      <c r="AC228" s="99"/>
      <c r="AD228" s="99"/>
      <c r="AE228" s="99"/>
      <c r="AF228" s="99"/>
      <c r="AH228" s="99"/>
      <c r="AI228" s="75"/>
      <c r="AJ228" s="75"/>
      <c r="AK228" s="75"/>
      <c r="AL228" s="75"/>
      <c r="AM228" s="75"/>
      <c r="AN228" s="75"/>
      <c r="AO228" s="75"/>
      <c r="AP228" s="75"/>
    </row>
    <row r="229" spans="3:42" ht="15" customHeight="1" x14ac:dyDescent="0.2">
      <c r="C229" s="6">
        <f t="shared" si="0"/>
        <v>12</v>
      </c>
      <c r="D229" s="58" t="str">
        <f t="shared" si="0"/>
        <v>GTX1070</v>
      </c>
      <c r="E229" s="43">
        <f t="shared" si="5"/>
        <v>-1.5254252961061647</v>
      </c>
      <c r="F229" s="43">
        <f t="shared" si="5"/>
        <v>-8.3363871814579521E-2</v>
      </c>
      <c r="G229" s="43">
        <f t="shared" si="5"/>
        <v>0.21386705423186372</v>
      </c>
      <c r="H229" s="43">
        <f t="shared" si="5"/>
        <v>1.8475785180755331</v>
      </c>
      <c r="I229" s="43">
        <f t="shared" si="5"/>
        <v>-0.63807967411792466</v>
      </c>
      <c r="J229" s="43">
        <f t="shared" si="5"/>
        <v>0.29032139425853781</v>
      </c>
      <c r="K229" s="43">
        <f t="shared" si="5"/>
        <v>-0.44519404758506514</v>
      </c>
      <c r="L229" s="43">
        <f t="shared" si="5"/>
        <v>-0.41675164272072224</v>
      </c>
      <c r="N229" s="72" t="s">
        <v>106</v>
      </c>
      <c r="O229" s="73">
        <f>O218^2</f>
        <v>0.99999999999999956</v>
      </c>
      <c r="P229" s="73">
        <f t="shared" ref="P229:V229" si="14">P218^2</f>
        <v>6.5926909931141378E-2</v>
      </c>
      <c r="Q229" s="73">
        <f t="shared" si="14"/>
        <v>0.23962386349027717</v>
      </c>
      <c r="R229" s="73">
        <f t="shared" si="14"/>
        <v>8.0017095398957641E-2</v>
      </c>
      <c r="S229" s="73">
        <f t="shared" si="14"/>
        <v>0.78846953864946168</v>
      </c>
      <c r="T229" s="73">
        <f t="shared" si="14"/>
        <v>0.35726481862285536</v>
      </c>
      <c r="U229" s="73">
        <f t="shared" si="14"/>
        <v>0.71941000605386796</v>
      </c>
      <c r="V229" s="73">
        <f t="shared" si="14"/>
        <v>0.689871100333174</v>
      </c>
      <c r="X229" s="99"/>
      <c r="Y229" s="100"/>
      <c r="Z229" s="75"/>
      <c r="AA229" s="75"/>
      <c r="AB229" s="75"/>
      <c r="AC229" s="75"/>
      <c r="AD229" s="75"/>
      <c r="AE229" s="53"/>
      <c r="AF229" s="75"/>
      <c r="AH229" s="99"/>
      <c r="AI229" s="103"/>
      <c r="AJ229" s="103"/>
      <c r="AK229" s="104"/>
      <c r="AL229" s="103"/>
      <c r="AM229" s="103"/>
      <c r="AN229" s="104"/>
      <c r="AO229" s="75"/>
      <c r="AP229" s="75"/>
    </row>
    <row r="230" spans="3:42" ht="15" customHeight="1" x14ac:dyDescent="0.2">
      <c r="C230" s="6">
        <f t="shared" si="0"/>
        <v>13</v>
      </c>
      <c r="D230" s="58" t="str">
        <f t="shared" si="0"/>
        <v>GTX980</v>
      </c>
      <c r="E230" s="43">
        <f t="shared" si="5"/>
        <v>0.44541784239014187</v>
      </c>
      <c r="F230" s="43">
        <f t="shared" si="5"/>
        <v>8.9647725928075198E-2</v>
      </c>
      <c r="G230" s="43">
        <f t="shared" si="5"/>
        <v>0.71316756994827701</v>
      </c>
      <c r="H230" s="43">
        <f t="shared" si="5"/>
        <v>0.13071164602237875</v>
      </c>
      <c r="I230" s="43">
        <f t="shared" si="5"/>
        <v>-0.46861800429198858</v>
      </c>
      <c r="J230" s="43">
        <f t="shared" si="5"/>
        <v>-0.60703496800281931</v>
      </c>
      <c r="K230" s="43">
        <f t="shared" si="5"/>
        <v>-0.62467796434097778</v>
      </c>
      <c r="L230" s="43">
        <f t="shared" si="5"/>
        <v>-0.69585873335433646</v>
      </c>
      <c r="N230" s="72" t="s">
        <v>107</v>
      </c>
      <c r="O230" s="73">
        <f t="shared" ref="O230:V230" si="15">O219^2</f>
        <v>6.5926909931141378E-2</v>
      </c>
      <c r="P230" s="73">
        <f t="shared" si="15"/>
        <v>1.0000000000000004</v>
      </c>
      <c r="Q230" s="73">
        <f t="shared" si="15"/>
        <v>1.4441270581943161E-2</v>
      </c>
      <c r="R230" s="73">
        <f t="shared" si="15"/>
        <v>1.3144567405458852E-2</v>
      </c>
      <c r="S230" s="73">
        <f t="shared" si="15"/>
        <v>5.7692372625302989E-2</v>
      </c>
      <c r="T230" s="73">
        <f t="shared" si="15"/>
        <v>1.3338719298123662E-2</v>
      </c>
      <c r="U230" s="73">
        <f t="shared" si="15"/>
        <v>1.2699580586068085E-2</v>
      </c>
      <c r="V230" s="73">
        <f t="shared" si="15"/>
        <v>3.0105305350137663E-3</v>
      </c>
      <c r="X230" s="99"/>
      <c r="Y230" s="75"/>
      <c r="Z230" s="100"/>
      <c r="AA230" s="75"/>
      <c r="AB230" s="75"/>
      <c r="AC230" s="75"/>
      <c r="AD230" s="75"/>
      <c r="AE230" s="53"/>
      <c r="AF230" s="75"/>
      <c r="AH230" s="99"/>
      <c r="AI230" s="104"/>
      <c r="AJ230" s="104"/>
      <c r="AK230" s="103"/>
      <c r="AL230" s="104"/>
      <c r="AM230" s="104"/>
      <c r="AN230" s="103"/>
      <c r="AO230" s="75"/>
      <c r="AP230" s="75"/>
    </row>
    <row r="231" spans="3:42" ht="15" customHeight="1" x14ac:dyDescent="0.2">
      <c r="C231" s="6">
        <f t="shared" si="0"/>
        <v>14</v>
      </c>
      <c r="D231" s="58" t="str">
        <f t="shared" si="0"/>
        <v>GTX460</v>
      </c>
      <c r="E231" s="43">
        <f t="shared" si="5"/>
        <v>-0.8925582607924053</v>
      </c>
      <c r="F231" s="43">
        <f t="shared" si="5"/>
        <v>-1.7775539436989365</v>
      </c>
      <c r="G231" s="43">
        <f t="shared" si="5"/>
        <v>1.7117686013811038</v>
      </c>
      <c r="H231" s="43">
        <f t="shared" si="5"/>
        <v>-1.0192438825219219</v>
      </c>
      <c r="I231" s="43">
        <f t="shared" si="5"/>
        <v>-0.5251052275673006</v>
      </c>
      <c r="J231" s="43">
        <f t="shared" si="5"/>
        <v>-2.1937540036990559</v>
      </c>
      <c r="K231" s="43">
        <f t="shared" si="5"/>
        <v>-1.63067884683325</v>
      </c>
      <c r="L231" s="43">
        <f t="shared" si="5"/>
        <v>-1.4200557865164751</v>
      </c>
      <c r="N231" s="72" t="s">
        <v>88</v>
      </c>
      <c r="O231" s="73">
        <f t="shared" ref="O231:V231" si="16">O220^2</f>
        <v>0.23962386349027717</v>
      </c>
      <c r="P231" s="73">
        <f t="shared" si="16"/>
        <v>1.4441270581943161E-2</v>
      </c>
      <c r="Q231" s="73">
        <f t="shared" si="16"/>
        <v>1</v>
      </c>
      <c r="R231" s="73">
        <f t="shared" si="16"/>
        <v>1.4484907193740359E-2</v>
      </c>
      <c r="S231" s="73">
        <f t="shared" si="16"/>
        <v>0.1879964223356676</v>
      </c>
      <c r="T231" s="73">
        <f t="shared" si="16"/>
        <v>0.50907543353586504</v>
      </c>
      <c r="U231" s="73">
        <f t="shared" si="16"/>
        <v>0.4249763442637457</v>
      </c>
      <c r="V231" s="73">
        <f t="shared" si="16"/>
        <v>0.51338718088530855</v>
      </c>
      <c r="X231" s="99"/>
      <c r="Y231" s="75"/>
      <c r="Z231" s="75"/>
      <c r="AA231" s="100"/>
      <c r="AB231" s="77"/>
      <c r="AC231" s="53"/>
      <c r="AD231" s="53"/>
      <c r="AE231" s="53"/>
      <c r="AF231" s="53"/>
      <c r="AI231" s="99"/>
      <c r="AJ231" s="99"/>
      <c r="AK231" s="99"/>
      <c r="AL231" s="99"/>
      <c r="AM231" s="99"/>
      <c r="AN231" s="99"/>
      <c r="AO231" s="99"/>
      <c r="AP231" s="99"/>
    </row>
    <row r="232" spans="3:42" ht="15" customHeight="1" x14ac:dyDescent="0.2">
      <c r="C232" s="6">
        <f t="shared" si="0"/>
        <v>15</v>
      </c>
      <c r="D232" s="58" t="str">
        <f t="shared" si="0"/>
        <v>GTX650</v>
      </c>
      <c r="E232" s="43">
        <f t="shared" si="5"/>
        <v>-1.7743998797896439</v>
      </c>
      <c r="F232" s="43">
        <f t="shared" si="5"/>
        <v>0.88405716355120367</v>
      </c>
      <c r="G232" s="43">
        <f t="shared" si="5"/>
        <v>1.2124680856646903</v>
      </c>
      <c r="H232" s="43">
        <f t="shared" si="5"/>
        <v>-0.47807655334305388</v>
      </c>
      <c r="I232" s="43">
        <f t="shared" si="5"/>
        <v>-1.5983624697982293</v>
      </c>
      <c r="J232" s="43">
        <f t="shared" si="5"/>
        <v>-0.80260033926478658</v>
      </c>
      <c r="K232" s="43">
        <f t="shared" si="5"/>
        <v>-1.6905160587443373</v>
      </c>
      <c r="L232" s="43">
        <f t="shared" si="5"/>
        <v>-1.4200557865164751</v>
      </c>
      <c r="N232" s="72" t="s">
        <v>108</v>
      </c>
      <c r="O232" s="73">
        <f t="shared" ref="O232:V232" si="17">O221^2</f>
        <v>8.0017095398957641E-2</v>
      </c>
      <c r="P232" s="73">
        <f t="shared" si="17"/>
        <v>1.3144567405458852E-2</v>
      </c>
      <c r="Q232" s="73">
        <f t="shared" si="17"/>
        <v>1.4484907193740359E-2</v>
      </c>
      <c r="R232" s="73">
        <f t="shared" si="17"/>
        <v>0.99999999999999978</v>
      </c>
      <c r="S232" s="73">
        <f t="shared" si="17"/>
        <v>3.101786594056025E-2</v>
      </c>
      <c r="T232" s="73">
        <f t="shared" si="17"/>
        <v>3.3740165007228667E-4</v>
      </c>
      <c r="U232" s="73">
        <f t="shared" si="17"/>
        <v>4.1978073288581321E-3</v>
      </c>
      <c r="V232" s="73">
        <f t="shared" si="17"/>
        <v>2.2399006614669563E-3</v>
      </c>
      <c r="X232" s="99"/>
      <c r="Y232" s="75"/>
      <c r="Z232" s="75"/>
      <c r="AA232" s="53"/>
      <c r="AB232" s="100"/>
      <c r="AC232" s="77"/>
      <c r="AD232" s="53"/>
      <c r="AE232" s="53"/>
      <c r="AF232" s="53"/>
    </row>
    <row r="233" spans="3:42" ht="15" customHeight="1" x14ac:dyDescent="0.2">
      <c r="C233" s="6">
        <f t="shared" si="0"/>
        <v>16</v>
      </c>
      <c r="D233" s="58" t="str">
        <f t="shared" si="0"/>
        <v>RTX3070</v>
      </c>
      <c r="E233" s="43">
        <f t="shared" si="5"/>
        <v>0.20387931509573873</v>
      </c>
      <c r="F233" s="43">
        <f t="shared" si="5"/>
        <v>-9.0390847551900771E-2</v>
      </c>
      <c r="G233" s="43">
        <f t="shared" si="5"/>
        <v>-0.78473397720096294</v>
      </c>
      <c r="H233" s="43">
        <f t="shared" si="5"/>
        <v>1.0962595696282489</v>
      </c>
      <c r="I233" s="43">
        <f t="shared" si="5"/>
        <v>0.15274145173644388</v>
      </c>
      <c r="J233" s="43">
        <f t="shared" si="5"/>
        <v>0.27796440321207311</v>
      </c>
      <c r="K233" s="43">
        <f t="shared" si="5"/>
        <v>0.40495784986016564</v>
      </c>
      <c r="L233" s="43">
        <f t="shared" si="5"/>
        <v>0.53094448709696773</v>
      </c>
      <c r="N233" s="72" t="s">
        <v>90</v>
      </c>
      <c r="O233" s="73">
        <f t="shared" ref="O233:V233" si="18">O222^2</f>
        <v>0.78846953864946168</v>
      </c>
      <c r="P233" s="73">
        <f t="shared" si="18"/>
        <v>5.7692372625302989E-2</v>
      </c>
      <c r="Q233" s="73">
        <f t="shared" si="18"/>
        <v>0.1879964223356676</v>
      </c>
      <c r="R233" s="73">
        <f t="shared" si="18"/>
        <v>3.101786594056025E-2</v>
      </c>
      <c r="S233" s="73">
        <f t="shared" si="18"/>
        <v>0.99999999999999978</v>
      </c>
      <c r="T233" s="73">
        <f t="shared" si="18"/>
        <v>0.16074545819766359</v>
      </c>
      <c r="U233" s="73">
        <f t="shared" si="18"/>
        <v>0.72932064809094455</v>
      </c>
      <c r="V233" s="73">
        <f t="shared" si="18"/>
        <v>0.56095771379795878</v>
      </c>
      <c r="X233" s="99"/>
      <c r="Y233" s="75"/>
      <c r="Z233" s="75"/>
      <c r="AA233" s="53"/>
      <c r="AB233" s="53"/>
      <c r="AC233" s="100"/>
      <c r="AD233" s="53"/>
      <c r="AE233" s="53"/>
      <c r="AF233" s="53"/>
      <c r="AI233" s="105"/>
      <c r="AJ233" s="105"/>
      <c r="AK233" s="105"/>
      <c r="AL233" s="105"/>
      <c r="AM233" s="105"/>
      <c r="AN233" s="105"/>
      <c r="AO233" s="105"/>
      <c r="AP233" s="105"/>
    </row>
    <row r="234" spans="3:42" ht="15" customHeight="1" x14ac:dyDescent="0.2">
      <c r="C234" s="6">
        <f t="shared" si="0"/>
        <v>17</v>
      </c>
      <c r="D234" s="58" t="str">
        <f t="shared" si="0"/>
        <v>RTX4070</v>
      </c>
      <c r="E234" s="43">
        <f t="shared" si="5"/>
        <v>0.53176791554317937</v>
      </c>
      <c r="F234" s="43">
        <f t="shared" si="5"/>
        <v>-8.3768406215698032E-2</v>
      </c>
      <c r="G234" s="43">
        <f t="shared" si="5"/>
        <v>0.96281782780648373</v>
      </c>
      <c r="H234" s="43">
        <f t="shared" si="5"/>
        <v>-0.7695783303625674</v>
      </c>
      <c r="I234" s="43">
        <f t="shared" si="5"/>
        <v>-7.3207441364804282E-2</v>
      </c>
      <c r="J234" s="43">
        <f t="shared" si="5"/>
        <v>1.0421005554933913</v>
      </c>
      <c r="K234" s="43">
        <f t="shared" si="5"/>
        <v>0.60288013905483095</v>
      </c>
      <c r="L234" s="43">
        <f t="shared" si="5"/>
        <v>0.92520404566128722</v>
      </c>
      <c r="N234" s="72" t="s">
        <v>109</v>
      </c>
      <c r="O234" s="73">
        <f t="shared" ref="O234:V234" si="19">O223^2</f>
        <v>0.35726481862285536</v>
      </c>
      <c r="P234" s="73">
        <f t="shared" si="19"/>
        <v>1.3338719298123662E-2</v>
      </c>
      <c r="Q234" s="73">
        <f t="shared" si="19"/>
        <v>0.50907543353586504</v>
      </c>
      <c r="R234" s="73">
        <f t="shared" si="19"/>
        <v>3.3740165007228667E-4</v>
      </c>
      <c r="S234" s="73">
        <f t="shared" si="19"/>
        <v>0.16074545819766359</v>
      </c>
      <c r="T234" s="73">
        <f t="shared" si="19"/>
        <v>1</v>
      </c>
      <c r="U234" s="73">
        <f t="shared" si="19"/>
        <v>0.47523062437078512</v>
      </c>
      <c r="V234" s="73">
        <f t="shared" si="19"/>
        <v>0.74351874245695515</v>
      </c>
      <c r="X234" s="99"/>
      <c r="Y234" s="75"/>
      <c r="Z234" s="75"/>
      <c r="AA234" s="53"/>
      <c r="AB234" s="53"/>
      <c r="AC234" s="53"/>
      <c r="AD234" s="100"/>
      <c r="AE234" s="53"/>
      <c r="AF234" s="53"/>
      <c r="AH234" s="99"/>
      <c r="AI234" s="75"/>
      <c r="AJ234" s="75"/>
      <c r="AK234" s="75"/>
      <c r="AL234" s="75"/>
      <c r="AM234" s="75"/>
      <c r="AN234" s="75"/>
      <c r="AO234" s="75"/>
      <c r="AP234" s="75"/>
    </row>
    <row r="235" spans="3:42" ht="15" customHeight="1" x14ac:dyDescent="0.2">
      <c r="C235" s="6">
        <f t="shared" si="0"/>
        <v>18</v>
      </c>
      <c r="D235" s="58" t="str">
        <f t="shared" si="0"/>
        <v>GTX780</v>
      </c>
      <c r="E235" s="43">
        <f t="shared" si="5"/>
        <v>-0.17612824906161295</v>
      </c>
      <c r="F235" s="43">
        <f t="shared" si="5"/>
        <v>1.7078891729381513</v>
      </c>
      <c r="G235" s="43">
        <f t="shared" si="5"/>
        <v>0.96281782780648373</v>
      </c>
      <c r="H235" s="43">
        <f t="shared" si="5"/>
        <v>-0.70237174552284765</v>
      </c>
      <c r="I235" s="43">
        <f t="shared" si="5"/>
        <v>0.49166479138831609</v>
      </c>
      <c r="J235" s="43">
        <f t="shared" si="5"/>
        <v>-1.4332025908413728</v>
      </c>
      <c r="K235" s="43">
        <f t="shared" si="5"/>
        <v>-0.27815278786426662</v>
      </c>
      <c r="L235" s="43">
        <f t="shared" si="5"/>
        <v>-0.96890975748290054</v>
      </c>
      <c r="N235" s="72" t="s">
        <v>110</v>
      </c>
      <c r="O235" s="73">
        <f t="shared" ref="O235:V235" si="20">O224^2</f>
        <v>0.71941000605386796</v>
      </c>
      <c r="P235" s="73">
        <f t="shared" si="20"/>
        <v>1.2699580586068085E-2</v>
      </c>
      <c r="Q235" s="73">
        <f t="shared" si="20"/>
        <v>0.4249763442637457</v>
      </c>
      <c r="R235" s="73">
        <f t="shared" si="20"/>
        <v>4.1978073288581321E-3</v>
      </c>
      <c r="S235" s="73">
        <f t="shared" si="20"/>
        <v>0.72932064809094455</v>
      </c>
      <c r="T235" s="73">
        <f t="shared" si="20"/>
        <v>0.47523062437078512</v>
      </c>
      <c r="U235" s="73">
        <f t="shared" si="20"/>
        <v>0.99999999999999956</v>
      </c>
      <c r="V235" s="73">
        <f t="shared" si="20"/>
        <v>0.87894782543960026</v>
      </c>
      <c r="X235" s="99"/>
      <c r="Y235" s="53"/>
      <c r="Z235" s="53"/>
      <c r="AA235" s="53"/>
      <c r="AB235" s="53"/>
      <c r="AC235" s="53"/>
      <c r="AD235" s="53"/>
      <c r="AE235" s="100"/>
      <c r="AF235" s="53"/>
      <c r="AH235" s="99"/>
      <c r="AI235" s="75"/>
      <c r="AJ235" s="75"/>
      <c r="AK235" s="75"/>
      <c r="AL235" s="75"/>
      <c r="AM235" s="75"/>
      <c r="AN235" s="75"/>
      <c r="AO235" s="75"/>
      <c r="AP235" s="75"/>
    </row>
    <row r="236" spans="3:42" ht="15" customHeight="1" x14ac:dyDescent="0.2">
      <c r="C236" s="6">
        <f t="shared" si="0"/>
        <v>19</v>
      </c>
      <c r="D236" s="58" t="str">
        <f t="shared" si="0"/>
        <v>RTX4070T</v>
      </c>
      <c r="E236" s="43">
        <f t="shared" si="5"/>
        <v>1.047108285166634</v>
      </c>
      <c r="F236" s="43">
        <f t="shared" si="5"/>
        <v>-7.7422588052516242E-2</v>
      </c>
      <c r="G236" s="43">
        <f t="shared" si="5"/>
        <v>-1.2424261166076751</v>
      </c>
      <c r="H236" s="43">
        <f t="shared" si="5"/>
        <v>-0.76214610542842742</v>
      </c>
      <c r="I236" s="43">
        <f t="shared" si="5"/>
        <v>0.88707535431550044</v>
      </c>
      <c r="J236" s="43">
        <f t="shared" si="5"/>
        <v>1.6145132574243752</v>
      </c>
      <c r="K236" s="43">
        <f t="shared" si="5"/>
        <v>0.60288013905483095</v>
      </c>
      <c r="L236" s="43">
        <f t="shared" si="5"/>
        <v>1.2984081197578203</v>
      </c>
      <c r="N236" s="72" t="s">
        <v>111</v>
      </c>
      <c r="O236" s="73">
        <f t="shared" ref="O236:V236" si="21">O225^2</f>
        <v>0.689871100333174</v>
      </c>
      <c r="P236" s="73">
        <f t="shared" si="21"/>
        <v>3.0105305350137663E-3</v>
      </c>
      <c r="Q236" s="73">
        <f t="shared" si="21"/>
        <v>0.51338718088530855</v>
      </c>
      <c r="R236" s="73">
        <f t="shared" si="21"/>
        <v>2.2399006614669563E-3</v>
      </c>
      <c r="S236" s="73">
        <f t="shared" si="21"/>
        <v>0.56095771379795878</v>
      </c>
      <c r="T236" s="73">
        <f t="shared" si="21"/>
        <v>0.74351874245695515</v>
      </c>
      <c r="U236" s="73">
        <f t="shared" si="21"/>
        <v>0.87894782543960026</v>
      </c>
      <c r="V236" s="73">
        <f t="shared" si="21"/>
        <v>1.0000000000000004</v>
      </c>
      <c r="X236" s="99"/>
      <c r="Y236" s="75"/>
      <c r="Z236" s="75"/>
      <c r="AA236" s="53"/>
      <c r="AB236" s="53"/>
      <c r="AC236" s="53"/>
      <c r="AD236" s="53"/>
      <c r="AE236" s="53"/>
      <c r="AF236" s="100"/>
      <c r="AH236" s="99"/>
      <c r="AI236" s="75"/>
      <c r="AJ236" s="75"/>
      <c r="AK236" s="75"/>
      <c r="AL236" s="75"/>
      <c r="AM236" s="75"/>
      <c r="AN236" s="75"/>
      <c r="AO236" s="75"/>
      <c r="AP236" s="75"/>
    </row>
    <row r="237" spans="3:42" ht="15" customHeight="1" x14ac:dyDescent="0.2">
      <c r="C237" s="6">
        <f t="shared" si="0"/>
        <v>20</v>
      </c>
      <c r="D237" s="58" t="str">
        <f t="shared" si="0"/>
        <v>RTX3080T</v>
      </c>
      <c r="E237" s="43">
        <f t="shared" si="5"/>
        <v>0.74029751135530053</v>
      </c>
      <c r="F237" s="43">
        <f t="shared" si="5"/>
        <v>-6.4040009262825923E-2</v>
      </c>
      <c r="G237" s="43">
        <f t="shared" si="5"/>
        <v>-1.0343842350591697</v>
      </c>
      <c r="H237" s="43">
        <f t="shared" si="5"/>
        <v>7.9281213754702914E-2</v>
      </c>
      <c r="I237" s="43">
        <f t="shared" si="5"/>
        <v>1.6214092568945568</v>
      </c>
      <c r="J237" s="43">
        <f t="shared" si="5"/>
        <v>-1.3966962661436617E-2</v>
      </c>
      <c r="K237" s="43">
        <f t="shared" si="5"/>
        <v>1.6729409766913648</v>
      </c>
      <c r="L237" s="43">
        <f t="shared" si="5"/>
        <v>1.0559602549408837</v>
      </c>
      <c r="AH237" s="99"/>
      <c r="AI237" s="75"/>
      <c r="AJ237" s="75"/>
      <c r="AK237" s="75"/>
      <c r="AL237" s="75"/>
      <c r="AM237" s="75"/>
      <c r="AN237" s="75"/>
      <c r="AO237" s="75"/>
      <c r="AP237" s="75"/>
    </row>
    <row r="238" spans="3:42" ht="15" customHeight="1" x14ac:dyDescent="0.2">
      <c r="C238" s="6">
        <f t="shared" si="0"/>
        <v>21</v>
      </c>
      <c r="D238" s="58" t="str">
        <f t="shared" si="0"/>
        <v>RTX3060T</v>
      </c>
      <c r="E238" s="43">
        <f t="shared" si="5"/>
        <v>-0.12651819560253355</v>
      </c>
      <c r="F238" s="43">
        <f t="shared" si="5"/>
        <v>-8.8027075315400174E-2</v>
      </c>
      <c r="G238" s="43">
        <f t="shared" si="5"/>
        <v>-0.78473397720096294</v>
      </c>
      <c r="H238" s="43">
        <f t="shared" si="5"/>
        <v>0.83677366071407366</v>
      </c>
      <c r="I238" s="43">
        <f t="shared" si="5"/>
        <v>-7.3207441364804282E-2</v>
      </c>
      <c r="J238" s="43">
        <f t="shared" si="5"/>
        <v>8.6433908228157511E-2</v>
      </c>
      <c r="K238" s="43">
        <f t="shared" si="5"/>
        <v>0.40495784986016564</v>
      </c>
      <c r="L238" s="43">
        <f t="shared" si="5"/>
        <v>0.31972559685492913</v>
      </c>
      <c r="X238" s="99"/>
      <c r="Y238" s="101"/>
      <c r="AH238" s="99"/>
      <c r="AI238" s="75"/>
      <c r="AJ238" s="75"/>
      <c r="AK238" s="75"/>
      <c r="AL238" s="75"/>
      <c r="AM238" s="75"/>
      <c r="AN238" s="75"/>
      <c r="AO238" s="75"/>
      <c r="AP238" s="75"/>
    </row>
    <row r="239" spans="3:42" ht="15" customHeight="1" x14ac:dyDescent="0.2">
      <c r="C239" s="6">
        <f t="shared" si="0"/>
        <v>22</v>
      </c>
      <c r="D239" s="58" t="str">
        <f t="shared" si="0"/>
        <v>RTX2080T</v>
      </c>
      <c r="E239" s="43">
        <f t="shared" si="5"/>
        <v>0.25884675548128311</v>
      </c>
      <c r="F239" s="43">
        <f t="shared" si="5"/>
        <v>-4.9757456660702165E-2</v>
      </c>
      <c r="G239" s="43">
        <f t="shared" si="5"/>
        <v>-0.28543346148454957</v>
      </c>
      <c r="H239" s="43">
        <f t="shared" si="5"/>
        <v>0.67866142699897658</v>
      </c>
      <c r="I239" s="43">
        <f t="shared" si="5"/>
        <v>0.49166479138831609</v>
      </c>
      <c r="J239" s="43">
        <f t="shared" si="5"/>
        <v>-4.8170870307037754E-2</v>
      </c>
      <c r="K239" s="43">
        <f t="shared" si="5"/>
        <v>0.95077814368906466</v>
      </c>
      <c r="L239" s="43">
        <f t="shared" si="5"/>
        <v>0.61932718530326014</v>
      </c>
      <c r="X239" s="99"/>
      <c r="Y239" s="102"/>
      <c r="AH239" s="99"/>
      <c r="AI239" s="75"/>
      <c r="AJ239" s="75"/>
      <c r="AK239" s="75"/>
      <c r="AL239" s="75"/>
      <c r="AM239" s="75"/>
      <c r="AN239" s="75"/>
      <c r="AO239" s="75"/>
      <c r="AP239" s="75"/>
    </row>
    <row r="240" spans="3:42" ht="15" customHeight="1" x14ac:dyDescent="0.2">
      <c r="C240" s="6">
        <f t="shared" si="0"/>
        <v>23</v>
      </c>
      <c r="D240" s="58" t="str">
        <f t="shared" si="0"/>
        <v>RTX4070S</v>
      </c>
      <c r="E240" s="43">
        <f t="shared" si="5"/>
        <v>0.53176791554317937</v>
      </c>
      <c r="F240" s="43">
        <f t="shared" si="5"/>
        <v>-8.3668728473387882E-2</v>
      </c>
      <c r="G240" s="43">
        <f t="shared" si="5"/>
        <v>0.96281782780648373</v>
      </c>
      <c r="H240" s="43">
        <f t="shared" si="5"/>
        <v>-0.7695783303625674</v>
      </c>
      <c r="I240" s="43">
        <f t="shared" si="5"/>
        <v>-7.3207441364804282E-2</v>
      </c>
      <c r="J240" s="43">
        <f t="shared" si="5"/>
        <v>1.0421005554933913</v>
      </c>
      <c r="K240" s="43">
        <f t="shared" si="5"/>
        <v>0.60288013905483095</v>
      </c>
      <c r="L240" s="43">
        <f t="shared" si="5"/>
        <v>0.92520404566128722</v>
      </c>
      <c r="X240" s="99"/>
      <c r="Y240" s="102"/>
      <c r="AH240" s="99"/>
      <c r="AI240" s="103"/>
      <c r="AJ240" s="103"/>
      <c r="AK240" s="103"/>
      <c r="AL240" s="103"/>
      <c r="AM240" s="103"/>
      <c r="AN240" s="103"/>
      <c r="AO240" s="75"/>
      <c r="AP240" s="75"/>
    </row>
    <row r="241" spans="3:42" ht="15" customHeight="1" x14ac:dyDescent="0.2">
      <c r="C241" s="6">
        <f t="shared" si="0"/>
        <v>24</v>
      </c>
      <c r="D241" s="58" t="str">
        <f t="shared" si="0"/>
        <v>RTX2080</v>
      </c>
      <c r="E241" s="43">
        <f t="shared" si="5"/>
        <v>0.13988976484874766</v>
      </c>
      <c r="F241" s="43">
        <f t="shared" si="5"/>
        <v>-3.8030039615839083E-2</v>
      </c>
      <c r="G241" s="43">
        <f t="shared" si="5"/>
        <v>-0.28543346148454957</v>
      </c>
      <c r="H241" s="43">
        <f t="shared" si="5"/>
        <v>0.5881012686806919</v>
      </c>
      <c r="I241" s="43">
        <f t="shared" si="5"/>
        <v>9.6254228461131838E-2</v>
      </c>
      <c r="J241" s="43">
        <f t="shared" si="5"/>
        <v>0.30876487769857591</v>
      </c>
      <c r="K241" s="43">
        <f t="shared" si="5"/>
        <v>0.40495784986016564</v>
      </c>
      <c r="L241" s="43">
        <f t="shared" si="5"/>
        <v>0.24511333666357379</v>
      </c>
      <c r="X241" s="99"/>
      <c r="Y241" s="101"/>
      <c r="AH241" s="99"/>
      <c r="AI241" s="104"/>
      <c r="AJ241" s="104"/>
      <c r="AK241" s="104"/>
      <c r="AL241" s="104"/>
      <c r="AM241" s="104"/>
      <c r="AN241" s="104"/>
      <c r="AO241" s="75"/>
      <c r="AP241" s="75"/>
    </row>
    <row r="242" spans="3:42" ht="15" customHeight="1" thickBot="1" x14ac:dyDescent="0.25">
      <c r="C242" s="6">
        <f t="shared" si="0"/>
        <v>25</v>
      </c>
      <c r="D242" s="58" t="str">
        <f t="shared" si="0"/>
        <v>RTX3080</v>
      </c>
      <c r="E242" s="63">
        <f t="shared" si="5"/>
        <v>0.87981872451229348</v>
      </c>
      <c r="F242" s="63">
        <f t="shared" si="5"/>
        <v>-8.3768406215698032E-2</v>
      </c>
      <c r="G242" s="63">
        <f t="shared" si="5"/>
        <v>-0.78473397720096294</v>
      </c>
      <c r="H242" s="63">
        <f t="shared" si="5"/>
        <v>0.80479066010877753</v>
      </c>
      <c r="I242" s="63">
        <f t="shared" si="5"/>
        <v>1.2824859172426846</v>
      </c>
      <c r="J242" s="63">
        <f t="shared" si="5"/>
        <v>0.15160309731550248</v>
      </c>
      <c r="K242" s="63">
        <f t="shared" si="5"/>
        <v>1.331688299812392</v>
      </c>
      <c r="L242" s="63">
        <f t="shared" si="5"/>
        <v>0.90594750891625342</v>
      </c>
      <c r="AI242" s="99"/>
      <c r="AJ242" s="99"/>
      <c r="AK242" s="99"/>
      <c r="AL242" s="99"/>
      <c r="AM242" s="99"/>
      <c r="AN242" s="99"/>
      <c r="AO242" s="99"/>
      <c r="AP242" s="99"/>
    </row>
    <row r="243" spans="3:42" ht="15" customHeight="1" thickTop="1" x14ac:dyDescent="0.2">
      <c r="C243" s="199" t="s">
        <v>79</v>
      </c>
      <c r="D243" s="199"/>
      <c r="E243" s="154">
        <f>AVERAGE(E218:E242)</f>
        <v>-9.7699626167013783E-16</v>
      </c>
      <c r="F243" s="154">
        <f t="shared" ref="F243:L243" si="22">AVERAGE(F218:F242)</f>
        <v>1.6653345369377347E-17</v>
      </c>
      <c r="G243" s="154">
        <f t="shared" si="22"/>
        <v>0</v>
      </c>
      <c r="H243" s="154">
        <f t="shared" si="22"/>
        <v>-1.1546319456101628E-16</v>
      </c>
      <c r="I243" s="154">
        <f t="shared" si="22"/>
        <v>7.9936057773011268E-17</v>
      </c>
      <c r="J243" s="154">
        <f t="shared" si="22"/>
        <v>2.7822188997106421E-15</v>
      </c>
      <c r="K243" s="154">
        <f t="shared" si="22"/>
        <v>-1.1546319456101628E-16</v>
      </c>
      <c r="L243" s="154">
        <f t="shared" si="22"/>
        <v>-2.5579538487363606E-15</v>
      </c>
      <c r="AI243" s="54"/>
      <c r="AJ243" s="75"/>
      <c r="AK243" s="54"/>
      <c r="AL243" s="54"/>
      <c r="AM243" s="54"/>
      <c r="AN243" s="54"/>
      <c r="AO243" s="54"/>
      <c r="AP243" s="54"/>
    </row>
    <row r="244" spans="3:42" ht="15" customHeight="1" x14ac:dyDescent="0.2">
      <c r="C244" s="198" t="s">
        <v>157</v>
      </c>
      <c r="D244" s="198"/>
      <c r="E244" s="1">
        <f>_xlfn.STDEV.S(E218:E242)</f>
        <v>1</v>
      </c>
      <c r="F244" s="1">
        <f t="shared" ref="F244:L244" si="23">_xlfn.STDEV.S(F218:F242)</f>
        <v>0.99999999999999978</v>
      </c>
      <c r="G244" s="1">
        <f t="shared" si="23"/>
        <v>0.99999999999999978</v>
      </c>
      <c r="H244" s="1">
        <f t="shared" si="23"/>
        <v>1</v>
      </c>
      <c r="I244" s="1">
        <f t="shared" si="23"/>
        <v>0.99999999999999978</v>
      </c>
      <c r="J244" s="1">
        <f t="shared" si="23"/>
        <v>1</v>
      </c>
      <c r="K244" s="1">
        <f t="shared" si="23"/>
        <v>1</v>
      </c>
      <c r="L244" s="1">
        <f t="shared" si="23"/>
        <v>1</v>
      </c>
      <c r="AI244" s="54"/>
      <c r="AJ244" s="54"/>
      <c r="AK244" s="54"/>
      <c r="AL244" s="54"/>
      <c r="AM244" s="54"/>
      <c r="AN244" s="54"/>
      <c r="AO244" s="54"/>
      <c r="AP244" s="54"/>
    </row>
    <row r="245" spans="3:42" ht="15" customHeight="1" x14ac:dyDescent="0.2">
      <c r="AI245" s="54"/>
      <c r="AJ245" s="54"/>
      <c r="AK245" s="54"/>
      <c r="AL245" s="54"/>
      <c r="AM245" s="54"/>
      <c r="AO245" s="54"/>
      <c r="AP245" s="54"/>
    </row>
    <row r="246" spans="3:42" ht="15" customHeight="1" x14ac:dyDescent="0.2"/>
    <row r="247" spans="3:42" ht="15" customHeight="1" x14ac:dyDescent="0.2"/>
    <row r="248" spans="3:42" ht="15" customHeight="1" x14ac:dyDescent="0.2"/>
    <row r="249" spans="3:42" ht="15" customHeight="1" x14ac:dyDescent="0.2"/>
    <row r="250" spans="3:42" ht="15" customHeight="1" x14ac:dyDescent="0.2"/>
    <row r="251" spans="3:42" ht="15" customHeight="1" x14ac:dyDescent="0.2"/>
    <row r="252" spans="3:42" ht="15" customHeight="1" x14ac:dyDescent="0.2"/>
    <row r="253" spans="3:42" ht="15" customHeight="1" x14ac:dyDescent="0.2"/>
  </sheetData>
  <sortState xmlns:xlrd2="http://schemas.microsoft.com/office/spreadsheetml/2017/richdata2" ref="AJ216:AJ243">
    <sortCondition ref="AJ216:AJ243"/>
  </sortState>
  <mergeCells count="9">
    <mergeCell ref="K130:L138"/>
    <mergeCell ref="K122:M129"/>
    <mergeCell ref="O216:V216"/>
    <mergeCell ref="C216:L216"/>
    <mergeCell ref="C244:D244"/>
    <mergeCell ref="C243:D243"/>
    <mergeCell ref="O227:V227"/>
    <mergeCell ref="Y216:AF216"/>
    <mergeCell ref="A203:H2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211BF-E0E0-42D3-AC86-24EDFA8CC59D}">
  <dimension ref="A1:S37"/>
  <sheetViews>
    <sheetView zoomScale="130" zoomScaleNormal="130" workbookViewId="0">
      <selection activeCell="P8" sqref="P8"/>
    </sheetView>
  </sheetViews>
  <sheetFormatPr defaultRowHeight="12.75" x14ac:dyDescent="0.2"/>
  <cols>
    <col min="1" max="16384" width="9.140625" style="54"/>
  </cols>
  <sheetData>
    <row r="1" spans="1:19" x14ac:dyDescent="0.2">
      <c r="B1" s="200" t="s">
        <v>129</v>
      </c>
      <c r="C1" s="200"/>
      <c r="D1" s="200"/>
      <c r="E1" s="200"/>
      <c r="F1" s="200"/>
      <c r="G1" s="200"/>
      <c r="H1" s="200"/>
      <c r="I1" s="200"/>
    </row>
    <row r="2" spans="1:19" ht="15.75" x14ac:dyDescent="0.2">
      <c r="B2" s="72" t="s">
        <v>106</v>
      </c>
      <c r="C2" s="72" t="s">
        <v>107</v>
      </c>
      <c r="D2" s="72" t="s">
        <v>88</v>
      </c>
      <c r="E2" s="72" t="s">
        <v>108</v>
      </c>
      <c r="F2" s="72" t="s">
        <v>90</v>
      </c>
      <c r="G2" s="72" t="s">
        <v>109</v>
      </c>
      <c r="H2" s="72" t="s">
        <v>110</v>
      </c>
      <c r="I2" s="72" t="s">
        <v>111</v>
      </c>
    </row>
    <row r="3" spans="1:19" ht="15.75" x14ac:dyDescent="0.2">
      <c r="A3" s="72" t="s">
        <v>106</v>
      </c>
      <c r="B3" s="89">
        <v>2.1073424255447021E-8</v>
      </c>
      <c r="C3" s="89">
        <v>3.7640819497973248</v>
      </c>
      <c r="D3" s="89">
        <v>1.7813497873098052</v>
      </c>
      <c r="E3" s="89">
        <v>3.3907712123640699</v>
      </c>
      <c r="F3" s="89">
        <v>0.51795734788154046</v>
      </c>
      <c r="G3" s="89">
        <v>1.341284514341615</v>
      </c>
      <c r="H3" s="89">
        <v>0.62452215962641133</v>
      </c>
      <c r="I3" s="89">
        <v>0.67048203081569968</v>
      </c>
    </row>
    <row r="4" spans="1:19" ht="15.75" x14ac:dyDescent="0.2">
      <c r="A4" s="72" t="s">
        <v>107</v>
      </c>
      <c r="B4" s="89">
        <v>3.7640819497973248</v>
      </c>
      <c r="C4" s="89">
        <v>0</v>
      </c>
      <c r="D4" s="89">
        <v>8.2611127929429529</v>
      </c>
      <c r="E4" s="89">
        <v>8.6647017672311328</v>
      </c>
      <c r="F4" s="89">
        <v>4.0414494707465529</v>
      </c>
      <c r="G4" s="89">
        <v>8.6005648756999129</v>
      </c>
      <c r="H4" s="89">
        <v>8.8171853750373739</v>
      </c>
      <c r="I4" s="89">
        <v>18.198004468578269</v>
      </c>
    </row>
    <row r="5" spans="1:19" ht="15.75" x14ac:dyDescent="0.2">
      <c r="A5" s="72" t="s">
        <v>88</v>
      </c>
      <c r="B5" s="89">
        <v>1.7813497873098052</v>
      </c>
      <c r="C5" s="89">
        <v>8.2611127929429529</v>
      </c>
      <c r="D5" s="89">
        <v>0</v>
      </c>
      <c r="E5" s="89">
        <v>8.2484772586637245</v>
      </c>
      <c r="F5" s="89">
        <v>2.078280578312095</v>
      </c>
      <c r="G5" s="89">
        <v>0.98201090995300089</v>
      </c>
      <c r="H5" s="89">
        <v>1.1632162953528891</v>
      </c>
      <c r="I5" s="89">
        <v>0.97357466229662859</v>
      </c>
      <c r="M5" s="203" t="s">
        <v>155</v>
      </c>
      <c r="N5" s="204"/>
      <c r="O5" s="204"/>
      <c r="P5" s="204"/>
    </row>
    <row r="6" spans="1:19" ht="15.75" x14ac:dyDescent="0.2">
      <c r="A6" s="72" t="s">
        <v>108</v>
      </c>
      <c r="B6" s="89">
        <v>3.3907712123640699</v>
      </c>
      <c r="C6" s="89">
        <v>8.6647017672311328</v>
      </c>
      <c r="D6" s="89">
        <v>8.2484772586637245</v>
      </c>
      <c r="E6" s="89">
        <v>1.4901161193847656E-8</v>
      </c>
      <c r="F6" s="89">
        <v>5.5892293060127969</v>
      </c>
      <c r="G6" s="89">
        <v>54.431853205327407</v>
      </c>
      <c r="H6" s="89">
        <v>15.401935076718937</v>
      </c>
      <c r="I6" s="89">
        <v>21.105647830004912</v>
      </c>
      <c r="M6" s="150" t="s">
        <v>126</v>
      </c>
      <c r="N6" s="151" t="s">
        <v>130</v>
      </c>
      <c r="O6" s="153">
        <v>0.7</v>
      </c>
      <c r="P6" s="152"/>
    </row>
    <row r="7" spans="1:19" ht="15.75" x14ac:dyDescent="0.2">
      <c r="A7" s="72" t="s">
        <v>90</v>
      </c>
      <c r="B7" s="89">
        <v>0.51795734788154046</v>
      </c>
      <c r="C7" s="89">
        <v>4.0414494707465529</v>
      </c>
      <c r="D7" s="89">
        <v>2.078280578312095</v>
      </c>
      <c r="E7" s="89">
        <v>5.5892293060127969</v>
      </c>
      <c r="F7" s="89">
        <v>1.4901161193847656E-8</v>
      </c>
      <c r="G7" s="89">
        <v>2.2849541747831834</v>
      </c>
      <c r="H7" s="89">
        <v>0.60921180372454442</v>
      </c>
      <c r="I7" s="89">
        <v>0.88468387876175347</v>
      </c>
      <c r="M7" s="72" t="s">
        <v>127</v>
      </c>
      <c r="N7" s="80" t="s">
        <v>131</v>
      </c>
      <c r="O7" s="152">
        <v>1.2</v>
      </c>
      <c r="P7" s="152"/>
    </row>
    <row r="8" spans="1:19" ht="15.75" x14ac:dyDescent="0.2">
      <c r="A8" s="72" t="s">
        <v>109</v>
      </c>
      <c r="B8" s="89">
        <v>1.341284514341615</v>
      </c>
      <c r="C8" s="89">
        <v>8.6005648756999129</v>
      </c>
      <c r="D8" s="89">
        <v>0.98201090995300089</v>
      </c>
      <c r="E8" s="89">
        <v>54.431853205327407</v>
      </c>
      <c r="F8" s="89">
        <v>2.2849541747831834</v>
      </c>
      <c r="G8" s="89">
        <v>0</v>
      </c>
      <c r="H8" s="89">
        <v>1.0508289566152209</v>
      </c>
      <c r="I8" s="89">
        <v>0.58732955686370125</v>
      </c>
      <c r="M8" s="72" t="s">
        <v>128</v>
      </c>
      <c r="N8" s="80" t="s">
        <v>132</v>
      </c>
      <c r="O8" s="152">
        <v>4</v>
      </c>
      <c r="P8" s="152"/>
    </row>
    <row r="9" spans="1:19" ht="15.75" x14ac:dyDescent="0.2">
      <c r="A9" s="72" t="s">
        <v>110</v>
      </c>
      <c r="B9" s="89">
        <v>0.62452215962641133</v>
      </c>
      <c r="C9" s="89">
        <v>8.8171853750373739</v>
      </c>
      <c r="D9" s="89">
        <v>1.1632162953528891</v>
      </c>
      <c r="E9" s="89">
        <v>15.401935076718937</v>
      </c>
      <c r="F9" s="89">
        <v>0.60921180372454442</v>
      </c>
      <c r="G9" s="89">
        <v>1.0508289566152209</v>
      </c>
      <c r="H9" s="89">
        <v>2.1073424255447021E-8</v>
      </c>
      <c r="I9" s="89">
        <v>0.37111178817960438</v>
      </c>
      <c r="M9" s="72"/>
      <c r="N9" s="79" t="s">
        <v>133</v>
      </c>
      <c r="O9" s="89">
        <f>MAX(L14:S21)</f>
        <v>54.431853205327407</v>
      </c>
      <c r="P9" s="152"/>
    </row>
    <row r="10" spans="1:19" ht="15.75" x14ac:dyDescent="0.2">
      <c r="A10" s="72" t="s">
        <v>111</v>
      </c>
      <c r="B10" s="89">
        <v>0.67048203081569968</v>
      </c>
      <c r="C10" s="89">
        <v>18.198004468578269</v>
      </c>
      <c r="D10" s="89">
        <v>0.97357466229662859</v>
      </c>
      <c r="E10" s="89">
        <v>21.105647830004912</v>
      </c>
      <c r="F10" s="89">
        <v>0.88468387876175347</v>
      </c>
      <c r="G10" s="89">
        <v>0.58732955686370125</v>
      </c>
      <c r="H10" s="89">
        <v>0.37111178817960438</v>
      </c>
      <c r="I10" s="89">
        <v>0</v>
      </c>
    </row>
    <row r="12" spans="1:19" x14ac:dyDescent="0.2">
      <c r="B12" s="200" t="s">
        <v>125</v>
      </c>
      <c r="C12" s="200"/>
      <c r="D12" s="200"/>
      <c r="E12" s="200"/>
      <c r="F12" s="200"/>
      <c r="G12" s="200"/>
      <c r="H12" s="200"/>
      <c r="I12" s="200"/>
      <c r="L12" s="200" t="s">
        <v>154</v>
      </c>
      <c r="M12" s="200"/>
      <c r="N12" s="200"/>
      <c r="O12" s="200"/>
      <c r="P12" s="200"/>
      <c r="Q12" s="200"/>
      <c r="R12" s="200"/>
      <c r="S12" s="200"/>
    </row>
    <row r="13" spans="1:19" ht="15.75" x14ac:dyDescent="0.2">
      <c r="B13" s="72" t="s">
        <v>108</v>
      </c>
      <c r="C13" s="72" t="s">
        <v>107</v>
      </c>
      <c r="D13" s="72" t="s">
        <v>88</v>
      </c>
      <c r="E13" s="72" t="s">
        <v>109</v>
      </c>
      <c r="F13" s="72" t="s">
        <v>111</v>
      </c>
      <c r="G13" s="72" t="s">
        <v>110</v>
      </c>
      <c r="H13" s="72" t="s">
        <v>106</v>
      </c>
      <c r="I13" s="72" t="s">
        <v>90</v>
      </c>
      <c r="L13" s="72" t="s">
        <v>108</v>
      </c>
      <c r="M13" s="72" t="s">
        <v>107</v>
      </c>
      <c r="N13" s="72" t="s">
        <v>88</v>
      </c>
      <c r="O13" s="72" t="s">
        <v>109</v>
      </c>
      <c r="P13" s="72" t="s">
        <v>111</v>
      </c>
      <c r="Q13" s="72" t="s">
        <v>110</v>
      </c>
      <c r="R13" s="72" t="s">
        <v>106</v>
      </c>
      <c r="S13" s="72" t="s">
        <v>90</v>
      </c>
    </row>
    <row r="14" spans="1:19" ht="15.75" x14ac:dyDescent="0.2">
      <c r="A14" s="72" t="s">
        <v>108</v>
      </c>
      <c r="B14" s="81" t="s">
        <v>126</v>
      </c>
      <c r="C14" s="83"/>
      <c r="D14" s="83"/>
      <c r="E14" s="83"/>
      <c r="F14" s="83"/>
      <c r="G14" s="83"/>
      <c r="H14" s="85" t="s">
        <v>128</v>
      </c>
      <c r="I14" s="83"/>
      <c r="K14" s="72" t="s">
        <v>108</v>
      </c>
      <c r="L14" s="75">
        <v>0</v>
      </c>
      <c r="M14" s="75">
        <v>8.6647017672311328</v>
      </c>
      <c r="N14" s="75">
        <v>8.2484772586637245</v>
      </c>
      <c r="O14" s="75">
        <v>54.431853205327407</v>
      </c>
      <c r="P14" s="75">
        <v>21.105647830004912</v>
      </c>
      <c r="Q14" s="75">
        <v>15.401935076718937</v>
      </c>
      <c r="R14" s="75">
        <v>3.3907712123640699</v>
      </c>
      <c r="S14" s="75">
        <v>5.5892293060127969</v>
      </c>
    </row>
    <row r="15" spans="1:19" ht="15.75" x14ac:dyDescent="0.2">
      <c r="A15" s="72" t="s">
        <v>107</v>
      </c>
      <c r="B15" s="83"/>
      <c r="C15" s="81" t="s">
        <v>126</v>
      </c>
      <c r="D15" s="83"/>
      <c r="E15" s="83"/>
      <c r="F15" s="83"/>
      <c r="G15" s="83"/>
      <c r="H15" s="85" t="s">
        <v>128</v>
      </c>
      <c r="I15" s="83"/>
      <c r="K15" s="72" t="s">
        <v>107</v>
      </c>
      <c r="L15" s="75">
        <v>8.6647017672311328</v>
      </c>
      <c r="M15" s="75">
        <v>0</v>
      </c>
      <c r="N15" s="75">
        <v>8.2611127929429529</v>
      </c>
      <c r="O15" s="75">
        <v>8.6005648756999129</v>
      </c>
      <c r="P15" s="75">
        <v>18.198004468578269</v>
      </c>
      <c r="Q15" s="75">
        <v>8.8171853750373739</v>
      </c>
      <c r="R15" s="75">
        <v>3.7640819497973248</v>
      </c>
      <c r="S15" s="75">
        <v>4.0414494707465529</v>
      </c>
    </row>
    <row r="16" spans="1:19" ht="15.75" x14ac:dyDescent="0.2">
      <c r="A16" s="72" t="s">
        <v>88</v>
      </c>
      <c r="B16" s="83"/>
      <c r="C16" s="83"/>
      <c r="D16" s="81" t="s">
        <v>126</v>
      </c>
      <c r="E16" s="84" t="s">
        <v>127</v>
      </c>
      <c r="F16" s="82" t="s">
        <v>127</v>
      </c>
      <c r="G16" s="82" t="s">
        <v>127</v>
      </c>
      <c r="H16" s="85" t="s">
        <v>128</v>
      </c>
      <c r="I16" s="82" t="s">
        <v>128</v>
      </c>
      <c r="K16" s="72" t="s">
        <v>88</v>
      </c>
      <c r="L16" s="75">
        <v>8.2484772586637245</v>
      </c>
      <c r="M16" s="75">
        <v>8.2611127929429529</v>
      </c>
      <c r="N16" s="75">
        <v>0</v>
      </c>
      <c r="O16" s="75">
        <v>0.98201090995300089</v>
      </c>
      <c r="P16" s="75">
        <v>0.97357466229662859</v>
      </c>
      <c r="Q16" s="75">
        <v>1.1632162953528891</v>
      </c>
      <c r="R16" s="75">
        <v>1.7813497873098052</v>
      </c>
      <c r="S16" s="75">
        <v>2.078280578312095</v>
      </c>
    </row>
    <row r="17" spans="1:19" ht="15.75" x14ac:dyDescent="0.2">
      <c r="A17" s="72" t="s">
        <v>109</v>
      </c>
      <c r="B17" s="83"/>
      <c r="C17" s="83"/>
      <c r="D17" s="82" t="s">
        <v>127</v>
      </c>
      <c r="E17" s="81" t="s">
        <v>126</v>
      </c>
      <c r="F17" s="84" t="s">
        <v>126</v>
      </c>
      <c r="G17" s="82" t="s">
        <v>127</v>
      </c>
      <c r="H17" s="85" t="s">
        <v>128</v>
      </c>
      <c r="I17" s="82" t="s">
        <v>128</v>
      </c>
      <c r="K17" s="72" t="s">
        <v>109</v>
      </c>
      <c r="L17" s="75">
        <v>54.431853205327407</v>
      </c>
      <c r="M17" s="75">
        <v>8.6005648756999129</v>
      </c>
      <c r="N17" s="75">
        <v>0.98201090995300089</v>
      </c>
      <c r="O17" s="75">
        <v>0</v>
      </c>
      <c r="P17" s="75">
        <v>0.58732955686370125</v>
      </c>
      <c r="Q17" s="75">
        <v>1.0508289566152209</v>
      </c>
      <c r="R17" s="75">
        <v>1.341284514341615</v>
      </c>
      <c r="S17" s="75">
        <v>2.2849541747831834</v>
      </c>
    </row>
    <row r="18" spans="1:19" ht="15.75" x14ac:dyDescent="0.2">
      <c r="A18" s="72" t="s">
        <v>111</v>
      </c>
      <c r="B18" s="83"/>
      <c r="C18" s="83"/>
      <c r="D18" s="82" t="s">
        <v>127</v>
      </c>
      <c r="E18" s="82" t="s">
        <v>126</v>
      </c>
      <c r="F18" s="81" t="s">
        <v>126</v>
      </c>
      <c r="G18" s="82" t="s">
        <v>126</v>
      </c>
      <c r="H18" s="85" t="s">
        <v>126</v>
      </c>
      <c r="I18" s="82" t="s">
        <v>127</v>
      </c>
      <c r="K18" s="72" t="s">
        <v>111</v>
      </c>
      <c r="L18" s="75">
        <v>21.105647830004912</v>
      </c>
      <c r="M18" s="75">
        <v>18.198004468578269</v>
      </c>
      <c r="N18" s="75">
        <v>0.97357466229662859</v>
      </c>
      <c r="O18" s="75">
        <v>0.58732955686370125</v>
      </c>
      <c r="P18" s="75">
        <v>0</v>
      </c>
      <c r="Q18" s="75">
        <v>0.37111178817960438</v>
      </c>
      <c r="R18" s="75">
        <v>0.67048203081569968</v>
      </c>
      <c r="S18" s="75">
        <v>0.88468387876175347</v>
      </c>
    </row>
    <row r="19" spans="1:19" ht="15.75" x14ac:dyDescent="0.2">
      <c r="A19" s="72" t="s">
        <v>110</v>
      </c>
      <c r="B19" s="83"/>
      <c r="C19" s="83"/>
      <c r="D19" s="82" t="s">
        <v>127</v>
      </c>
      <c r="E19" s="82" t="s">
        <v>127</v>
      </c>
      <c r="F19" s="82" t="s">
        <v>126</v>
      </c>
      <c r="G19" s="81" t="s">
        <v>126</v>
      </c>
      <c r="H19" s="85" t="s">
        <v>126</v>
      </c>
      <c r="I19" s="82" t="s">
        <v>126</v>
      </c>
      <c r="K19" s="72" t="s">
        <v>110</v>
      </c>
      <c r="L19" s="75">
        <v>15.401935076718937</v>
      </c>
      <c r="M19" s="75">
        <v>8.8171853750373739</v>
      </c>
      <c r="N19" s="75">
        <v>1.1632162953528891</v>
      </c>
      <c r="O19" s="75">
        <v>1.0508289566152209</v>
      </c>
      <c r="P19" s="75">
        <v>0.37111178817960438</v>
      </c>
      <c r="Q19" s="75">
        <v>0</v>
      </c>
      <c r="R19" s="75">
        <v>0.62452215962641133</v>
      </c>
      <c r="S19" s="75">
        <v>0.60921180372454442</v>
      </c>
    </row>
    <row r="20" spans="1:19" ht="15.75" x14ac:dyDescent="0.2">
      <c r="A20" s="72" t="s">
        <v>106</v>
      </c>
      <c r="B20" s="87" t="s">
        <v>128</v>
      </c>
      <c r="C20" s="87" t="s">
        <v>128</v>
      </c>
      <c r="D20" s="87" t="s">
        <v>128</v>
      </c>
      <c r="E20" s="87" t="s">
        <v>128</v>
      </c>
      <c r="F20" s="87" t="s">
        <v>126</v>
      </c>
      <c r="G20" s="87" t="s">
        <v>126</v>
      </c>
      <c r="H20" s="86" t="s">
        <v>126</v>
      </c>
      <c r="I20" s="87" t="s">
        <v>126</v>
      </c>
      <c r="K20" s="72" t="s">
        <v>106</v>
      </c>
      <c r="L20" s="75">
        <v>3.3907712123640699</v>
      </c>
      <c r="M20" s="75">
        <v>3.7640819497973248</v>
      </c>
      <c r="N20" s="75">
        <v>1.7813497873098052</v>
      </c>
      <c r="O20" s="75">
        <v>1.341284514341615</v>
      </c>
      <c r="P20" s="75">
        <v>0.67048203081569968</v>
      </c>
      <c r="Q20" s="75">
        <v>0.62452215962641133</v>
      </c>
      <c r="R20" s="75">
        <v>0</v>
      </c>
      <c r="S20" s="75">
        <v>0.51795734788154046</v>
      </c>
    </row>
    <row r="21" spans="1:19" ht="15.75" x14ac:dyDescent="0.2">
      <c r="A21" s="72" t="s">
        <v>90</v>
      </c>
      <c r="B21" s="83"/>
      <c r="C21" s="83"/>
      <c r="D21" s="82" t="s">
        <v>128</v>
      </c>
      <c r="E21" s="82" t="s">
        <v>128</v>
      </c>
      <c r="F21" s="82" t="s">
        <v>127</v>
      </c>
      <c r="G21" s="82" t="s">
        <v>126</v>
      </c>
      <c r="H21" s="85" t="s">
        <v>126</v>
      </c>
      <c r="I21" s="81" t="s">
        <v>126</v>
      </c>
      <c r="K21" s="72" t="s">
        <v>90</v>
      </c>
      <c r="L21" s="75">
        <v>5.5892293060127969</v>
      </c>
      <c r="M21" s="75">
        <v>4.0414494707465529</v>
      </c>
      <c r="N21" s="75">
        <v>2.078280578312095</v>
      </c>
      <c r="O21" s="75">
        <v>2.2849541747831834</v>
      </c>
      <c r="P21" s="75">
        <v>0.88468387876175347</v>
      </c>
      <c r="Q21" s="75">
        <v>0.60921180372454442</v>
      </c>
      <c r="R21" s="75">
        <v>0.51795734788154046</v>
      </c>
      <c r="S21" s="75">
        <v>0</v>
      </c>
    </row>
    <row r="23" spans="1:19" ht="15.75" x14ac:dyDescent="0.2">
      <c r="A23" s="72" t="s">
        <v>126</v>
      </c>
      <c r="B23" s="79" t="s">
        <v>130</v>
      </c>
    </row>
    <row r="24" spans="1:19" ht="15.75" x14ac:dyDescent="0.2">
      <c r="A24" s="72" t="s">
        <v>127</v>
      </c>
      <c r="B24" s="80" t="s">
        <v>131</v>
      </c>
    </row>
    <row r="25" spans="1:19" ht="15.75" x14ac:dyDescent="0.2">
      <c r="A25" s="72" t="s">
        <v>128</v>
      </c>
      <c r="B25" s="80" t="s">
        <v>132</v>
      </c>
    </row>
    <row r="26" spans="1:19" ht="15.75" x14ac:dyDescent="0.2">
      <c r="A26" s="72"/>
      <c r="B26" s="79" t="s">
        <v>133</v>
      </c>
    </row>
    <row r="28" spans="1:19" x14ac:dyDescent="0.2">
      <c r="B28" s="200" t="s">
        <v>125</v>
      </c>
      <c r="C28" s="200"/>
      <c r="D28" s="200"/>
      <c r="E28" s="200"/>
      <c r="F28" s="200"/>
      <c r="G28" s="200"/>
      <c r="H28" s="200"/>
      <c r="I28" s="200"/>
    </row>
    <row r="29" spans="1:19" ht="15.75" x14ac:dyDescent="0.2">
      <c r="B29" s="72" t="s">
        <v>108</v>
      </c>
      <c r="C29" s="72" t="s">
        <v>107</v>
      </c>
      <c r="D29" s="72" t="s">
        <v>88</v>
      </c>
      <c r="E29" s="72" t="s">
        <v>109</v>
      </c>
      <c r="F29" s="72" t="s">
        <v>111</v>
      </c>
      <c r="G29" s="72" t="s">
        <v>110</v>
      </c>
      <c r="H29" s="72" t="s">
        <v>106</v>
      </c>
      <c r="I29" s="72" t="s">
        <v>90</v>
      </c>
    </row>
    <row r="30" spans="1:19" ht="15.75" x14ac:dyDescent="0.2">
      <c r="A30" s="72" t="s">
        <v>108</v>
      </c>
      <c r="B30" s="115" t="s">
        <v>126</v>
      </c>
      <c r="C30" s="83"/>
      <c r="D30" s="83"/>
      <c r="E30" s="83"/>
      <c r="F30" s="83"/>
      <c r="G30" s="83"/>
      <c r="H30" s="85" t="s">
        <v>128</v>
      </c>
      <c r="I30" s="83"/>
    </row>
    <row r="31" spans="1:19" ht="15.75" x14ac:dyDescent="0.2">
      <c r="A31" s="72" t="s">
        <v>107</v>
      </c>
      <c r="B31" s="83"/>
      <c r="C31" s="115" t="s">
        <v>126</v>
      </c>
      <c r="D31" s="83"/>
      <c r="E31" s="83"/>
      <c r="F31" s="83"/>
      <c r="G31" s="83"/>
      <c r="H31" s="85" t="s">
        <v>128</v>
      </c>
      <c r="I31" s="83"/>
    </row>
    <row r="32" spans="1:19" ht="15.75" x14ac:dyDescent="0.2">
      <c r="A32" s="72" t="s">
        <v>88</v>
      </c>
      <c r="B32" s="83"/>
      <c r="C32" s="83"/>
      <c r="D32" s="115" t="s">
        <v>126</v>
      </c>
      <c r="E32" s="126" t="s">
        <v>127</v>
      </c>
      <c r="F32" s="127" t="s">
        <v>127</v>
      </c>
      <c r="G32" s="127" t="s">
        <v>127</v>
      </c>
      <c r="H32" s="85" t="s">
        <v>128</v>
      </c>
      <c r="I32" s="82" t="s">
        <v>128</v>
      </c>
    </row>
    <row r="33" spans="1:9" ht="15.75" x14ac:dyDescent="0.2">
      <c r="A33" s="72" t="s">
        <v>109</v>
      </c>
      <c r="B33" s="83"/>
      <c r="C33" s="83"/>
      <c r="D33" s="127" t="s">
        <v>127</v>
      </c>
      <c r="E33" s="121" t="s">
        <v>126</v>
      </c>
      <c r="F33" s="122" t="s">
        <v>126</v>
      </c>
      <c r="G33" s="123" t="s">
        <v>127</v>
      </c>
      <c r="H33" s="85" t="s">
        <v>128</v>
      </c>
      <c r="I33" s="82" t="s">
        <v>128</v>
      </c>
    </row>
    <row r="34" spans="1:9" ht="15.75" x14ac:dyDescent="0.2">
      <c r="A34" s="72" t="s">
        <v>111</v>
      </c>
      <c r="B34" s="83"/>
      <c r="C34" s="83"/>
      <c r="D34" s="127" t="s">
        <v>127</v>
      </c>
      <c r="E34" s="123" t="s">
        <v>126</v>
      </c>
      <c r="F34" s="124" t="s">
        <v>126</v>
      </c>
      <c r="G34" s="125" t="s">
        <v>126</v>
      </c>
      <c r="H34" s="118" t="s">
        <v>126</v>
      </c>
      <c r="I34" s="117" t="s">
        <v>127</v>
      </c>
    </row>
    <row r="35" spans="1:9" ht="15.75" x14ac:dyDescent="0.2">
      <c r="A35" s="72" t="s">
        <v>110</v>
      </c>
      <c r="B35" s="83"/>
      <c r="C35" s="83"/>
      <c r="D35" s="127" t="s">
        <v>127</v>
      </c>
      <c r="E35" s="123" t="s">
        <v>127</v>
      </c>
      <c r="F35" s="125" t="s">
        <v>126</v>
      </c>
      <c r="G35" s="124" t="s">
        <v>126</v>
      </c>
      <c r="H35" s="118" t="s">
        <v>126</v>
      </c>
      <c r="I35" s="117" t="s">
        <v>126</v>
      </c>
    </row>
    <row r="36" spans="1:9" ht="15.75" x14ac:dyDescent="0.2">
      <c r="A36" s="72" t="s">
        <v>106</v>
      </c>
      <c r="B36" s="87" t="s">
        <v>128</v>
      </c>
      <c r="C36" s="87" t="s">
        <v>128</v>
      </c>
      <c r="D36" s="87" t="s">
        <v>128</v>
      </c>
      <c r="E36" s="87" t="s">
        <v>128</v>
      </c>
      <c r="F36" s="119" t="s">
        <v>126</v>
      </c>
      <c r="G36" s="119" t="s">
        <v>126</v>
      </c>
      <c r="H36" s="120" t="s">
        <v>126</v>
      </c>
      <c r="I36" s="119" t="s">
        <v>126</v>
      </c>
    </row>
    <row r="37" spans="1:9" ht="15.75" x14ac:dyDescent="0.2">
      <c r="A37" s="72" t="s">
        <v>90</v>
      </c>
      <c r="B37" s="83"/>
      <c r="C37" s="83"/>
      <c r="D37" s="82" t="s">
        <v>128</v>
      </c>
      <c r="E37" s="82" t="s">
        <v>128</v>
      </c>
      <c r="F37" s="117" t="s">
        <v>127</v>
      </c>
      <c r="G37" s="117" t="s">
        <v>126</v>
      </c>
      <c r="H37" s="118" t="s">
        <v>126</v>
      </c>
      <c r="I37" s="116" t="s">
        <v>126</v>
      </c>
    </row>
  </sheetData>
  <mergeCells count="5">
    <mergeCell ref="B1:I1"/>
    <mergeCell ref="B12:I12"/>
    <mergeCell ref="B28:I28"/>
    <mergeCell ref="L12:S12"/>
    <mergeCell ref="M5:P5"/>
  </mergeCells>
  <conditionalFormatting sqref="L14:S21 P7">
    <cfRule type="cellIs" dxfId="7" priority="2" operator="lessThanOrEqual">
      <formula>$O$7</formula>
    </cfRule>
  </conditionalFormatting>
  <conditionalFormatting sqref="L14:S21 P8">
    <cfRule type="cellIs" dxfId="6" priority="3" operator="lessThanOrEqual">
      <formula>$O$8</formula>
    </cfRule>
  </conditionalFormatting>
  <conditionalFormatting sqref="L14:S21 P9">
    <cfRule type="cellIs" dxfId="5" priority="4" operator="lessThanOrEqual">
      <formula>$O$9</formula>
    </cfRule>
  </conditionalFormatting>
  <conditionalFormatting sqref="P6 L14:S21">
    <cfRule type="cellIs" dxfId="4" priority="1" operator="lessThanOrEqual">
      <formula>$O$6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E8069-6BBB-441E-8E8A-B555B98FBAD2}">
  <dimension ref="A1:AD183"/>
  <sheetViews>
    <sheetView topLeftCell="A46" zoomScaleNormal="100" workbookViewId="0">
      <selection activeCell="N12" sqref="N12"/>
    </sheetView>
  </sheetViews>
  <sheetFormatPr defaultRowHeight="12.75" x14ac:dyDescent="0.2"/>
  <cols>
    <col min="11" max="11" width="13.7109375" bestFit="1" customWidth="1"/>
  </cols>
  <sheetData>
    <row r="1" spans="1:20" x14ac:dyDescent="0.2">
      <c r="A1" s="42"/>
      <c r="B1" s="200" t="s">
        <v>129</v>
      </c>
      <c r="C1" s="200"/>
      <c r="D1" s="200"/>
      <c r="E1" s="200"/>
      <c r="F1" s="200"/>
      <c r="G1" s="200"/>
      <c r="H1" s="200"/>
      <c r="I1" s="200"/>
    </row>
    <row r="2" spans="1:20" ht="15.75" x14ac:dyDescent="0.2">
      <c r="A2" s="42"/>
      <c r="B2" s="72" t="s">
        <v>106</v>
      </c>
      <c r="C2" s="72" t="s">
        <v>107</v>
      </c>
      <c r="D2" s="72" t="s">
        <v>88</v>
      </c>
      <c r="E2" s="72" t="s">
        <v>108</v>
      </c>
      <c r="F2" s="72" t="s">
        <v>90</v>
      </c>
      <c r="G2" s="72" t="s">
        <v>109</v>
      </c>
      <c r="H2" s="72" t="s">
        <v>110</v>
      </c>
      <c r="I2" s="72" t="s">
        <v>111</v>
      </c>
    </row>
    <row r="3" spans="1:20" ht="15.75" x14ac:dyDescent="0.2">
      <c r="A3" s="72" t="s">
        <v>106</v>
      </c>
      <c r="B3" s="89">
        <v>2.1073424255447021E-8</v>
      </c>
      <c r="C3" s="89">
        <v>3.7640819497973248</v>
      </c>
      <c r="D3" s="89">
        <v>1.7813497873098052</v>
      </c>
      <c r="E3" s="89">
        <v>3.3907712123640699</v>
      </c>
      <c r="F3" s="89">
        <v>0.51795734788154046</v>
      </c>
      <c r="G3" s="89">
        <v>1.341284514341615</v>
      </c>
      <c r="H3" s="89">
        <v>0.62452215962641133</v>
      </c>
      <c r="I3" s="89">
        <v>0.67048203081569968</v>
      </c>
      <c r="L3" s="72" t="s">
        <v>108</v>
      </c>
      <c r="N3" s="148"/>
      <c r="O3" s="148"/>
      <c r="P3" s="148"/>
      <c r="Q3" s="149"/>
      <c r="R3" s="149"/>
      <c r="S3" s="112"/>
      <c r="T3" s="112"/>
    </row>
    <row r="4" spans="1:20" ht="15.75" x14ac:dyDescent="0.2">
      <c r="A4" s="72" t="s">
        <v>107</v>
      </c>
      <c r="B4" s="89">
        <v>3.7640819497973248</v>
      </c>
      <c r="C4" s="89">
        <v>0</v>
      </c>
      <c r="D4" s="89">
        <v>8.2611127929429529</v>
      </c>
      <c r="E4" s="89">
        <v>8.6647017672311328</v>
      </c>
      <c r="F4" s="89">
        <v>4.0414494707465529</v>
      </c>
      <c r="G4" s="89">
        <v>8.6005648756999129</v>
      </c>
      <c r="H4" s="89">
        <v>8.8171853750373739</v>
      </c>
      <c r="I4" s="89">
        <v>18.198004468578269</v>
      </c>
      <c r="L4" s="72" t="s">
        <v>107</v>
      </c>
      <c r="N4" s="148"/>
      <c r="O4" s="148"/>
      <c r="P4" s="148"/>
      <c r="Q4" s="149"/>
      <c r="R4" s="149"/>
      <c r="S4" s="112"/>
      <c r="T4" s="112"/>
    </row>
    <row r="5" spans="1:20" ht="15.75" x14ac:dyDescent="0.2">
      <c r="A5" s="72" t="s">
        <v>88</v>
      </c>
      <c r="B5" s="89">
        <v>1.7813497873098052</v>
      </c>
      <c r="C5" s="89">
        <v>8.2611127929429529</v>
      </c>
      <c r="D5" s="89">
        <v>0</v>
      </c>
      <c r="E5" s="89">
        <v>8.2484772586637245</v>
      </c>
      <c r="F5" s="89">
        <v>2.078280578312095</v>
      </c>
      <c r="G5" s="89">
        <v>0.98201090995300089</v>
      </c>
      <c r="H5" s="89">
        <v>1.1632162953528891</v>
      </c>
      <c r="I5" s="89">
        <v>0.97357466229662859</v>
      </c>
      <c r="L5" s="72" t="s">
        <v>88</v>
      </c>
      <c r="N5" s="148"/>
      <c r="O5" s="148"/>
      <c r="P5" s="148"/>
      <c r="Q5" s="149"/>
      <c r="R5" s="149"/>
      <c r="S5" s="112"/>
      <c r="T5" s="112"/>
    </row>
    <row r="6" spans="1:20" ht="15.75" x14ac:dyDescent="0.2">
      <c r="A6" s="72" t="s">
        <v>108</v>
      </c>
      <c r="B6" s="89">
        <v>3.3907712123640699</v>
      </c>
      <c r="C6" s="89">
        <v>8.6647017672311328</v>
      </c>
      <c r="D6" s="89">
        <v>8.2484772586637245</v>
      </c>
      <c r="E6" s="89">
        <v>1.4901161193847656E-8</v>
      </c>
      <c r="F6" s="89">
        <v>5.5892293060127969</v>
      </c>
      <c r="G6" s="89">
        <v>54.431853205327407</v>
      </c>
      <c r="H6" s="89">
        <v>15.401935076718937</v>
      </c>
      <c r="I6" s="89">
        <v>21.105647830004912</v>
      </c>
      <c r="L6" s="72" t="s">
        <v>109</v>
      </c>
      <c r="N6" s="148"/>
      <c r="O6" s="148"/>
      <c r="P6" s="148"/>
      <c r="Q6" s="149"/>
      <c r="R6" s="149"/>
      <c r="S6" s="112"/>
      <c r="T6" s="112"/>
    </row>
    <row r="7" spans="1:20" ht="15.75" x14ac:dyDescent="0.2">
      <c r="A7" s="72" t="s">
        <v>90</v>
      </c>
      <c r="B7" s="89">
        <v>0.51795734788154046</v>
      </c>
      <c r="C7" s="89">
        <v>4.0414494707465529</v>
      </c>
      <c r="D7" s="89">
        <v>2.078280578312095</v>
      </c>
      <c r="E7" s="89">
        <v>5.5892293060127969</v>
      </c>
      <c r="F7" s="89">
        <v>1.4901161193847656E-8</v>
      </c>
      <c r="G7" s="89">
        <v>2.2849541747831834</v>
      </c>
      <c r="H7" s="89">
        <v>0.60921180372454442</v>
      </c>
      <c r="I7" s="89">
        <v>0.88468387876175347</v>
      </c>
      <c r="L7" s="72" t="s">
        <v>106</v>
      </c>
      <c r="N7" s="148"/>
      <c r="O7" s="148"/>
      <c r="P7" s="148"/>
      <c r="Q7" s="149"/>
      <c r="R7" s="149"/>
      <c r="S7" s="112"/>
      <c r="T7" s="112"/>
    </row>
    <row r="8" spans="1:20" ht="15.75" x14ac:dyDescent="0.2">
      <c r="A8" s="72" t="s">
        <v>109</v>
      </c>
      <c r="B8" s="89">
        <v>1.341284514341615</v>
      </c>
      <c r="C8" s="89">
        <v>8.6005648756999129</v>
      </c>
      <c r="D8" s="89">
        <v>0.98201090995300089</v>
      </c>
      <c r="E8" s="89">
        <v>54.431853205327407</v>
      </c>
      <c r="F8" s="89">
        <v>2.2849541747831834</v>
      </c>
      <c r="G8" s="89">
        <v>0</v>
      </c>
      <c r="H8" s="89">
        <v>1.0508289566152209</v>
      </c>
      <c r="I8" s="89">
        <v>0.58732955686370125</v>
      </c>
      <c r="L8" s="72" t="s">
        <v>90</v>
      </c>
      <c r="N8" s="148"/>
      <c r="O8" s="148"/>
      <c r="P8" s="148"/>
      <c r="Q8" s="149"/>
      <c r="R8" s="149"/>
      <c r="S8" s="112"/>
      <c r="T8" s="112"/>
    </row>
    <row r="9" spans="1:20" ht="15.75" x14ac:dyDescent="0.2">
      <c r="A9" s="72" t="s">
        <v>110</v>
      </c>
      <c r="B9" s="89">
        <v>0.62452215962641133</v>
      </c>
      <c r="C9" s="89">
        <v>8.8171853750373739</v>
      </c>
      <c r="D9" s="89">
        <v>1.1632162953528891</v>
      </c>
      <c r="E9" s="89">
        <v>15.401935076718937</v>
      </c>
      <c r="F9" s="89">
        <v>0.60921180372454442</v>
      </c>
      <c r="G9" s="89">
        <v>1.0508289566152209</v>
      </c>
      <c r="H9" s="89">
        <v>2.1073424255447021E-8</v>
      </c>
      <c r="I9" s="89">
        <v>0.37111178817960438</v>
      </c>
      <c r="L9" s="72" t="s">
        <v>110</v>
      </c>
      <c r="N9" s="148"/>
      <c r="O9" s="148"/>
      <c r="P9" s="148"/>
      <c r="Q9" s="149"/>
      <c r="R9" s="149"/>
      <c r="S9" s="112"/>
      <c r="T9" s="112"/>
    </row>
    <row r="10" spans="1:20" ht="15.75" x14ac:dyDescent="0.2">
      <c r="A10" s="72" t="s">
        <v>111</v>
      </c>
      <c r="B10" s="89">
        <v>0.67048203081569968</v>
      </c>
      <c r="C10" s="89">
        <v>18.198004468578269</v>
      </c>
      <c r="D10" s="89">
        <v>0.97357466229662859</v>
      </c>
      <c r="E10" s="89">
        <v>21.105647830004912</v>
      </c>
      <c r="F10" s="89">
        <v>0.88468387876175347</v>
      </c>
      <c r="G10" s="89">
        <v>0.58732955686370125</v>
      </c>
      <c r="H10" s="89">
        <v>0.37111178817960438</v>
      </c>
      <c r="I10" s="89">
        <v>0</v>
      </c>
      <c r="L10" s="72" t="s">
        <v>111</v>
      </c>
      <c r="N10" s="148"/>
      <c r="O10" s="148"/>
      <c r="P10" s="148"/>
      <c r="Q10" s="148"/>
      <c r="R10" s="149"/>
      <c r="S10" s="112"/>
      <c r="T10" s="112"/>
    </row>
    <row r="14" spans="1:20" x14ac:dyDescent="0.2">
      <c r="K14" s="54" t="s">
        <v>143</v>
      </c>
      <c r="L14" s="54"/>
      <c r="M14" s="54"/>
      <c r="N14" s="54"/>
      <c r="O14" s="54"/>
      <c r="P14" s="54"/>
      <c r="Q14" s="54"/>
      <c r="R14" s="54"/>
    </row>
    <row r="15" spans="1:20" x14ac:dyDescent="0.2">
      <c r="K15" s="54"/>
      <c r="L15" s="114"/>
      <c r="M15" s="114"/>
      <c r="N15" s="114"/>
      <c r="O15" s="114"/>
      <c r="P15" s="114"/>
      <c r="Q15" s="114"/>
      <c r="R15" s="114"/>
    </row>
    <row r="16" spans="1:20" x14ac:dyDescent="0.2">
      <c r="A16" s="206" t="s">
        <v>153</v>
      </c>
      <c r="B16" s="206"/>
      <c r="C16" s="206"/>
      <c r="D16" s="206"/>
      <c r="E16" s="206"/>
      <c r="F16" s="206"/>
      <c r="G16" s="206"/>
      <c r="H16" s="206"/>
      <c r="I16" s="206"/>
    </row>
    <row r="17" spans="1:11" x14ac:dyDescent="0.2">
      <c r="A17" s="205" t="s">
        <v>144</v>
      </c>
      <c r="B17" s="205"/>
      <c r="C17" s="205"/>
      <c r="D17" s="205"/>
      <c r="E17" s="205"/>
      <c r="F17" s="205"/>
      <c r="G17" s="205"/>
      <c r="H17" s="205"/>
      <c r="I17" s="205"/>
      <c r="K17" s="132"/>
    </row>
    <row r="18" spans="1:11" x14ac:dyDescent="0.2">
      <c r="A18" s="42"/>
      <c r="B18" s="205" t="s">
        <v>134</v>
      </c>
      <c r="C18" s="205"/>
      <c r="D18" s="205"/>
      <c r="E18" s="205"/>
      <c r="F18" s="205"/>
      <c r="G18" s="205"/>
      <c r="H18" s="205"/>
      <c r="I18" s="205"/>
      <c r="K18" s="132"/>
    </row>
    <row r="19" spans="1:11" ht="15.75" x14ac:dyDescent="0.2">
      <c r="A19" s="72" t="s">
        <v>106</v>
      </c>
      <c r="B19" s="90">
        <v>2.1073424255447021E-8</v>
      </c>
      <c r="C19" s="75"/>
      <c r="D19" s="75"/>
      <c r="E19" s="75"/>
      <c r="F19" s="75"/>
      <c r="G19" s="75"/>
      <c r="H19" s="75"/>
      <c r="I19" s="75"/>
      <c r="K19" s="132"/>
    </row>
    <row r="20" spans="1:11" ht="15.75" x14ac:dyDescent="0.2">
      <c r="A20" s="72" t="s">
        <v>107</v>
      </c>
      <c r="B20" s="90">
        <v>3.7640819497973248</v>
      </c>
      <c r="C20" s="83">
        <v>0</v>
      </c>
      <c r="D20" s="75"/>
      <c r="E20" s="75"/>
      <c r="F20" s="75"/>
      <c r="G20" s="75"/>
      <c r="H20" s="75"/>
      <c r="I20" s="75"/>
      <c r="K20" s="132"/>
    </row>
    <row r="21" spans="1:11" ht="15.75" x14ac:dyDescent="0.2">
      <c r="A21" s="72" t="s">
        <v>88</v>
      </c>
      <c r="B21" s="90">
        <v>1.7813497873098052</v>
      </c>
      <c r="C21" s="83">
        <v>8.2611127929429529</v>
      </c>
      <c r="D21" s="83">
        <v>0</v>
      </c>
      <c r="E21" s="75"/>
      <c r="F21" s="75"/>
      <c r="G21" s="75"/>
      <c r="H21" s="75"/>
      <c r="I21" s="75"/>
      <c r="K21" s="132"/>
    </row>
    <row r="22" spans="1:11" ht="15.75" x14ac:dyDescent="0.2">
      <c r="A22" s="72" t="s">
        <v>108</v>
      </c>
      <c r="B22" s="90">
        <v>3.3907712123640699</v>
      </c>
      <c r="C22" s="83">
        <v>8.6647017672311328</v>
      </c>
      <c r="D22" s="83">
        <v>8.2484772586637245</v>
      </c>
      <c r="E22" s="83">
        <v>1.4901161193847656E-8</v>
      </c>
      <c r="F22" s="75"/>
      <c r="G22" s="75"/>
      <c r="H22" s="75"/>
      <c r="I22" s="75"/>
      <c r="K22" s="134" t="s">
        <v>146</v>
      </c>
    </row>
    <row r="23" spans="1:11" ht="15.75" x14ac:dyDescent="0.2">
      <c r="A23" s="72" t="s">
        <v>90</v>
      </c>
      <c r="B23" s="90">
        <v>0.51795734788154046</v>
      </c>
      <c r="C23" s="83">
        <v>4.0414494707465529</v>
      </c>
      <c r="D23" s="83">
        <v>2.078280578312095</v>
      </c>
      <c r="E23" s="83">
        <v>5.5892293060127969</v>
      </c>
      <c r="F23" s="83">
        <v>1.4901161193847656E-8</v>
      </c>
      <c r="G23" s="75"/>
      <c r="H23" s="75"/>
      <c r="I23" s="75"/>
      <c r="K23" s="133"/>
    </row>
    <row r="24" spans="1:11" ht="15.75" x14ac:dyDescent="0.2">
      <c r="A24" s="72" t="s">
        <v>109</v>
      </c>
      <c r="B24" s="90">
        <v>1.341284514341615</v>
      </c>
      <c r="C24" s="83">
        <v>8.6005648756999129</v>
      </c>
      <c r="D24" s="83">
        <v>0.98201090995300089</v>
      </c>
      <c r="E24" s="83">
        <v>54.431853205327407</v>
      </c>
      <c r="F24" s="83">
        <v>2.2849541747831834</v>
      </c>
      <c r="G24" s="83">
        <v>0</v>
      </c>
      <c r="H24" s="75"/>
      <c r="I24" s="75"/>
      <c r="K24" s="133"/>
    </row>
    <row r="25" spans="1:11" ht="15.75" x14ac:dyDescent="0.2">
      <c r="A25" s="72" t="s">
        <v>110</v>
      </c>
      <c r="B25" s="140">
        <v>0.62452215962641133</v>
      </c>
      <c r="C25" s="139">
        <v>8.8171853750373739</v>
      </c>
      <c r="D25" s="139">
        <v>1.1632162953528891</v>
      </c>
      <c r="E25" s="139">
        <v>15.401935076718937</v>
      </c>
      <c r="F25" s="139">
        <v>0.60921180372454442</v>
      </c>
      <c r="G25" s="139">
        <v>1.0508289566152209</v>
      </c>
      <c r="H25" s="137">
        <v>2.1073424255447021E-8</v>
      </c>
      <c r="I25" s="75"/>
      <c r="K25" s="133"/>
    </row>
    <row r="26" spans="1:11" ht="15.75" x14ac:dyDescent="0.2">
      <c r="A26" s="72" t="s">
        <v>111</v>
      </c>
      <c r="B26" s="135">
        <v>0.67048203081569968</v>
      </c>
      <c r="C26" s="141">
        <v>18.198004468578269</v>
      </c>
      <c r="D26" s="141">
        <v>0.97357466229662859</v>
      </c>
      <c r="E26" s="141">
        <v>21.105647830004912</v>
      </c>
      <c r="F26" s="141">
        <v>0.88468387876175347</v>
      </c>
      <c r="G26" s="141">
        <v>0.58732955686370125</v>
      </c>
      <c r="H26" s="92">
        <v>0.37111178817960438</v>
      </c>
      <c r="I26" s="142">
        <v>0</v>
      </c>
      <c r="K26" s="133"/>
    </row>
    <row r="27" spans="1:11" ht="15.75" x14ac:dyDescent="0.2">
      <c r="A27" s="42"/>
      <c r="B27" s="72" t="s">
        <v>106</v>
      </c>
      <c r="C27" s="72" t="s">
        <v>107</v>
      </c>
      <c r="D27" s="72" t="s">
        <v>88</v>
      </c>
      <c r="E27" s="72" t="s">
        <v>108</v>
      </c>
      <c r="F27" s="72" t="s">
        <v>90</v>
      </c>
      <c r="G27" s="72" t="s">
        <v>109</v>
      </c>
      <c r="H27" s="72" t="s">
        <v>110</v>
      </c>
      <c r="I27" s="72" t="s">
        <v>111</v>
      </c>
      <c r="K27" s="133"/>
    </row>
    <row r="28" spans="1:11" ht="15.75" x14ac:dyDescent="0.2">
      <c r="A28" s="99"/>
      <c r="B28" s="113"/>
      <c r="C28" s="113"/>
      <c r="D28" s="113"/>
      <c r="E28" s="113"/>
      <c r="F28" s="113"/>
      <c r="G28" s="113"/>
      <c r="H28" s="113"/>
      <c r="I28" s="113"/>
      <c r="K28" s="133"/>
    </row>
    <row r="29" spans="1:11" x14ac:dyDescent="0.2">
      <c r="A29" s="42"/>
      <c r="B29" s="205" t="s">
        <v>134</v>
      </c>
      <c r="C29" s="205"/>
      <c r="D29" s="205"/>
      <c r="E29" s="205"/>
      <c r="F29" s="205"/>
      <c r="G29" s="205"/>
      <c r="H29" s="205"/>
      <c r="I29" s="205"/>
      <c r="K29" s="133"/>
    </row>
    <row r="30" spans="1:11" ht="15.75" x14ac:dyDescent="0.2">
      <c r="A30" s="72" t="s">
        <v>106</v>
      </c>
      <c r="B30" s="90">
        <v>2.1073424255447021E-8</v>
      </c>
      <c r="C30" s="75"/>
      <c r="D30" s="75"/>
      <c r="E30" s="75"/>
      <c r="F30" s="75"/>
      <c r="G30" s="75"/>
      <c r="H30" s="75"/>
      <c r="I30" s="75"/>
      <c r="K30" s="132"/>
    </row>
    <row r="31" spans="1:11" ht="15.75" x14ac:dyDescent="0.2">
      <c r="A31" s="72" t="s">
        <v>107</v>
      </c>
      <c r="B31" s="90">
        <v>3.7640819497973248</v>
      </c>
      <c r="C31" s="83">
        <v>0</v>
      </c>
      <c r="D31" s="75"/>
      <c r="E31" s="75"/>
      <c r="F31" s="75"/>
      <c r="G31" s="75"/>
      <c r="H31" s="75"/>
      <c r="I31" s="75"/>
      <c r="K31" s="132"/>
    </row>
    <row r="32" spans="1:11" ht="15.75" x14ac:dyDescent="0.2">
      <c r="A32" s="72" t="s">
        <v>88</v>
      </c>
      <c r="B32" s="90">
        <v>1.7813497873098052</v>
      </c>
      <c r="C32" s="83">
        <v>8.2611127929429529</v>
      </c>
      <c r="D32" s="83">
        <v>0</v>
      </c>
      <c r="E32" s="75"/>
      <c r="F32" s="75"/>
      <c r="G32" s="75"/>
      <c r="H32" s="75"/>
      <c r="I32" s="75"/>
      <c r="K32" s="132"/>
    </row>
    <row r="33" spans="1:11" ht="15.75" x14ac:dyDescent="0.2">
      <c r="A33" s="72" t="s">
        <v>108</v>
      </c>
      <c r="B33" s="90">
        <v>3.3907712123640699</v>
      </c>
      <c r="C33" s="83">
        <v>8.6647017672311328</v>
      </c>
      <c r="D33" s="83">
        <v>8.2484772586637245</v>
      </c>
      <c r="E33" s="83">
        <v>1.4901161193847656E-8</v>
      </c>
      <c r="F33" s="75"/>
      <c r="G33" s="75"/>
      <c r="H33" s="75"/>
      <c r="I33" s="75"/>
      <c r="K33" s="132"/>
    </row>
    <row r="34" spans="1:11" ht="15.75" x14ac:dyDescent="0.2">
      <c r="A34" s="72" t="s">
        <v>90</v>
      </c>
      <c r="B34" s="90">
        <v>0.51795734788154046</v>
      </c>
      <c r="C34" s="83">
        <v>4.0414494707465529</v>
      </c>
      <c r="D34" s="83">
        <v>2.078280578312095</v>
      </c>
      <c r="E34" s="83">
        <v>5.5892293060127969</v>
      </c>
      <c r="F34" s="83">
        <v>1.4901161193847656E-8</v>
      </c>
      <c r="G34" s="75"/>
      <c r="H34" s="75"/>
      <c r="I34" s="75"/>
      <c r="K34" s="132"/>
    </row>
    <row r="35" spans="1:11" ht="15.75" x14ac:dyDescent="0.2">
      <c r="A35" s="72" t="s">
        <v>109</v>
      </c>
      <c r="B35" s="128">
        <v>1.341284514341615</v>
      </c>
      <c r="C35" s="129">
        <v>8.6005648756999129</v>
      </c>
      <c r="D35" s="129">
        <v>0.98201090995300089</v>
      </c>
      <c r="E35" s="129">
        <v>54.431853205327407</v>
      </c>
      <c r="F35" s="129">
        <v>2.2849541747831834</v>
      </c>
      <c r="G35" s="129">
        <v>0</v>
      </c>
      <c r="H35" s="75"/>
      <c r="I35" s="75"/>
      <c r="K35" s="132"/>
    </row>
    <row r="36" spans="1:11" ht="15.75" x14ac:dyDescent="0.2">
      <c r="A36" s="72" t="s">
        <v>136</v>
      </c>
      <c r="B36" s="130">
        <v>0.67048203081569968</v>
      </c>
      <c r="C36" s="131">
        <v>18.198004468578269</v>
      </c>
      <c r="D36" s="129">
        <v>1.1632162953528891</v>
      </c>
      <c r="E36" s="131">
        <v>21.105647830004912</v>
      </c>
      <c r="F36" s="131">
        <v>0.88468387876175347</v>
      </c>
      <c r="G36" s="129">
        <v>1.0508289566152209</v>
      </c>
      <c r="H36" s="83">
        <v>2.1073424255447021E-8</v>
      </c>
      <c r="I36" s="75"/>
      <c r="K36" s="132"/>
    </row>
    <row r="37" spans="1:11" ht="15.75" x14ac:dyDescent="0.2">
      <c r="A37" s="42"/>
      <c r="B37" s="72" t="s">
        <v>106</v>
      </c>
      <c r="C37" s="72" t="s">
        <v>107</v>
      </c>
      <c r="D37" s="72" t="s">
        <v>88</v>
      </c>
      <c r="E37" s="72" t="s">
        <v>108</v>
      </c>
      <c r="F37" s="72" t="s">
        <v>90</v>
      </c>
      <c r="G37" s="72" t="s">
        <v>109</v>
      </c>
      <c r="H37" s="72" t="s">
        <v>136</v>
      </c>
      <c r="K37" s="132"/>
    </row>
    <row r="38" spans="1:11" x14ac:dyDescent="0.2">
      <c r="K38" s="132"/>
    </row>
    <row r="39" spans="1:11" x14ac:dyDescent="0.2">
      <c r="A39" s="42"/>
      <c r="B39" s="205" t="s">
        <v>134</v>
      </c>
      <c r="C39" s="205"/>
      <c r="D39" s="205"/>
      <c r="E39" s="205"/>
      <c r="F39" s="205"/>
      <c r="G39" s="205"/>
      <c r="H39" s="205"/>
      <c r="I39" s="205"/>
      <c r="K39" s="132"/>
    </row>
    <row r="40" spans="1:11" ht="15.75" x14ac:dyDescent="0.2">
      <c r="A40" s="72" t="s">
        <v>106</v>
      </c>
      <c r="B40" s="136">
        <v>2.1073424255447021E-8</v>
      </c>
      <c r="C40" s="75"/>
      <c r="D40" s="75"/>
      <c r="E40" s="75"/>
      <c r="F40" s="75"/>
      <c r="G40" s="75"/>
      <c r="H40" s="75"/>
      <c r="I40" s="75"/>
      <c r="K40" s="132"/>
    </row>
    <row r="41" spans="1:11" ht="15.75" x14ac:dyDescent="0.2">
      <c r="A41" s="72" t="s">
        <v>107</v>
      </c>
      <c r="B41" s="140">
        <v>3.7640819497973248</v>
      </c>
      <c r="C41" s="83">
        <v>0</v>
      </c>
      <c r="D41" s="75"/>
      <c r="E41" s="75"/>
      <c r="F41" s="75"/>
      <c r="G41" s="75"/>
      <c r="H41" s="75"/>
      <c r="I41" s="75"/>
      <c r="K41" s="132"/>
    </row>
    <row r="42" spans="1:11" ht="15.75" x14ac:dyDescent="0.2">
      <c r="A42" s="72" t="s">
        <v>88</v>
      </c>
      <c r="B42" s="140">
        <v>1.7813497873098052</v>
      </c>
      <c r="C42" s="83">
        <v>8.2611127929429529</v>
      </c>
      <c r="D42" s="83">
        <v>0</v>
      </c>
      <c r="E42" s="75"/>
      <c r="F42" s="75"/>
      <c r="G42" s="75"/>
      <c r="H42" s="75"/>
      <c r="I42" s="75"/>
      <c r="K42" s="132"/>
    </row>
    <row r="43" spans="1:11" ht="15.75" x14ac:dyDescent="0.2">
      <c r="A43" s="72" t="s">
        <v>108</v>
      </c>
      <c r="B43" s="136">
        <v>3.3907712123640699</v>
      </c>
      <c r="C43" s="83">
        <v>8.6647017672311328</v>
      </c>
      <c r="D43" s="83">
        <v>8.2484772586637245</v>
      </c>
      <c r="E43" s="83">
        <v>1.4901161193847656E-8</v>
      </c>
      <c r="F43" s="75"/>
      <c r="G43" s="75"/>
      <c r="H43" s="75"/>
      <c r="I43" s="75"/>
      <c r="K43" s="134" t="s">
        <v>145</v>
      </c>
    </row>
    <row r="44" spans="1:11" ht="15.75" x14ac:dyDescent="0.2">
      <c r="A44" s="72" t="s">
        <v>90</v>
      </c>
      <c r="B44" s="108">
        <v>0.51795734788154046</v>
      </c>
      <c r="C44" s="144">
        <v>4.0414494707465529</v>
      </c>
      <c r="D44" s="144">
        <v>2.078280578312095</v>
      </c>
      <c r="E44" s="145">
        <v>5.5892293060127969</v>
      </c>
      <c r="F44" s="145">
        <v>1.4901161193847656E-8</v>
      </c>
      <c r="G44" s="75"/>
      <c r="H44" s="75"/>
      <c r="I44" s="75"/>
      <c r="K44" s="132"/>
    </row>
    <row r="45" spans="1:11" ht="15.75" x14ac:dyDescent="0.2">
      <c r="A45" s="72" t="s">
        <v>109</v>
      </c>
      <c r="B45" s="136">
        <v>1.341284514341615</v>
      </c>
      <c r="C45" s="83">
        <v>8.6005648756999129</v>
      </c>
      <c r="D45" s="83">
        <v>0.98201090995300089</v>
      </c>
      <c r="E45" s="83">
        <v>54.431853205327407</v>
      </c>
      <c r="F45" s="145">
        <v>2.2849541747831834</v>
      </c>
      <c r="G45" s="83">
        <v>0</v>
      </c>
      <c r="H45" s="75"/>
      <c r="I45" s="75"/>
      <c r="K45" s="132"/>
    </row>
    <row r="46" spans="1:11" ht="15.75" x14ac:dyDescent="0.2">
      <c r="A46" s="72" t="s">
        <v>136</v>
      </c>
      <c r="B46" s="143">
        <v>0.67048203081569968</v>
      </c>
      <c r="C46" s="131">
        <v>18.198004468578269</v>
      </c>
      <c r="D46" s="129">
        <v>1.1632162953528891</v>
      </c>
      <c r="E46" s="131">
        <v>21.105647830004912</v>
      </c>
      <c r="F46" s="141">
        <v>0.88468387876175347</v>
      </c>
      <c r="G46" s="129">
        <v>1.0508289566152209</v>
      </c>
      <c r="H46" s="83">
        <v>2.1073424255447021E-8</v>
      </c>
      <c r="I46" s="75"/>
      <c r="K46" s="132"/>
    </row>
    <row r="47" spans="1:11" ht="15.75" x14ac:dyDescent="0.2">
      <c r="A47" s="42"/>
      <c r="B47" s="72" t="s">
        <v>106</v>
      </c>
      <c r="C47" s="72" t="s">
        <v>107</v>
      </c>
      <c r="D47" s="72" t="s">
        <v>88</v>
      </c>
      <c r="E47" s="72" t="s">
        <v>108</v>
      </c>
      <c r="F47" s="72" t="s">
        <v>90</v>
      </c>
      <c r="G47" s="72" t="s">
        <v>109</v>
      </c>
      <c r="H47" s="72" t="s">
        <v>136</v>
      </c>
      <c r="K47" s="132"/>
    </row>
    <row r="48" spans="1:11" x14ac:dyDescent="0.2">
      <c r="K48" s="132"/>
    </row>
    <row r="49" spans="1:11" x14ac:dyDescent="0.2">
      <c r="A49" s="42"/>
      <c r="B49" s="205" t="s">
        <v>134</v>
      </c>
      <c r="C49" s="205"/>
      <c r="D49" s="205"/>
      <c r="E49" s="205"/>
      <c r="F49" s="205"/>
      <c r="G49" s="205"/>
      <c r="H49" s="205"/>
      <c r="I49" s="205"/>
      <c r="K49" s="132"/>
    </row>
    <row r="50" spans="1:11" ht="15.75" x14ac:dyDescent="0.2">
      <c r="A50" s="72" t="s">
        <v>137</v>
      </c>
      <c r="B50" s="90">
        <v>2.1073424255447021E-8</v>
      </c>
      <c r="C50" s="75"/>
      <c r="D50" s="75"/>
      <c r="E50" s="75"/>
      <c r="F50" s="75"/>
      <c r="G50" s="75"/>
      <c r="H50" s="75"/>
      <c r="I50" s="75"/>
      <c r="K50" s="132"/>
    </row>
    <row r="51" spans="1:11" ht="15.75" x14ac:dyDescent="0.2">
      <c r="A51" s="72" t="s">
        <v>107</v>
      </c>
      <c r="B51" s="129">
        <v>4.0414494707465529</v>
      </c>
      <c r="C51" s="83">
        <v>0</v>
      </c>
      <c r="D51" s="75"/>
      <c r="E51" s="75"/>
      <c r="F51" s="75"/>
      <c r="G51" s="75"/>
      <c r="H51" s="75"/>
      <c r="I51" s="75"/>
      <c r="K51" s="132"/>
    </row>
    <row r="52" spans="1:11" ht="15.75" x14ac:dyDescent="0.2">
      <c r="A52" s="72" t="s">
        <v>88</v>
      </c>
      <c r="B52" s="129">
        <v>2.078280578312095</v>
      </c>
      <c r="C52" s="83">
        <v>8.2611127929429529</v>
      </c>
      <c r="D52" s="83">
        <v>0</v>
      </c>
      <c r="E52" s="75"/>
      <c r="F52" s="75"/>
      <c r="G52" s="75"/>
      <c r="H52" s="75"/>
      <c r="I52" s="75"/>
      <c r="K52" s="132"/>
    </row>
    <row r="53" spans="1:11" ht="15.75" x14ac:dyDescent="0.2">
      <c r="A53" s="72" t="s">
        <v>108</v>
      </c>
      <c r="B53" s="83">
        <v>5.5892293060127969</v>
      </c>
      <c r="C53" s="83">
        <v>8.6647017672311328</v>
      </c>
      <c r="D53" s="83">
        <v>8.2484772586637245</v>
      </c>
      <c r="E53" s="83">
        <v>1.4901161193847656E-8</v>
      </c>
      <c r="F53" s="75"/>
      <c r="G53" s="75"/>
      <c r="H53" s="75"/>
      <c r="I53" s="75"/>
    </row>
    <row r="54" spans="1:11" ht="15.75" x14ac:dyDescent="0.2">
      <c r="A54" s="72" t="s">
        <v>109</v>
      </c>
      <c r="B54" s="83">
        <v>2.2849541747831834</v>
      </c>
      <c r="C54" s="83">
        <v>8.6005648756999129</v>
      </c>
      <c r="D54" s="83">
        <v>0.98201090995300089</v>
      </c>
      <c r="E54" s="83">
        <v>54.431853205327407</v>
      </c>
      <c r="F54" s="83">
        <v>0</v>
      </c>
      <c r="G54" s="75"/>
      <c r="I54" s="75"/>
      <c r="K54" s="132"/>
    </row>
    <row r="55" spans="1:11" ht="15.75" x14ac:dyDescent="0.2">
      <c r="A55" s="72" t="s">
        <v>136</v>
      </c>
      <c r="B55" s="131">
        <v>0.88468387876175347</v>
      </c>
      <c r="C55" s="131">
        <v>18.198004468578269</v>
      </c>
      <c r="D55" s="129">
        <v>1.1632162953528891</v>
      </c>
      <c r="E55" s="131">
        <v>21.105647830004912</v>
      </c>
      <c r="F55" s="129">
        <v>1.0508289566152209</v>
      </c>
      <c r="G55" s="83">
        <v>2.1073424255447021E-8</v>
      </c>
      <c r="I55" s="75"/>
      <c r="K55" s="132"/>
    </row>
    <row r="56" spans="1:11" ht="15.75" x14ac:dyDescent="0.2">
      <c r="A56" s="42"/>
      <c r="B56" s="72" t="s">
        <v>137</v>
      </c>
      <c r="C56" s="72" t="s">
        <v>107</v>
      </c>
      <c r="D56" s="72" t="s">
        <v>88</v>
      </c>
      <c r="E56" s="72" t="s">
        <v>108</v>
      </c>
      <c r="F56" s="72" t="s">
        <v>109</v>
      </c>
      <c r="G56" s="72" t="s">
        <v>136</v>
      </c>
      <c r="K56" s="132"/>
    </row>
    <row r="57" spans="1:11" x14ac:dyDescent="0.2">
      <c r="K57" s="132"/>
    </row>
    <row r="58" spans="1:11" x14ac:dyDescent="0.2">
      <c r="A58" s="42"/>
      <c r="B58" s="205" t="s">
        <v>134</v>
      </c>
      <c r="C58" s="205"/>
      <c r="D58" s="205"/>
      <c r="E58" s="205"/>
      <c r="F58" s="205"/>
      <c r="G58" s="205"/>
      <c r="H58" s="205"/>
      <c r="I58" s="205"/>
      <c r="K58" s="132"/>
    </row>
    <row r="59" spans="1:11" ht="15.75" x14ac:dyDescent="0.2">
      <c r="A59" s="72" t="s">
        <v>137</v>
      </c>
      <c r="B59" s="136">
        <v>2.1073424255447021E-8</v>
      </c>
      <c r="C59" s="75"/>
      <c r="D59" s="75"/>
      <c r="E59" s="75"/>
      <c r="F59" s="75"/>
      <c r="G59" s="75"/>
      <c r="H59" s="75"/>
      <c r="I59" s="75"/>
      <c r="K59" s="132"/>
    </row>
    <row r="60" spans="1:11" ht="15.75" x14ac:dyDescent="0.2">
      <c r="A60" s="72" t="s">
        <v>107</v>
      </c>
      <c r="B60" s="139">
        <v>4.0414494707465529</v>
      </c>
      <c r="C60" s="83">
        <v>0</v>
      </c>
      <c r="D60" s="75"/>
      <c r="E60" s="75"/>
      <c r="F60" s="75"/>
      <c r="G60" s="75"/>
      <c r="H60" s="75"/>
      <c r="I60" s="75"/>
      <c r="K60" s="132"/>
    </row>
    <row r="61" spans="1:11" ht="15.75" x14ac:dyDescent="0.2">
      <c r="A61" s="72" t="s">
        <v>88</v>
      </c>
      <c r="B61" s="139">
        <v>2.078280578312095</v>
      </c>
      <c r="C61" s="83">
        <v>8.2611127929429529</v>
      </c>
      <c r="D61" s="83">
        <v>0</v>
      </c>
      <c r="E61" s="75"/>
      <c r="F61" s="75"/>
      <c r="G61" s="75"/>
      <c r="H61" s="75"/>
      <c r="I61" s="75"/>
      <c r="K61" s="134" t="s">
        <v>147</v>
      </c>
    </row>
    <row r="62" spans="1:11" ht="15.75" x14ac:dyDescent="0.2">
      <c r="A62" s="72" t="s">
        <v>108</v>
      </c>
      <c r="B62" s="137">
        <v>5.5892293060127969</v>
      </c>
      <c r="C62" s="83">
        <v>8.6647017672311328</v>
      </c>
      <c r="D62" s="83">
        <v>8.2484772586637245</v>
      </c>
      <c r="E62" s="83">
        <v>1.4901161193847656E-8</v>
      </c>
      <c r="F62" s="75"/>
      <c r="G62" s="75"/>
      <c r="H62" s="75"/>
      <c r="I62" s="75"/>
      <c r="K62" s="132"/>
    </row>
    <row r="63" spans="1:11" ht="15.75" x14ac:dyDescent="0.2">
      <c r="A63" s="72" t="s">
        <v>109</v>
      </c>
      <c r="B63" s="137">
        <v>2.2849541747831834</v>
      </c>
      <c r="C63" s="83">
        <v>8.6005648756999129</v>
      </c>
      <c r="D63" s="83">
        <v>0.98201090995300089</v>
      </c>
      <c r="E63" s="83">
        <v>54.431853205327407</v>
      </c>
      <c r="F63" s="83">
        <v>0</v>
      </c>
      <c r="G63" s="75"/>
      <c r="I63" s="75"/>
      <c r="K63" s="132"/>
    </row>
    <row r="64" spans="1:11" ht="15.75" x14ac:dyDescent="0.2">
      <c r="A64" s="72" t="s">
        <v>136</v>
      </c>
      <c r="B64" s="146">
        <v>0.88468387876175347</v>
      </c>
      <c r="C64" s="141">
        <v>18.198004468578269</v>
      </c>
      <c r="D64" s="144">
        <v>1.1632162953528891</v>
      </c>
      <c r="E64" s="141">
        <v>21.105647830004912</v>
      </c>
      <c r="F64" s="144">
        <v>1.0508289566152209</v>
      </c>
      <c r="G64" s="145">
        <v>2.1073424255447021E-8</v>
      </c>
      <c r="I64" s="75"/>
      <c r="K64" s="132"/>
    </row>
    <row r="65" spans="1:30" ht="15.75" x14ac:dyDescent="0.2">
      <c r="A65" s="42"/>
      <c r="B65" s="72" t="s">
        <v>137</v>
      </c>
      <c r="C65" s="72" t="s">
        <v>107</v>
      </c>
      <c r="D65" s="72" t="s">
        <v>88</v>
      </c>
      <c r="E65" s="72" t="s">
        <v>108</v>
      </c>
      <c r="F65" s="72" t="s">
        <v>109</v>
      </c>
      <c r="G65" s="72" t="s">
        <v>136</v>
      </c>
      <c r="K65" s="132"/>
    </row>
    <row r="66" spans="1:30" x14ac:dyDescent="0.2">
      <c r="K66" s="132"/>
    </row>
    <row r="67" spans="1:30" x14ac:dyDescent="0.2">
      <c r="A67" s="42"/>
      <c r="B67" s="205" t="s">
        <v>134</v>
      </c>
      <c r="C67" s="205"/>
      <c r="D67" s="205"/>
      <c r="E67" s="205"/>
      <c r="F67" s="205"/>
      <c r="G67" s="205"/>
      <c r="H67" s="205"/>
      <c r="I67" s="205"/>
      <c r="K67" s="132"/>
    </row>
    <row r="68" spans="1:30" ht="15.75" x14ac:dyDescent="0.2">
      <c r="A68" s="72" t="s">
        <v>138</v>
      </c>
      <c r="B68" s="90">
        <v>2.1073424255447021E-8</v>
      </c>
      <c r="C68" s="75"/>
      <c r="D68" s="75"/>
      <c r="E68" s="75"/>
      <c r="F68" s="75"/>
      <c r="G68" s="75"/>
      <c r="H68" s="75"/>
      <c r="I68" s="75"/>
      <c r="K68" s="132"/>
    </row>
    <row r="69" spans="1:30" ht="15.75" x14ac:dyDescent="0.2">
      <c r="A69" s="72" t="s">
        <v>107</v>
      </c>
      <c r="B69" s="131">
        <v>18.198004468578269</v>
      </c>
      <c r="C69" s="83">
        <v>0</v>
      </c>
      <c r="D69" s="75"/>
      <c r="E69" s="75"/>
      <c r="F69" s="75"/>
      <c r="G69" s="75"/>
      <c r="H69" s="75"/>
      <c r="I69" s="75"/>
      <c r="K69" s="132"/>
    </row>
    <row r="70" spans="1:30" ht="15.75" x14ac:dyDescent="0.2">
      <c r="A70" s="72" t="s">
        <v>88</v>
      </c>
      <c r="B70" s="129">
        <v>2.078280578312095</v>
      </c>
      <c r="C70" s="83">
        <v>8.2611127929429529</v>
      </c>
      <c r="D70" s="83">
        <v>0</v>
      </c>
      <c r="E70" s="75"/>
      <c r="F70" s="75"/>
      <c r="G70" s="75"/>
      <c r="H70" s="75"/>
      <c r="I70" s="75"/>
      <c r="K70" s="132"/>
    </row>
    <row r="71" spans="1:30" ht="15.75" x14ac:dyDescent="0.2">
      <c r="A71" s="72" t="s">
        <v>108</v>
      </c>
      <c r="B71" s="131">
        <v>21.105647830004912</v>
      </c>
      <c r="C71" s="83">
        <v>8.6647017672311328</v>
      </c>
      <c r="D71" s="83">
        <v>8.2484772586637245</v>
      </c>
      <c r="E71" s="83">
        <v>1.4901161193847656E-8</v>
      </c>
      <c r="F71" s="75"/>
      <c r="G71" s="75"/>
      <c r="H71" s="75"/>
      <c r="I71" s="75"/>
      <c r="K71" s="132"/>
    </row>
    <row r="72" spans="1:30" ht="15.75" x14ac:dyDescent="0.2">
      <c r="A72" s="72" t="s">
        <v>109</v>
      </c>
      <c r="B72" s="83">
        <v>2.2849541747831834</v>
      </c>
      <c r="C72" s="83">
        <v>8.6005648756999129</v>
      </c>
      <c r="D72" s="83">
        <v>0.98201090995300089</v>
      </c>
      <c r="E72" s="83">
        <v>54.431853205327407</v>
      </c>
      <c r="F72" s="83">
        <v>0</v>
      </c>
      <c r="G72" s="75"/>
      <c r="I72" s="75"/>
      <c r="K72" s="132"/>
      <c r="L72" s="132"/>
      <c r="M72" s="132"/>
      <c r="N72" s="132"/>
      <c r="O72" s="132"/>
      <c r="P72" s="132"/>
      <c r="AC72" s="132"/>
      <c r="AD72" s="132"/>
    </row>
    <row r="73" spans="1:30" ht="15.75" x14ac:dyDescent="0.2">
      <c r="A73" s="42"/>
      <c r="B73" s="72" t="s">
        <v>138</v>
      </c>
      <c r="C73" s="72" t="s">
        <v>107</v>
      </c>
      <c r="D73" s="72" t="s">
        <v>88</v>
      </c>
      <c r="E73" s="72" t="s">
        <v>108</v>
      </c>
      <c r="F73" s="72" t="s">
        <v>109</v>
      </c>
      <c r="I73" s="75"/>
      <c r="K73" s="132"/>
      <c r="L73" s="132"/>
      <c r="M73" s="132"/>
      <c r="N73" s="132"/>
      <c r="O73" s="132"/>
      <c r="P73" s="132"/>
      <c r="AC73" s="132"/>
      <c r="AD73" s="132"/>
    </row>
    <row r="74" spans="1:30" x14ac:dyDescent="0.2">
      <c r="K74" s="132"/>
      <c r="L74" s="132"/>
      <c r="M74" s="132"/>
      <c r="N74" s="132"/>
      <c r="O74" s="132"/>
      <c r="P74" s="132"/>
      <c r="AC74" s="132"/>
      <c r="AD74" s="132"/>
    </row>
    <row r="75" spans="1:30" x14ac:dyDescent="0.2">
      <c r="A75" s="42"/>
      <c r="B75" s="205" t="s">
        <v>134</v>
      </c>
      <c r="C75" s="205"/>
      <c r="D75" s="205"/>
      <c r="E75" s="205"/>
      <c r="F75" s="205"/>
      <c r="G75" s="205"/>
      <c r="H75" s="205"/>
      <c r="I75" s="205"/>
      <c r="K75" s="132"/>
      <c r="L75" s="132"/>
      <c r="M75" s="132"/>
      <c r="N75" s="132"/>
      <c r="O75" s="132"/>
      <c r="P75" s="132"/>
      <c r="AC75" s="132"/>
      <c r="AD75" s="132"/>
    </row>
    <row r="76" spans="1:30" ht="15.75" x14ac:dyDescent="0.2">
      <c r="A76" s="72" t="s">
        <v>138</v>
      </c>
      <c r="B76" s="90">
        <v>2.1073424255447021E-8</v>
      </c>
      <c r="C76" s="75"/>
      <c r="D76" s="75"/>
      <c r="E76" s="75"/>
      <c r="F76" s="75"/>
      <c r="G76" s="75"/>
      <c r="H76" s="75"/>
      <c r="I76" s="75"/>
      <c r="K76" s="132"/>
      <c r="L76" s="132"/>
      <c r="M76" s="132"/>
      <c r="N76" s="132"/>
      <c r="O76" s="132"/>
      <c r="P76" s="132"/>
      <c r="AC76" s="132"/>
      <c r="AD76" s="132"/>
    </row>
    <row r="77" spans="1:30" ht="15.75" x14ac:dyDescent="0.2">
      <c r="A77" s="72" t="s">
        <v>107</v>
      </c>
      <c r="B77" s="131">
        <v>18.198004468578269</v>
      </c>
      <c r="C77" s="83">
        <v>0</v>
      </c>
      <c r="D77" s="75"/>
      <c r="E77" s="75"/>
      <c r="F77" s="75"/>
      <c r="G77" s="75"/>
      <c r="H77" s="75"/>
      <c r="I77" s="75"/>
      <c r="K77" s="132"/>
      <c r="L77" s="132"/>
      <c r="M77" s="132"/>
      <c r="N77" s="132"/>
      <c r="O77" s="132"/>
      <c r="P77" s="132"/>
      <c r="AC77" s="132"/>
      <c r="AD77" s="132"/>
    </row>
    <row r="78" spans="1:30" ht="15.75" x14ac:dyDescent="0.2">
      <c r="A78" s="72" t="s">
        <v>88</v>
      </c>
      <c r="B78" s="139">
        <v>2.078280578312095</v>
      </c>
      <c r="C78" s="137">
        <v>8.2611127929429529</v>
      </c>
      <c r="D78" s="137">
        <v>0</v>
      </c>
      <c r="E78" s="75"/>
      <c r="F78" s="75"/>
      <c r="G78" s="75"/>
      <c r="H78" s="75"/>
      <c r="I78" s="75"/>
      <c r="K78" s="132"/>
      <c r="L78" s="132"/>
      <c r="M78" s="132"/>
      <c r="N78" s="132"/>
      <c r="O78" s="132"/>
      <c r="P78" s="132"/>
      <c r="AC78" s="132"/>
      <c r="AD78" s="132"/>
    </row>
    <row r="79" spans="1:30" ht="15.75" x14ac:dyDescent="0.2">
      <c r="A79" s="72" t="s">
        <v>108</v>
      </c>
      <c r="B79" s="131">
        <v>21.105647830004912</v>
      </c>
      <c r="C79" s="83">
        <v>8.6647017672311328</v>
      </c>
      <c r="D79" s="137">
        <v>8.2484772586637245</v>
      </c>
      <c r="E79" s="83">
        <v>1.4901161193847656E-8</v>
      </c>
      <c r="F79" s="75"/>
      <c r="G79" s="75"/>
      <c r="H79" s="75"/>
      <c r="I79" s="75"/>
      <c r="K79" s="134" t="s">
        <v>148</v>
      </c>
      <c r="L79" s="132"/>
      <c r="M79" s="132"/>
      <c r="N79" s="132"/>
      <c r="O79" s="132"/>
      <c r="P79" s="132"/>
      <c r="AC79" s="132"/>
      <c r="AD79" s="132"/>
    </row>
    <row r="80" spans="1:30" ht="15.75" x14ac:dyDescent="0.2">
      <c r="A80" s="72" t="s">
        <v>109</v>
      </c>
      <c r="B80" s="145">
        <v>2.2849541747831834</v>
      </c>
      <c r="C80" s="145">
        <v>8.6005648756999129</v>
      </c>
      <c r="D80" s="147">
        <v>0.98201090995300089</v>
      </c>
      <c r="E80" s="145">
        <v>54.431853205327407</v>
      </c>
      <c r="F80" s="145">
        <v>0</v>
      </c>
      <c r="G80" s="75"/>
      <c r="I80" s="75"/>
      <c r="K80" s="132"/>
      <c r="L80" s="132"/>
      <c r="M80" s="132"/>
      <c r="N80" s="132"/>
      <c r="O80" s="132"/>
      <c r="P80" s="132"/>
      <c r="AC80" s="132"/>
      <c r="AD80" s="132"/>
    </row>
    <row r="81" spans="1:30" ht="15.75" x14ac:dyDescent="0.2">
      <c r="A81" s="42"/>
      <c r="B81" s="72" t="s">
        <v>138</v>
      </c>
      <c r="C81" s="72" t="s">
        <v>107</v>
      </c>
      <c r="D81" s="72" t="s">
        <v>88</v>
      </c>
      <c r="E81" s="72" t="s">
        <v>108</v>
      </c>
      <c r="F81" s="72" t="s">
        <v>109</v>
      </c>
      <c r="I81" s="75"/>
      <c r="K81" s="132"/>
      <c r="L81" s="132"/>
      <c r="M81" s="132"/>
      <c r="N81" s="132"/>
      <c r="O81" s="132"/>
      <c r="P81" s="132"/>
      <c r="AC81" s="132"/>
      <c r="AD81" s="132"/>
    </row>
    <row r="82" spans="1:30" x14ac:dyDescent="0.2">
      <c r="K82" s="132"/>
      <c r="L82" s="132"/>
      <c r="M82" s="132"/>
      <c r="N82" s="132"/>
      <c r="O82" s="132"/>
      <c r="P82" s="132"/>
      <c r="AC82" s="132"/>
      <c r="AD82" s="132"/>
    </row>
    <row r="83" spans="1:30" x14ac:dyDescent="0.2">
      <c r="A83" s="42"/>
      <c r="B83" s="205" t="s">
        <v>134</v>
      </c>
      <c r="C83" s="205"/>
      <c r="D83" s="205"/>
      <c r="E83" s="205"/>
      <c r="F83" s="205"/>
      <c r="G83" s="205"/>
      <c r="H83" s="205"/>
      <c r="I83" s="205"/>
      <c r="K83" s="132"/>
      <c r="L83" s="132"/>
      <c r="M83" s="132"/>
      <c r="N83" s="132"/>
      <c r="O83" s="132"/>
      <c r="P83" s="132"/>
    </row>
    <row r="84" spans="1:30" ht="15.75" x14ac:dyDescent="0.2">
      <c r="A84" s="72" t="s">
        <v>138</v>
      </c>
      <c r="B84" s="90">
        <v>2.1073424255447021E-8</v>
      </c>
      <c r="C84" s="75"/>
      <c r="D84" s="75"/>
      <c r="E84" s="75"/>
      <c r="F84" s="75"/>
      <c r="G84" s="75"/>
      <c r="H84" s="75"/>
      <c r="I84" s="75"/>
      <c r="L84" s="132"/>
      <c r="M84" s="132"/>
      <c r="N84" s="132"/>
      <c r="O84" s="132"/>
      <c r="P84" s="132"/>
    </row>
    <row r="85" spans="1:30" ht="15.75" x14ac:dyDescent="0.2">
      <c r="A85" s="72" t="s">
        <v>107</v>
      </c>
      <c r="B85" s="131">
        <v>18.198004468578269</v>
      </c>
      <c r="C85" s="83">
        <v>0</v>
      </c>
      <c r="D85" s="75"/>
      <c r="E85" s="75"/>
      <c r="F85" s="75"/>
      <c r="G85" s="75"/>
      <c r="H85" s="75"/>
      <c r="I85" s="75"/>
      <c r="L85" s="132"/>
      <c r="M85" s="132"/>
      <c r="N85" s="132"/>
      <c r="O85" s="132"/>
      <c r="P85" s="132"/>
    </row>
    <row r="86" spans="1:30" ht="15.75" x14ac:dyDescent="0.2">
      <c r="A86" s="72" t="s">
        <v>139</v>
      </c>
      <c r="B86" s="83">
        <v>2.2849541747831834</v>
      </c>
      <c r="C86" s="83">
        <v>8.6005648756999129</v>
      </c>
      <c r="D86" s="83">
        <v>0</v>
      </c>
      <c r="E86" s="75"/>
      <c r="F86" s="75"/>
      <c r="G86" s="75"/>
      <c r="H86" s="75"/>
      <c r="I86" s="75"/>
      <c r="L86" s="132"/>
      <c r="M86" s="132"/>
      <c r="N86" s="132"/>
      <c r="O86" s="132"/>
      <c r="P86" s="132"/>
    </row>
    <row r="87" spans="1:30" ht="15.75" x14ac:dyDescent="0.2">
      <c r="A87" s="72" t="s">
        <v>108</v>
      </c>
      <c r="B87" s="131">
        <v>21.105647830004912</v>
      </c>
      <c r="C87" s="83">
        <v>8.6647017672311328</v>
      </c>
      <c r="D87" s="83">
        <v>54.431853205327407</v>
      </c>
      <c r="E87" s="83">
        <v>1.4901161193847656E-8</v>
      </c>
      <c r="F87" s="75"/>
      <c r="G87" s="75"/>
      <c r="H87" s="75"/>
      <c r="I87" s="75"/>
      <c r="L87" s="132"/>
      <c r="M87" s="132"/>
      <c r="N87" s="132"/>
      <c r="O87" s="132"/>
      <c r="P87" s="132"/>
    </row>
    <row r="88" spans="1:30" ht="15.75" x14ac:dyDescent="0.2">
      <c r="A88" s="42"/>
      <c r="B88" s="72" t="s">
        <v>138</v>
      </c>
      <c r="C88" s="72" t="s">
        <v>107</v>
      </c>
      <c r="D88" s="72" t="s">
        <v>139</v>
      </c>
      <c r="E88" s="72" t="s">
        <v>108</v>
      </c>
      <c r="F88" s="75"/>
      <c r="G88" s="75"/>
      <c r="I88" s="75"/>
      <c r="L88" s="132"/>
      <c r="M88" s="132"/>
      <c r="N88" s="132"/>
      <c r="O88" s="132"/>
      <c r="P88" s="132"/>
    </row>
    <row r="89" spans="1:30" x14ac:dyDescent="0.2">
      <c r="I89" s="75"/>
      <c r="L89" s="132"/>
      <c r="M89" s="132"/>
      <c r="N89" s="132"/>
      <c r="O89" s="132"/>
      <c r="P89" s="132"/>
    </row>
    <row r="90" spans="1:30" x14ac:dyDescent="0.2">
      <c r="A90" s="42"/>
      <c r="B90" s="205" t="s">
        <v>134</v>
      </c>
      <c r="C90" s="205"/>
      <c r="D90" s="205"/>
      <c r="E90" s="205"/>
      <c r="F90" s="205"/>
      <c r="G90" s="205"/>
      <c r="H90" s="205"/>
      <c r="I90" s="205"/>
      <c r="L90" s="132"/>
      <c r="M90" s="132"/>
      <c r="N90" s="132"/>
      <c r="O90" s="132"/>
      <c r="P90" s="132"/>
    </row>
    <row r="91" spans="1:30" ht="15.75" x14ac:dyDescent="0.2">
      <c r="A91" s="72" t="s">
        <v>138</v>
      </c>
      <c r="B91" s="136">
        <v>2.1073424255447021E-8</v>
      </c>
      <c r="C91" s="75"/>
      <c r="D91" s="75"/>
      <c r="E91" s="75"/>
      <c r="F91" s="75"/>
      <c r="G91" s="75"/>
      <c r="H91" s="75"/>
      <c r="I91" s="75"/>
      <c r="L91" s="132"/>
      <c r="M91" s="132"/>
      <c r="N91" s="132"/>
      <c r="O91" s="132"/>
      <c r="P91" s="132"/>
    </row>
    <row r="92" spans="1:30" ht="15.75" x14ac:dyDescent="0.2">
      <c r="A92" s="72" t="s">
        <v>107</v>
      </c>
      <c r="B92" s="138">
        <v>18.198004468578269</v>
      </c>
      <c r="C92" s="83">
        <v>0</v>
      </c>
      <c r="D92" s="75"/>
      <c r="E92" s="75"/>
      <c r="F92" s="75"/>
      <c r="G92" s="75"/>
      <c r="H92" s="75"/>
      <c r="I92" s="75"/>
      <c r="L92" s="132"/>
      <c r="M92" s="132"/>
      <c r="N92" s="132"/>
      <c r="O92" s="132"/>
      <c r="P92" s="132"/>
    </row>
    <row r="93" spans="1:30" ht="15.75" x14ac:dyDescent="0.2">
      <c r="A93" s="72" t="s">
        <v>139</v>
      </c>
      <c r="B93" s="147">
        <v>2.2849541747831834</v>
      </c>
      <c r="C93" s="145">
        <v>8.6005648756999129</v>
      </c>
      <c r="D93" s="145">
        <v>0</v>
      </c>
      <c r="E93" s="75"/>
      <c r="F93" s="75"/>
      <c r="G93" s="75"/>
      <c r="H93" s="75"/>
      <c r="I93" s="75"/>
      <c r="K93" s="134" t="s">
        <v>149</v>
      </c>
      <c r="L93" s="132"/>
      <c r="M93" s="132"/>
      <c r="N93" s="132"/>
      <c r="O93" s="132"/>
      <c r="P93" s="132"/>
    </row>
    <row r="94" spans="1:30" ht="15.75" x14ac:dyDescent="0.2">
      <c r="A94" s="72" t="s">
        <v>108</v>
      </c>
      <c r="B94" s="138">
        <v>21.105647830004912</v>
      </c>
      <c r="C94" s="83">
        <v>8.6647017672311328</v>
      </c>
      <c r="D94" s="145">
        <v>54.431853205327407</v>
      </c>
      <c r="E94" s="83">
        <v>1.4901161193847656E-8</v>
      </c>
      <c r="F94" s="75"/>
      <c r="G94" s="75"/>
      <c r="H94" s="75"/>
      <c r="I94" s="75"/>
      <c r="L94" s="132"/>
      <c r="M94" s="132"/>
      <c r="N94" s="132"/>
      <c r="O94" s="132"/>
      <c r="P94" s="132"/>
    </row>
    <row r="95" spans="1:30" ht="15.75" x14ac:dyDescent="0.2">
      <c r="A95" s="42"/>
      <c r="B95" s="72" t="s">
        <v>138</v>
      </c>
      <c r="C95" s="72" t="s">
        <v>107</v>
      </c>
      <c r="D95" s="72" t="s">
        <v>139</v>
      </c>
      <c r="E95" s="72" t="s">
        <v>108</v>
      </c>
      <c r="F95" s="75"/>
      <c r="G95" s="75"/>
      <c r="I95" s="75"/>
      <c r="L95" s="132"/>
      <c r="M95" s="132"/>
      <c r="N95" s="132"/>
      <c r="O95" s="132"/>
      <c r="P95" s="132"/>
    </row>
    <row r="96" spans="1:30" x14ac:dyDescent="0.2">
      <c r="L96" s="132"/>
      <c r="M96" s="132"/>
      <c r="N96" s="132"/>
      <c r="O96" s="132"/>
      <c r="P96" s="132"/>
    </row>
    <row r="97" spans="1:16" x14ac:dyDescent="0.2">
      <c r="A97" s="42"/>
      <c r="B97" s="205" t="s">
        <v>134</v>
      </c>
      <c r="C97" s="205"/>
      <c r="D97" s="205"/>
      <c r="E97" s="205"/>
      <c r="F97" s="205"/>
      <c r="G97" s="205"/>
      <c r="H97" s="205"/>
      <c r="I97" s="205"/>
      <c r="L97" s="132"/>
      <c r="M97" s="132"/>
      <c r="N97" s="132"/>
      <c r="O97" s="132"/>
      <c r="P97" s="132"/>
    </row>
    <row r="98" spans="1:16" ht="15.75" x14ac:dyDescent="0.2">
      <c r="A98" s="72" t="s">
        <v>140</v>
      </c>
      <c r="B98" s="90">
        <v>2.1073424255447021E-8</v>
      </c>
      <c r="C98" s="75"/>
      <c r="D98" s="75"/>
      <c r="E98" s="75"/>
      <c r="F98" s="75"/>
      <c r="G98" s="75"/>
      <c r="H98" s="75"/>
      <c r="L98" s="132"/>
      <c r="M98" s="132"/>
      <c r="N98" s="132"/>
      <c r="O98" s="132"/>
      <c r="P98" s="132"/>
    </row>
    <row r="99" spans="1:16" ht="15.75" x14ac:dyDescent="0.2">
      <c r="A99" s="72" t="s">
        <v>107</v>
      </c>
      <c r="B99" s="131">
        <v>18.198004468578269</v>
      </c>
      <c r="C99" s="83">
        <v>0</v>
      </c>
      <c r="D99" s="75"/>
      <c r="E99" s="75"/>
      <c r="F99" s="75"/>
      <c r="G99" s="75"/>
      <c r="H99" s="75"/>
      <c r="L99" s="132"/>
      <c r="M99" s="132"/>
      <c r="N99" s="132"/>
      <c r="O99" s="132"/>
      <c r="P99" s="132"/>
    </row>
    <row r="100" spans="1:16" ht="15.75" x14ac:dyDescent="0.2">
      <c r="A100" s="72" t="s">
        <v>108</v>
      </c>
      <c r="B100" s="83">
        <v>54.431853205327407</v>
      </c>
      <c r="C100" s="83">
        <v>8.6647017672311328</v>
      </c>
      <c r="D100" s="83">
        <v>1.4901161193847656E-8</v>
      </c>
      <c r="E100" s="75"/>
      <c r="F100" s="75"/>
      <c r="G100" s="75"/>
      <c r="H100" s="75"/>
      <c r="L100" s="132"/>
      <c r="M100" s="132"/>
      <c r="N100" s="132"/>
      <c r="O100" s="132"/>
      <c r="P100" s="132"/>
    </row>
    <row r="101" spans="1:16" ht="15.75" x14ac:dyDescent="0.2">
      <c r="A101" s="42"/>
      <c r="B101" s="72" t="s">
        <v>140</v>
      </c>
      <c r="C101" s="72" t="s">
        <v>107</v>
      </c>
      <c r="D101" s="72" t="s">
        <v>108</v>
      </c>
      <c r="E101" s="75"/>
      <c r="F101" s="75"/>
      <c r="H101" s="75"/>
      <c r="L101" s="132"/>
      <c r="M101" s="132"/>
      <c r="N101" s="132"/>
      <c r="O101" s="132"/>
      <c r="P101" s="132"/>
    </row>
    <row r="102" spans="1:16" x14ac:dyDescent="0.2">
      <c r="L102" s="132"/>
      <c r="M102" s="132"/>
      <c r="N102" s="132"/>
      <c r="O102" s="132"/>
      <c r="P102" s="132"/>
    </row>
    <row r="103" spans="1:16" x14ac:dyDescent="0.2">
      <c r="A103" s="42"/>
      <c r="B103" s="205" t="s">
        <v>134</v>
      </c>
      <c r="C103" s="205"/>
      <c r="D103" s="205"/>
      <c r="E103" s="205"/>
      <c r="F103" s="205"/>
      <c r="G103" s="205"/>
      <c r="H103" s="205"/>
      <c r="I103" s="205"/>
      <c r="L103" s="132"/>
      <c r="M103" s="132"/>
      <c r="N103" s="132"/>
      <c r="O103" s="132"/>
      <c r="P103" s="132"/>
    </row>
    <row r="104" spans="1:16" ht="15.75" x14ac:dyDescent="0.2">
      <c r="A104" s="72" t="s">
        <v>140</v>
      </c>
      <c r="B104" s="90">
        <v>2.1073424255447021E-8</v>
      </c>
      <c r="C104" s="75"/>
      <c r="D104" s="75"/>
      <c r="E104" s="75"/>
      <c r="F104" s="75"/>
      <c r="G104" s="75"/>
      <c r="H104" s="75"/>
      <c r="L104" s="132"/>
      <c r="M104" s="132"/>
      <c r="N104" s="132"/>
      <c r="O104" s="132"/>
      <c r="P104" s="132"/>
    </row>
    <row r="105" spans="1:16" ht="15.75" x14ac:dyDescent="0.2">
      <c r="A105" s="72" t="s">
        <v>107</v>
      </c>
      <c r="B105" s="138">
        <v>18.198004468578269</v>
      </c>
      <c r="C105" s="137">
        <v>0</v>
      </c>
      <c r="D105" s="75"/>
      <c r="E105" s="75"/>
      <c r="F105" s="75"/>
      <c r="G105" s="75"/>
      <c r="H105" s="75"/>
      <c r="K105" s="134" t="s">
        <v>150</v>
      </c>
      <c r="L105" s="132"/>
      <c r="M105" s="132"/>
      <c r="N105" s="132"/>
      <c r="O105" s="132"/>
      <c r="P105" s="132"/>
    </row>
    <row r="106" spans="1:16" ht="15.75" x14ac:dyDescent="0.2">
      <c r="A106" s="72" t="s">
        <v>108</v>
      </c>
      <c r="B106" s="145">
        <v>54.431853205327407</v>
      </c>
      <c r="C106" s="147">
        <v>8.6647017672311328</v>
      </c>
      <c r="D106" s="145">
        <v>1.4901161193847656E-8</v>
      </c>
      <c r="E106" s="75"/>
      <c r="F106" s="75"/>
      <c r="G106" s="75"/>
      <c r="H106" s="75"/>
      <c r="L106" s="132"/>
      <c r="M106" s="132"/>
      <c r="N106" s="132"/>
      <c r="O106" s="132"/>
      <c r="P106" s="132"/>
    </row>
    <row r="107" spans="1:16" ht="15.75" x14ac:dyDescent="0.2">
      <c r="A107" s="42"/>
      <c r="B107" s="72" t="s">
        <v>140</v>
      </c>
      <c r="C107" s="72" t="s">
        <v>107</v>
      </c>
      <c r="D107" s="72" t="s">
        <v>108</v>
      </c>
      <c r="E107" s="75"/>
      <c r="F107" s="75"/>
      <c r="H107" s="75"/>
      <c r="L107" s="132"/>
      <c r="M107" s="132"/>
      <c r="N107" s="132"/>
      <c r="O107" s="132"/>
      <c r="P107" s="132"/>
    </row>
    <row r="108" spans="1:16" x14ac:dyDescent="0.2">
      <c r="L108" s="132"/>
      <c r="M108" s="132"/>
      <c r="N108" s="132"/>
      <c r="O108" s="132"/>
      <c r="P108" s="132"/>
    </row>
    <row r="109" spans="1:16" x14ac:dyDescent="0.2">
      <c r="A109" s="42"/>
      <c r="B109" s="205" t="s">
        <v>134</v>
      </c>
      <c r="C109" s="205"/>
      <c r="D109" s="205"/>
      <c r="E109" s="205"/>
      <c r="F109" s="205"/>
      <c r="G109" s="205"/>
      <c r="H109" s="205"/>
      <c r="I109" s="205"/>
      <c r="L109" s="132"/>
      <c r="M109" s="132"/>
      <c r="N109" s="132"/>
      <c r="O109" s="132"/>
      <c r="P109" s="132"/>
    </row>
    <row r="110" spans="1:16" ht="15.75" x14ac:dyDescent="0.2">
      <c r="A110" s="72" t="s">
        <v>140</v>
      </c>
      <c r="B110" s="90">
        <v>2.1073424255447021E-8</v>
      </c>
      <c r="C110" s="75"/>
      <c r="D110" s="75"/>
      <c r="E110" s="75"/>
      <c r="F110" s="75"/>
      <c r="G110" s="75"/>
      <c r="H110" s="75"/>
      <c r="L110" s="132"/>
      <c r="M110" s="132"/>
      <c r="N110" s="132"/>
      <c r="O110" s="132"/>
      <c r="P110" s="132"/>
    </row>
    <row r="111" spans="1:16" ht="15.75" x14ac:dyDescent="0.2">
      <c r="A111" s="72" t="s">
        <v>141</v>
      </c>
      <c r="B111" s="83">
        <v>54.431853205327407</v>
      </c>
      <c r="C111" s="83">
        <v>0</v>
      </c>
      <c r="D111" s="75"/>
      <c r="E111" s="75"/>
      <c r="F111" s="75"/>
      <c r="G111" s="75"/>
      <c r="H111" s="75"/>
      <c r="L111" s="132"/>
      <c r="M111" s="132"/>
      <c r="N111" s="132"/>
      <c r="O111" s="132"/>
      <c r="P111" s="132"/>
    </row>
    <row r="112" spans="1:16" ht="15.75" x14ac:dyDescent="0.2">
      <c r="A112" s="42"/>
      <c r="B112" s="72" t="s">
        <v>140</v>
      </c>
      <c r="C112" s="72" t="s">
        <v>141</v>
      </c>
      <c r="D112" s="75"/>
      <c r="E112" s="75"/>
      <c r="F112" s="75"/>
      <c r="G112" s="75"/>
      <c r="H112" s="75"/>
      <c r="L112" s="132"/>
      <c r="M112" s="132"/>
      <c r="N112" s="132"/>
      <c r="O112" s="132"/>
      <c r="P112" s="132"/>
    </row>
    <row r="113" spans="1:16" x14ac:dyDescent="0.2">
      <c r="E113" s="75"/>
      <c r="F113" s="75"/>
      <c r="H113" s="75"/>
      <c r="L113" s="132"/>
      <c r="M113" s="132"/>
      <c r="N113" s="132"/>
      <c r="O113" s="132"/>
      <c r="P113" s="132"/>
    </row>
    <row r="114" spans="1:16" x14ac:dyDescent="0.2">
      <c r="A114" s="42"/>
      <c r="B114" s="205" t="s">
        <v>134</v>
      </c>
      <c r="C114" s="205"/>
      <c r="D114" s="205"/>
      <c r="E114" s="205"/>
      <c r="F114" s="205"/>
      <c r="G114" s="205"/>
      <c r="H114" s="205"/>
      <c r="I114" s="205"/>
      <c r="L114" s="132"/>
      <c r="M114" s="132"/>
      <c r="N114" s="132"/>
      <c r="O114" s="132"/>
      <c r="P114" s="132"/>
    </row>
    <row r="115" spans="1:16" ht="15.75" x14ac:dyDescent="0.2">
      <c r="A115" s="72" t="s">
        <v>140</v>
      </c>
      <c r="B115" s="90">
        <v>2.1073424255447021E-8</v>
      </c>
      <c r="C115" s="75"/>
      <c r="D115" s="75"/>
      <c r="E115" s="75"/>
      <c r="F115" s="75"/>
      <c r="G115" s="75"/>
      <c r="H115" s="75"/>
      <c r="L115" s="132"/>
      <c r="M115" s="132"/>
      <c r="N115" s="132"/>
      <c r="O115" s="132"/>
      <c r="P115" s="132"/>
    </row>
    <row r="116" spans="1:16" ht="15.75" x14ac:dyDescent="0.2">
      <c r="A116" s="72" t="s">
        <v>141</v>
      </c>
      <c r="B116" s="147">
        <v>54.431853205327407</v>
      </c>
      <c r="C116" s="83">
        <v>0</v>
      </c>
      <c r="D116" s="75"/>
      <c r="E116" s="75"/>
      <c r="F116" s="75"/>
      <c r="G116" s="75"/>
      <c r="H116" s="75"/>
      <c r="K116" s="134" t="s">
        <v>151</v>
      </c>
      <c r="L116" s="132"/>
      <c r="M116" s="132"/>
      <c r="N116" s="132"/>
      <c r="O116" s="132"/>
      <c r="P116" s="132"/>
    </row>
    <row r="117" spans="1:16" ht="15.75" x14ac:dyDescent="0.2">
      <c r="A117" s="42"/>
      <c r="B117" s="72" t="s">
        <v>140</v>
      </c>
      <c r="C117" s="72" t="s">
        <v>141</v>
      </c>
      <c r="D117" s="75"/>
      <c r="E117" s="75"/>
      <c r="F117" s="75"/>
      <c r="G117" s="75"/>
      <c r="H117" s="75"/>
      <c r="L117" s="132"/>
      <c r="M117" s="132"/>
      <c r="N117" s="132"/>
      <c r="O117" s="132"/>
      <c r="P117" s="132"/>
    </row>
    <row r="118" spans="1:16" x14ac:dyDescent="0.2">
      <c r="L118" s="132"/>
      <c r="M118" s="132"/>
      <c r="N118" s="132"/>
      <c r="O118" s="132"/>
      <c r="P118" s="132"/>
    </row>
    <row r="119" spans="1:16" x14ac:dyDescent="0.2">
      <c r="A119" s="42"/>
      <c r="B119" s="205" t="s">
        <v>134</v>
      </c>
      <c r="C119" s="205"/>
      <c r="D119" s="205"/>
      <c r="E119" s="205"/>
      <c r="F119" s="205"/>
      <c r="G119" s="205"/>
      <c r="H119" s="205"/>
      <c r="I119" s="205"/>
      <c r="L119" s="132"/>
      <c r="M119" s="132"/>
      <c r="N119" s="132"/>
      <c r="O119" s="132"/>
      <c r="P119" s="132"/>
    </row>
    <row r="120" spans="1:16" ht="15.75" x14ac:dyDescent="0.2">
      <c r="A120" s="72" t="s">
        <v>142</v>
      </c>
      <c r="B120" s="90">
        <v>2.1073424255447021E-8</v>
      </c>
      <c r="C120" s="75"/>
      <c r="D120" s="75"/>
      <c r="E120" s="75"/>
      <c r="F120" s="75"/>
      <c r="G120" s="75"/>
      <c r="H120" s="75"/>
      <c r="L120" s="132"/>
      <c r="M120" s="132"/>
      <c r="N120" s="132"/>
      <c r="O120" s="132"/>
      <c r="P120" s="132"/>
    </row>
    <row r="121" spans="1:16" ht="15.75" x14ac:dyDescent="0.2">
      <c r="A121" s="42"/>
      <c r="B121" s="72" t="s">
        <v>142</v>
      </c>
      <c r="C121" s="75"/>
      <c r="D121" s="75"/>
      <c r="E121" s="75"/>
      <c r="F121" s="75"/>
      <c r="G121" s="75"/>
      <c r="H121" s="75"/>
      <c r="L121" s="132"/>
      <c r="M121" s="132"/>
      <c r="N121" s="132"/>
      <c r="O121" s="132"/>
      <c r="P121" s="132"/>
    </row>
    <row r="122" spans="1:16" x14ac:dyDescent="0.2">
      <c r="L122" s="132"/>
      <c r="M122" s="132"/>
      <c r="N122" s="132"/>
      <c r="O122" s="132"/>
      <c r="P122" s="132"/>
    </row>
    <row r="123" spans="1:16" x14ac:dyDescent="0.2">
      <c r="A123" s="206" t="s">
        <v>152</v>
      </c>
      <c r="B123" s="206"/>
      <c r="C123" s="206"/>
      <c r="D123" s="206"/>
      <c r="E123" s="206"/>
      <c r="F123" s="206"/>
      <c r="G123" s="206"/>
      <c r="H123" s="206"/>
      <c r="I123" s="206"/>
      <c r="L123" s="132"/>
      <c r="M123" s="132"/>
      <c r="N123" s="132"/>
      <c r="O123" s="132"/>
      <c r="P123" s="132"/>
    </row>
    <row r="124" spans="1:16" x14ac:dyDescent="0.2">
      <c r="A124" s="205" t="s">
        <v>135</v>
      </c>
      <c r="B124" s="205"/>
      <c r="C124" s="205"/>
      <c r="D124" s="205"/>
      <c r="E124" s="205"/>
      <c r="F124" s="205"/>
      <c r="G124" s="205"/>
      <c r="H124" s="205"/>
      <c r="I124" s="205"/>
      <c r="L124" s="132"/>
    </row>
    <row r="125" spans="1:16" x14ac:dyDescent="0.2">
      <c r="A125" s="42"/>
      <c r="B125" s="205" t="s">
        <v>134</v>
      </c>
      <c r="C125" s="205"/>
      <c r="D125" s="205"/>
      <c r="E125" s="205"/>
      <c r="F125" s="205"/>
      <c r="G125" s="205"/>
      <c r="H125" s="205"/>
      <c r="I125" s="205"/>
      <c r="L125" s="132"/>
    </row>
    <row r="126" spans="1:16" ht="15.75" x14ac:dyDescent="0.2">
      <c r="A126" s="72" t="s">
        <v>106</v>
      </c>
      <c r="B126" s="90">
        <v>2.1073424255447021E-8</v>
      </c>
      <c r="C126" s="75"/>
      <c r="D126" s="75"/>
      <c r="E126" s="75"/>
      <c r="F126" s="75"/>
      <c r="G126" s="75"/>
      <c r="H126" s="75"/>
      <c r="I126" s="75"/>
      <c r="L126" s="132"/>
    </row>
    <row r="127" spans="1:16" ht="15.75" x14ac:dyDescent="0.2">
      <c r="A127" s="72" t="s">
        <v>107</v>
      </c>
      <c r="B127" s="90">
        <v>3.7640819497973248</v>
      </c>
      <c r="C127" s="83">
        <v>0</v>
      </c>
      <c r="D127" s="75"/>
      <c r="E127" s="75"/>
      <c r="F127" s="75"/>
      <c r="G127" s="75"/>
      <c r="H127" s="75"/>
      <c r="I127" s="75"/>
      <c r="L127" s="132"/>
    </row>
    <row r="128" spans="1:16" ht="15.75" x14ac:dyDescent="0.2">
      <c r="A128" s="72" t="s">
        <v>88</v>
      </c>
      <c r="B128" s="90">
        <v>1.7813497873098052</v>
      </c>
      <c r="C128" s="83">
        <v>8.2611127929429529</v>
      </c>
      <c r="D128" s="83">
        <v>0</v>
      </c>
      <c r="E128" s="75"/>
      <c r="F128" s="75"/>
      <c r="G128" s="75"/>
      <c r="H128" s="75"/>
      <c r="I128" s="75"/>
      <c r="L128" s="132"/>
    </row>
    <row r="129" spans="1:12" ht="15.75" x14ac:dyDescent="0.2">
      <c r="A129" s="72" t="s">
        <v>108</v>
      </c>
      <c r="B129" s="90">
        <v>3.3907712123640699</v>
      </c>
      <c r="C129" s="83">
        <v>8.6647017672311328</v>
      </c>
      <c r="D129" s="83">
        <v>8.2484772586637245</v>
      </c>
      <c r="E129" s="83">
        <v>1.4901161193847656E-8</v>
      </c>
      <c r="F129" s="75"/>
      <c r="G129" s="75"/>
      <c r="H129" s="75"/>
      <c r="I129" s="75"/>
      <c r="L129" s="132"/>
    </row>
    <row r="130" spans="1:12" ht="15.75" x14ac:dyDescent="0.2">
      <c r="A130" s="72" t="s">
        <v>90</v>
      </c>
      <c r="B130" s="90">
        <v>0.51795734788154046</v>
      </c>
      <c r="C130" s="83">
        <v>4.0414494707465529</v>
      </c>
      <c r="D130" s="83">
        <v>2.078280578312095</v>
      </c>
      <c r="E130" s="83">
        <v>5.5892293060127969</v>
      </c>
      <c r="F130" s="83">
        <v>1.4901161193847656E-8</v>
      </c>
      <c r="G130" s="75"/>
      <c r="H130" s="75"/>
      <c r="I130" s="75"/>
      <c r="L130" s="132"/>
    </row>
    <row r="131" spans="1:12" ht="15.75" x14ac:dyDescent="0.2">
      <c r="A131" s="72" t="s">
        <v>109</v>
      </c>
      <c r="B131" s="90">
        <v>1.341284514341615</v>
      </c>
      <c r="C131" s="83">
        <v>8.6005648756999129</v>
      </c>
      <c r="D131" s="83">
        <v>0.98201090995300089</v>
      </c>
      <c r="E131" s="83">
        <v>54.431853205327407</v>
      </c>
      <c r="F131" s="83">
        <v>2.2849541747831834</v>
      </c>
      <c r="G131" s="83">
        <v>0</v>
      </c>
      <c r="H131" s="75"/>
      <c r="I131" s="75"/>
      <c r="L131" s="132"/>
    </row>
    <row r="132" spans="1:12" ht="15.75" x14ac:dyDescent="0.2">
      <c r="A132" s="72" t="s">
        <v>110</v>
      </c>
      <c r="B132" s="97">
        <v>0.62452215962641133</v>
      </c>
      <c r="C132" s="95">
        <v>8.8171853750373739</v>
      </c>
      <c r="D132" s="94">
        <v>1.1632162953528891</v>
      </c>
      <c r="E132" s="95">
        <v>15.401935076718937</v>
      </c>
      <c r="F132" s="95">
        <v>0.60921180372454442</v>
      </c>
      <c r="G132" s="94">
        <v>1.0508289566152209</v>
      </c>
      <c r="H132" s="83">
        <v>2.1073424255447021E-8</v>
      </c>
      <c r="I132" s="75"/>
      <c r="L132" s="132"/>
    </row>
    <row r="133" spans="1:12" ht="15.75" x14ac:dyDescent="0.2">
      <c r="A133" s="72" t="s">
        <v>111</v>
      </c>
      <c r="B133" s="98">
        <v>0.67048203081569968</v>
      </c>
      <c r="C133" s="96">
        <v>18.198004468578269</v>
      </c>
      <c r="D133" s="93">
        <v>0.97357466229662859</v>
      </c>
      <c r="E133" s="96">
        <v>21.105647830004912</v>
      </c>
      <c r="F133" s="96">
        <v>0.88468387876175347</v>
      </c>
      <c r="G133" s="93">
        <v>0.58732955686370125</v>
      </c>
      <c r="H133" s="92">
        <v>0.37111178817960438</v>
      </c>
      <c r="I133" s="91">
        <v>0</v>
      </c>
      <c r="L133" s="132"/>
    </row>
    <row r="134" spans="1:12" ht="15.75" x14ac:dyDescent="0.2">
      <c r="A134" s="42"/>
      <c r="B134" s="72" t="s">
        <v>106</v>
      </c>
      <c r="C134" s="72" t="s">
        <v>107</v>
      </c>
      <c r="D134" s="72" t="s">
        <v>88</v>
      </c>
      <c r="E134" s="72" t="s">
        <v>108</v>
      </c>
      <c r="F134" s="72" t="s">
        <v>90</v>
      </c>
      <c r="G134" s="72" t="s">
        <v>109</v>
      </c>
      <c r="H134" s="72" t="s">
        <v>110</v>
      </c>
      <c r="I134" s="72" t="s">
        <v>111</v>
      </c>
      <c r="L134" s="132"/>
    </row>
    <row r="135" spans="1:12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L135" s="132"/>
    </row>
    <row r="136" spans="1:12" x14ac:dyDescent="0.2">
      <c r="A136" s="42"/>
      <c r="B136" s="205" t="s">
        <v>134</v>
      </c>
      <c r="C136" s="205"/>
      <c r="D136" s="205"/>
      <c r="E136" s="205"/>
      <c r="F136" s="205"/>
      <c r="G136" s="205"/>
      <c r="H136" s="205"/>
      <c r="I136" s="205"/>
      <c r="L136" s="132"/>
    </row>
    <row r="137" spans="1:12" ht="15.75" x14ac:dyDescent="0.2">
      <c r="A137" s="72" t="s">
        <v>106</v>
      </c>
      <c r="B137" s="90">
        <v>2.1073424255447021E-8</v>
      </c>
      <c r="C137" s="75"/>
      <c r="D137" s="75"/>
      <c r="E137" s="75"/>
      <c r="F137" s="75"/>
      <c r="G137" s="75"/>
      <c r="H137" s="75"/>
      <c r="I137" s="75"/>
      <c r="L137" s="132"/>
    </row>
    <row r="138" spans="1:12" ht="15.75" x14ac:dyDescent="0.2">
      <c r="A138" s="72" t="s">
        <v>107</v>
      </c>
      <c r="B138" s="97">
        <v>3.7640819497973248</v>
      </c>
      <c r="C138" s="83">
        <v>0</v>
      </c>
      <c r="D138" s="75"/>
      <c r="E138" s="75"/>
      <c r="F138" s="75"/>
      <c r="G138" s="75"/>
      <c r="H138" s="75"/>
      <c r="I138" s="75"/>
      <c r="L138" s="132"/>
    </row>
    <row r="139" spans="1:12" ht="15.75" x14ac:dyDescent="0.2">
      <c r="A139" s="72" t="s">
        <v>88</v>
      </c>
      <c r="B139" s="97">
        <v>1.7813497873098052</v>
      </c>
      <c r="C139" s="83">
        <v>8.2611127929429529</v>
      </c>
      <c r="D139" s="83">
        <v>0</v>
      </c>
      <c r="E139" s="75"/>
      <c r="F139" s="75"/>
      <c r="G139" s="75"/>
      <c r="H139" s="75"/>
      <c r="I139" s="75"/>
      <c r="L139" s="132"/>
    </row>
    <row r="140" spans="1:12" ht="15.75" x14ac:dyDescent="0.2">
      <c r="A140" s="72" t="s">
        <v>108</v>
      </c>
      <c r="B140" s="97">
        <v>3.3907712123640699</v>
      </c>
      <c r="C140" s="83">
        <v>8.6647017672311328</v>
      </c>
      <c r="D140" s="83">
        <v>8.2484772586637245</v>
      </c>
      <c r="E140" s="83">
        <v>1.4901161193847656E-8</v>
      </c>
      <c r="F140" s="75"/>
      <c r="G140" s="75"/>
      <c r="H140" s="75"/>
      <c r="I140" s="75"/>
    </row>
    <row r="141" spans="1:12" ht="15.75" x14ac:dyDescent="0.2">
      <c r="A141" s="72" t="s">
        <v>90</v>
      </c>
      <c r="B141" s="108">
        <v>0.51795734788154046</v>
      </c>
      <c r="C141" s="94">
        <v>4.0414494707465529</v>
      </c>
      <c r="D141" s="94">
        <v>2.078280578312095</v>
      </c>
      <c r="E141" s="94">
        <v>5.5892293060127969</v>
      </c>
      <c r="F141" s="83">
        <v>1.4901161193847656E-8</v>
      </c>
      <c r="G141" s="75"/>
      <c r="H141" s="75"/>
      <c r="I141" s="75"/>
    </row>
    <row r="142" spans="1:12" ht="15.75" x14ac:dyDescent="0.2">
      <c r="A142" s="57" t="s">
        <v>109</v>
      </c>
      <c r="B142" s="97">
        <v>1.341284514341615</v>
      </c>
      <c r="C142" s="83">
        <v>8.6005648756999129</v>
      </c>
      <c r="D142" s="83">
        <v>0.98201090995300089</v>
      </c>
      <c r="E142" s="83">
        <v>54.431853205327407</v>
      </c>
      <c r="F142" s="94">
        <v>2.2849541747831834</v>
      </c>
      <c r="G142" s="83">
        <v>0</v>
      </c>
      <c r="H142" s="75"/>
      <c r="I142" s="75"/>
    </row>
    <row r="143" spans="1:12" ht="15.75" x14ac:dyDescent="0.2">
      <c r="A143" s="72" t="s">
        <v>136</v>
      </c>
      <c r="B143" s="98">
        <v>0.62452215962641133</v>
      </c>
      <c r="C143" s="107">
        <v>8.8171853750373739</v>
      </c>
      <c r="D143" s="107">
        <v>0.97357466229662859</v>
      </c>
      <c r="E143" s="107">
        <v>15.401935076718937</v>
      </c>
      <c r="F143" s="93">
        <v>0.60921180372454442</v>
      </c>
      <c r="G143" s="107">
        <v>0.58732955686370125</v>
      </c>
      <c r="H143" s="91">
        <v>2.1073424255447021E-8</v>
      </c>
      <c r="I143" s="75"/>
    </row>
    <row r="144" spans="1:12" ht="15.75" x14ac:dyDescent="0.2">
      <c r="A144" s="99"/>
      <c r="B144" s="72" t="s">
        <v>106</v>
      </c>
      <c r="C144" s="72" t="s">
        <v>107</v>
      </c>
      <c r="D144" s="72" t="s">
        <v>88</v>
      </c>
      <c r="E144" s="72" t="s">
        <v>108</v>
      </c>
      <c r="F144" s="72" t="s">
        <v>90</v>
      </c>
      <c r="G144" s="72" t="s">
        <v>109</v>
      </c>
      <c r="H144" s="72" t="s">
        <v>136</v>
      </c>
      <c r="I144" s="75"/>
    </row>
    <row r="146" spans="1:9" x14ac:dyDescent="0.2">
      <c r="A146" s="42"/>
      <c r="B146" s="205" t="s">
        <v>134</v>
      </c>
      <c r="C146" s="205"/>
      <c r="D146" s="205"/>
      <c r="E146" s="205"/>
      <c r="F146" s="205"/>
      <c r="G146" s="205"/>
      <c r="H146" s="205"/>
      <c r="I146" s="205"/>
    </row>
    <row r="147" spans="1:9" ht="15.75" x14ac:dyDescent="0.2">
      <c r="A147" s="72" t="s">
        <v>137</v>
      </c>
      <c r="B147" s="90">
        <v>2.1073424255447021E-8</v>
      </c>
      <c r="C147" s="75"/>
      <c r="D147" s="75"/>
      <c r="E147" s="75"/>
      <c r="F147" s="75"/>
      <c r="G147" s="75"/>
      <c r="H147" s="75"/>
      <c r="I147" s="75"/>
    </row>
    <row r="148" spans="1:9" ht="15.75" x14ac:dyDescent="0.2">
      <c r="A148" s="72" t="s">
        <v>107</v>
      </c>
      <c r="B148" s="106">
        <v>3.7640819497973248</v>
      </c>
      <c r="C148" s="83">
        <v>0</v>
      </c>
      <c r="D148" s="75"/>
      <c r="E148" s="75"/>
      <c r="F148" s="75"/>
      <c r="G148" s="75"/>
      <c r="H148" s="75"/>
      <c r="I148" s="75"/>
    </row>
    <row r="149" spans="1:9" ht="15.75" x14ac:dyDescent="0.2">
      <c r="A149" s="72" t="s">
        <v>88</v>
      </c>
      <c r="B149" s="106">
        <v>1.7813497873098052</v>
      </c>
      <c r="C149" s="83">
        <v>8.2611127929429529</v>
      </c>
      <c r="D149" s="83">
        <v>0</v>
      </c>
      <c r="E149" s="75"/>
      <c r="F149" s="75"/>
      <c r="G149" s="75"/>
      <c r="H149" s="75"/>
      <c r="I149" s="75"/>
    </row>
    <row r="150" spans="1:9" ht="15.75" x14ac:dyDescent="0.2">
      <c r="A150" s="72" t="s">
        <v>108</v>
      </c>
      <c r="B150" s="106">
        <v>3.3907712123640699</v>
      </c>
      <c r="C150" s="83">
        <v>8.6647017672311328</v>
      </c>
      <c r="D150" s="83">
        <v>8.2484772586637245</v>
      </c>
      <c r="E150" s="83">
        <v>1.4901161193847656E-8</v>
      </c>
      <c r="F150" s="75"/>
      <c r="G150" s="75"/>
      <c r="H150" s="75"/>
      <c r="I150" s="75"/>
    </row>
    <row r="151" spans="1:9" ht="15.75" x14ac:dyDescent="0.2">
      <c r="A151" s="72" t="s">
        <v>109</v>
      </c>
      <c r="B151" s="110">
        <v>1.341284514341615</v>
      </c>
      <c r="C151" s="95">
        <v>8.6005648756999129</v>
      </c>
      <c r="D151" s="94">
        <v>0.98201090995300089</v>
      </c>
      <c r="E151" s="94">
        <v>54.431853205327407</v>
      </c>
      <c r="F151" s="83">
        <v>0</v>
      </c>
      <c r="G151" s="75"/>
      <c r="I151" s="75"/>
    </row>
    <row r="152" spans="1:9" ht="15.75" x14ac:dyDescent="0.2">
      <c r="A152" s="72" t="s">
        <v>136</v>
      </c>
      <c r="B152" s="93">
        <v>0.60921180372454442</v>
      </c>
      <c r="C152" s="96">
        <v>8.8171853750373739</v>
      </c>
      <c r="D152" s="93">
        <v>0.97357466229662859</v>
      </c>
      <c r="E152" s="93">
        <v>15.401935076718937</v>
      </c>
      <c r="F152" s="109">
        <v>0.58732955686370125</v>
      </c>
      <c r="G152" s="91">
        <v>2.1073424255447021E-8</v>
      </c>
      <c r="I152" s="75"/>
    </row>
    <row r="153" spans="1:9" ht="15.75" x14ac:dyDescent="0.2">
      <c r="A153" s="99"/>
      <c r="B153" s="72" t="s">
        <v>137</v>
      </c>
      <c r="C153" s="72" t="s">
        <v>107</v>
      </c>
      <c r="D153" s="72" t="s">
        <v>88</v>
      </c>
      <c r="E153" s="72" t="s">
        <v>108</v>
      </c>
      <c r="F153" s="72" t="s">
        <v>109</v>
      </c>
      <c r="G153" s="72" t="s">
        <v>136</v>
      </c>
      <c r="I153" s="75"/>
    </row>
    <row r="155" spans="1:9" x14ac:dyDescent="0.2">
      <c r="A155" s="42"/>
      <c r="B155" s="205" t="s">
        <v>134</v>
      </c>
      <c r="C155" s="205"/>
      <c r="D155" s="205"/>
      <c r="E155" s="205"/>
      <c r="F155" s="205"/>
      <c r="G155" s="205"/>
      <c r="H155" s="205"/>
      <c r="I155" s="205"/>
    </row>
    <row r="156" spans="1:9" ht="15.75" x14ac:dyDescent="0.2">
      <c r="A156" s="72" t="s">
        <v>137</v>
      </c>
      <c r="B156" s="90">
        <v>2.1073424255447021E-8</v>
      </c>
      <c r="C156" s="75"/>
      <c r="D156" s="75"/>
      <c r="E156" s="75"/>
      <c r="F156" s="75"/>
      <c r="G156" s="75"/>
      <c r="H156" s="75"/>
      <c r="I156" s="75"/>
    </row>
    <row r="157" spans="1:9" ht="15.75" x14ac:dyDescent="0.2">
      <c r="A157" s="72" t="s">
        <v>107</v>
      </c>
      <c r="B157" s="97">
        <v>3.7640819497973248</v>
      </c>
      <c r="C157" s="83">
        <v>0</v>
      </c>
      <c r="D157" s="75"/>
      <c r="E157" s="75"/>
      <c r="F157" s="75"/>
      <c r="G157" s="75"/>
      <c r="H157" s="75"/>
      <c r="I157" s="75"/>
    </row>
    <row r="158" spans="1:9" ht="15.75" x14ac:dyDescent="0.2">
      <c r="A158" s="72" t="s">
        <v>88</v>
      </c>
      <c r="B158" s="110">
        <v>1.7813497873098052</v>
      </c>
      <c r="C158" s="83">
        <v>8.2611127929429529</v>
      </c>
      <c r="D158" s="83">
        <v>0</v>
      </c>
      <c r="E158" s="75"/>
      <c r="F158" s="75"/>
      <c r="G158" s="75"/>
      <c r="H158" s="75"/>
      <c r="I158" s="75"/>
    </row>
    <row r="159" spans="1:9" ht="15.75" x14ac:dyDescent="0.2">
      <c r="A159" s="72" t="s">
        <v>108</v>
      </c>
      <c r="B159" s="97">
        <v>3.3907712123640699</v>
      </c>
      <c r="C159" s="83">
        <v>8.6647017672311328</v>
      </c>
      <c r="D159" s="83">
        <v>8.2484772586637245</v>
      </c>
      <c r="E159" s="83">
        <v>1.4901161193847656E-8</v>
      </c>
      <c r="F159" s="75"/>
      <c r="G159" s="75"/>
      <c r="H159" s="75"/>
      <c r="I159" s="75"/>
    </row>
    <row r="160" spans="1:9" ht="15.75" x14ac:dyDescent="0.2">
      <c r="A160" s="72" t="s">
        <v>138</v>
      </c>
      <c r="B160" s="109">
        <v>0.60921180372454442</v>
      </c>
      <c r="C160" s="94">
        <v>8.6005648756999129</v>
      </c>
      <c r="D160" s="93">
        <v>0.97357466229662859</v>
      </c>
      <c r="E160" s="96">
        <v>15.401935076718937</v>
      </c>
      <c r="F160" s="83">
        <v>0</v>
      </c>
      <c r="G160" s="75"/>
      <c r="I160" s="75"/>
    </row>
    <row r="161" spans="1:9" ht="15.75" x14ac:dyDescent="0.2">
      <c r="A161" s="99"/>
      <c r="B161" s="72" t="s">
        <v>137</v>
      </c>
      <c r="C161" s="72" t="s">
        <v>107</v>
      </c>
      <c r="D161" s="72" t="s">
        <v>88</v>
      </c>
      <c r="E161" s="72" t="s">
        <v>108</v>
      </c>
      <c r="F161" s="72" t="s">
        <v>138</v>
      </c>
      <c r="I161" s="75"/>
    </row>
    <row r="163" spans="1:9" x14ac:dyDescent="0.2">
      <c r="A163" s="42"/>
      <c r="B163" s="205" t="s">
        <v>134</v>
      </c>
      <c r="C163" s="205"/>
      <c r="D163" s="205"/>
      <c r="E163" s="205"/>
      <c r="F163" s="205"/>
      <c r="G163" s="205"/>
      <c r="H163" s="205"/>
      <c r="I163" s="205"/>
    </row>
    <row r="164" spans="1:9" ht="15.75" x14ac:dyDescent="0.2">
      <c r="A164" s="72" t="s">
        <v>139</v>
      </c>
      <c r="B164" s="90">
        <v>2.1073424255447021E-8</v>
      </c>
      <c r="C164" s="75"/>
      <c r="D164" s="75"/>
      <c r="E164" s="75"/>
      <c r="F164" s="75"/>
      <c r="G164" s="75"/>
      <c r="H164" s="75"/>
      <c r="I164" s="75"/>
    </row>
    <row r="165" spans="1:9" ht="15.75" x14ac:dyDescent="0.2">
      <c r="A165" s="72" t="s">
        <v>107</v>
      </c>
      <c r="B165" s="97">
        <v>3.7640819497973248</v>
      </c>
      <c r="C165" s="83">
        <v>0</v>
      </c>
      <c r="D165" s="75"/>
      <c r="E165" s="75"/>
      <c r="F165" s="75"/>
      <c r="G165" s="75"/>
      <c r="H165" s="75"/>
      <c r="I165" s="75"/>
    </row>
    <row r="166" spans="1:9" ht="15.75" x14ac:dyDescent="0.2">
      <c r="A166" s="72" t="s">
        <v>88</v>
      </c>
      <c r="B166" s="109">
        <v>0.97357466229662859</v>
      </c>
      <c r="C166" s="94">
        <v>8.2611127929429529</v>
      </c>
      <c r="D166" s="83">
        <v>0</v>
      </c>
      <c r="E166" s="75"/>
      <c r="F166" s="75"/>
      <c r="G166" s="75"/>
      <c r="H166" s="75"/>
      <c r="I166" s="75"/>
    </row>
    <row r="167" spans="1:9" ht="15.75" x14ac:dyDescent="0.2">
      <c r="A167" s="72" t="s">
        <v>108</v>
      </c>
      <c r="B167" s="97">
        <v>3.3907712123640699</v>
      </c>
      <c r="C167" s="83">
        <v>8.6647017672311328</v>
      </c>
      <c r="D167" s="94">
        <v>8.2484772586637245</v>
      </c>
      <c r="E167" s="83">
        <v>1.4901161193847656E-8</v>
      </c>
      <c r="F167" s="75"/>
      <c r="G167" s="75"/>
      <c r="H167" s="75"/>
      <c r="I167" s="75"/>
    </row>
    <row r="168" spans="1:9" ht="15.75" x14ac:dyDescent="0.2">
      <c r="A168" s="99"/>
      <c r="B168" s="72" t="s">
        <v>139</v>
      </c>
      <c r="C168" s="72" t="s">
        <v>107</v>
      </c>
      <c r="D168" s="72" t="s">
        <v>88</v>
      </c>
      <c r="E168" s="72" t="s">
        <v>108</v>
      </c>
      <c r="I168" s="75"/>
    </row>
    <row r="170" spans="1:9" x14ac:dyDescent="0.2">
      <c r="A170" s="42"/>
      <c r="B170" s="205" t="s">
        <v>134</v>
      </c>
      <c r="C170" s="205"/>
      <c r="D170" s="205"/>
      <c r="E170" s="205"/>
      <c r="F170" s="205"/>
      <c r="G170" s="205"/>
      <c r="H170" s="205"/>
      <c r="I170" s="205"/>
    </row>
    <row r="171" spans="1:9" ht="15.75" x14ac:dyDescent="0.2">
      <c r="A171" s="72" t="s">
        <v>140</v>
      </c>
      <c r="B171" s="90">
        <v>2.1073424255447021E-8</v>
      </c>
      <c r="C171" s="75"/>
      <c r="D171" s="75"/>
      <c r="E171" s="75"/>
      <c r="F171" s="75"/>
      <c r="G171" s="75"/>
      <c r="H171" s="75"/>
      <c r="I171" s="75"/>
    </row>
    <row r="172" spans="1:9" ht="15.75" x14ac:dyDescent="0.2">
      <c r="A172" s="72" t="s">
        <v>107</v>
      </c>
      <c r="B172" s="97">
        <v>3.7640819497973248</v>
      </c>
      <c r="C172" s="83">
        <v>0</v>
      </c>
      <c r="D172" s="75"/>
      <c r="E172" s="75"/>
      <c r="F172" s="75"/>
      <c r="G172" s="75"/>
      <c r="H172" s="75"/>
      <c r="I172" s="75"/>
    </row>
    <row r="173" spans="1:9" ht="15.75" x14ac:dyDescent="0.2">
      <c r="A173" s="72" t="s">
        <v>108</v>
      </c>
      <c r="B173" s="111">
        <v>3.3907712123640699</v>
      </c>
      <c r="C173" s="94">
        <v>8.6647017672311328</v>
      </c>
      <c r="D173" s="83">
        <v>1.4901161193847656E-8</v>
      </c>
      <c r="F173" s="75"/>
      <c r="G173" s="75"/>
      <c r="H173" s="75"/>
      <c r="I173" s="75"/>
    </row>
    <row r="174" spans="1:9" ht="15.75" x14ac:dyDescent="0.2">
      <c r="A174" s="99"/>
      <c r="B174" s="72" t="s">
        <v>140</v>
      </c>
      <c r="C174" s="72" t="s">
        <v>107</v>
      </c>
      <c r="D174" s="72" t="s">
        <v>108</v>
      </c>
      <c r="I174" s="75"/>
    </row>
    <row r="176" spans="1:9" x14ac:dyDescent="0.2">
      <c r="A176" s="42"/>
      <c r="B176" s="205" t="s">
        <v>134</v>
      </c>
      <c r="C176" s="205"/>
      <c r="D176" s="205"/>
      <c r="E176" s="205"/>
      <c r="F176" s="205"/>
      <c r="G176" s="205"/>
      <c r="H176" s="205"/>
      <c r="I176" s="205"/>
    </row>
    <row r="177" spans="1:9" ht="15.75" x14ac:dyDescent="0.2">
      <c r="A177" s="72" t="s">
        <v>141</v>
      </c>
      <c r="B177" s="90">
        <v>2.1073424255447021E-8</v>
      </c>
      <c r="C177" s="75"/>
      <c r="D177" s="75"/>
      <c r="E177" s="75"/>
      <c r="F177" s="75"/>
      <c r="G177" s="75"/>
      <c r="H177" s="75"/>
      <c r="I177" s="75"/>
    </row>
    <row r="178" spans="1:9" ht="15.75" x14ac:dyDescent="0.2">
      <c r="A178" s="72" t="s">
        <v>107</v>
      </c>
      <c r="B178" s="111">
        <v>3.7640819497973248</v>
      </c>
      <c r="C178" s="83">
        <v>0</v>
      </c>
      <c r="D178" s="75"/>
      <c r="E178" s="75"/>
      <c r="F178" s="75"/>
      <c r="G178" s="75"/>
      <c r="H178" s="75"/>
      <c r="I178" s="75"/>
    </row>
    <row r="179" spans="1:9" ht="15.75" x14ac:dyDescent="0.2">
      <c r="A179" s="99"/>
      <c r="B179" s="72" t="s">
        <v>141</v>
      </c>
      <c r="C179" s="72" t="s">
        <v>107</v>
      </c>
      <c r="I179" s="75"/>
    </row>
    <row r="181" spans="1:9" x14ac:dyDescent="0.2">
      <c r="A181" s="42"/>
      <c r="B181" s="205" t="s">
        <v>134</v>
      </c>
      <c r="C181" s="205"/>
      <c r="D181" s="205"/>
      <c r="E181" s="205"/>
      <c r="F181" s="205"/>
      <c r="G181" s="205"/>
      <c r="H181" s="205"/>
      <c r="I181" s="205"/>
    </row>
    <row r="182" spans="1:9" ht="15.75" x14ac:dyDescent="0.2">
      <c r="A182" s="72" t="s">
        <v>142</v>
      </c>
      <c r="B182" s="90">
        <v>2.1073424255447021E-8</v>
      </c>
      <c r="C182" s="75"/>
      <c r="D182" s="75"/>
      <c r="E182" s="75"/>
      <c r="F182" s="75"/>
      <c r="G182" s="75"/>
      <c r="H182" s="75"/>
      <c r="I182" s="75"/>
    </row>
    <row r="183" spans="1:9" ht="15.75" x14ac:dyDescent="0.2">
      <c r="A183" s="99"/>
      <c r="B183" s="72" t="s">
        <v>142</v>
      </c>
      <c r="I183" s="75"/>
    </row>
  </sheetData>
  <mergeCells count="27">
    <mergeCell ref="B119:I119"/>
    <mergeCell ref="B90:I90"/>
    <mergeCell ref="B97:I97"/>
    <mergeCell ref="B103:I103"/>
    <mergeCell ref="B109:I109"/>
    <mergeCell ref="B114:I114"/>
    <mergeCell ref="B49:I49"/>
    <mergeCell ref="B58:I58"/>
    <mergeCell ref="B67:I67"/>
    <mergeCell ref="B75:I75"/>
    <mergeCell ref="B83:I83"/>
    <mergeCell ref="B163:I163"/>
    <mergeCell ref="B170:I170"/>
    <mergeCell ref="B176:I176"/>
    <mergeCell ref="B181:I181"/>
    <mergeCell ref="B1:I1"/>
    <mergeCell ref="A124:I124"/>
    <mergeCell ref="B125:I125"/>
    <mergeCell ref="B136:I136"/>
    <mergeCell ref="B146:I146"/>
    <mergeCell ref="B155:I155"/>
    <mergeCell ref="A123:I123"/>
    <mergeCell ref="A16:I16"/>
    <mergeCell ref="A17:I17"/>
    <mergeCell ref="B18:I18"/>
    <mergeCell ref="B29:I29"/>
    <mergeCell ref="B39:I39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8945E-A591-425E-9981-2FC18A899C89}">
  <dimension ref="A1:Q101"/>
  <sheetViews>
    <sheetView zoomScale="70" zoomScaleNormal="70" workbookViewId="0">
      <selection activeCell="I35" sqref="I35"/>
    </sheetView>
  </sheetViews>
  <sheetFormatPr defaultColWidth="12.7109375" defaultRowHeight="15" x14ac:dyDescent="0.2"/>
  <cols>
    <col min="1" max="1" width="6" style="161" customWidth="1"/>
    <col min="2" max="2" width="13.42578125" style="161" bestFit="1" customWidth="1"/>
    <col min="3" max="13" width="12.7109375" style="161" customWidth="1"/>
    <col min="14" max="14" width="13.7109375" style="161" bestFit="1" customWidth="1"/>
    <col min="15" max="15" width="12.7109375" style="161" customWidth="1"/>
    <col min="16" max="16" width="11.7109375" style="161" bestFit="1" customWidth="1"/>
    <col min="17" max="29" width="12.7109375" style="161" customWidth="1"/>
    <col min="30" max="16384" width="12.7109375" style="161"/>
  </cols>
  <sheetData>
    <row r="1" spans="1:17" ht="20.100000000000001" customHeight="1" x14ac:dyDescent="0.2">
      <c r="A1" s="207" t="str">
        <f>'Dane po transformacji i odbieg'!C216</f>
        <v>Autoskalowane dane</v>
      </c>
      <c r="B1" s="207">
        <f>'Dane po transformacji i odbieg'!D216</f>
        <v>0</v>
      </c>
      <c r="C1" s="207">
        <f>'Dane po transformacji i odbieg'!E216</f>
        <v>0</v>
      </c>
      <c r="D1" s="207">
        <f>'Dane po transformacji i odbieg'!F216</f>
        <v>0</v>
      </c>
      <c r="E1" s="207">
        <f>'Dane po transformacji i odbieg'!G216</f>
        <v>0</v>
      </c>
      <c r="F1" s="207">
        <f>'Dane po transformacji i odbieg'!H216</f>
        <v>0</v>
      </c>
      <c r="G1" s="207">
        <f>'Dane po transformacji i odbieg'!I216</f>
        <v>0</v>
      </c>
      <c r="H1" s="207">
        <f>'Dane po transformacji i odbieg'!J216</f>
        <v>0</v>
      </c>
      <c r="I1" s="207">
        <f>'Dane po transformacji i odbieg'!K216</f>
        <v>0</v>
      </c>
      <c r="J1" s="207">
        <f>'Dane po transformacji i odbieg'!L216</f>
        <v>0</v>
      </c>
    </row>
    <row r="2" spans="1:17" ht="20.100000000000001" customHeight="1" x14ac:dyDescent="0.2">
      <c r="A2" s="156" t="s">
        <v>2</v>
      </c>
      <c r="B2" s="157" t="s">
        <v>22</v>
      </c>
      <c r="C2" s="157" t="s">
        <v>106</v>
      </c>
      <c r="D2" s="157" t="s">
        <v>107</v>
      </c>
      <c r="E2" s="157" t="s">
        <v>88</v>
      </c>
      <c r="F2" s="157" t="s">
        <v>108</v>
      </c>
      <c r="G2" s="157" t="s">
        <v>90</v>
      </c>
      <c r="H2" s="157" t="s">
        <v>109</v>
      </c>
      <c r="I2" s="157" t="s">
        <v>110</v>
      </c>
      <c r="J2" s="158" t="s">
        <v>111</v>
      </c>
      <c r="L2" s="210" t="s">
        <v>163</v>
      </c>
      <c r="M2" s="211"/>
      <c r="N2" s="211"/>
      <c r="O2" s="211"/>
      <c r="P2" s="211"/>
      <c r="Q2" s="211"/>
    </row>
    <row r="3" spans="1:17" ht="20.100000000000001" customHeight="1" x14ac:dyDescent="0.2">
      <c r="A3" s="159">
        <v>1</v>
      </c>
      <c r="B3" s="165" t="s">
        <v>28</v>
      </c>
      <c r="C3" s="160">
        <f>'Dane po transformacji i odbieg'!E218</f>
        <v>-0.33894368183807799</v>
      </c>
      <c r="D3" s="160">
        <f>'Dane po transformacji i odbieg'!F218</f>
        <v>-8.2505619498528679E-2</v>
      </c>
      <c r="E3" s="160">
        <f>'Dane po transformacji i odbieg'!G218</f>
        <v>-1.3672512455367785</v>
      </c>
      <c r="F3" s="160">
        <f>'Dane po transformacji i odbieg'!H218</f>
        <v>-1.2170025332099554</v>
      </c>
      <c r="G3" s="160">
        <f>'Dane po transformacji i odbieg'!I218</f>
        <v>-1.0334902370451089</v>
      </c>
      <c r="H3" s="160">
        <f>'Dane po transformacji i odbieg'!J218</f>
        <v>0.89349175519449342</v>
      </c>
      <c r="I3" s="160">
        <f>'Dane po transformacji i odbieg'!K218</f>
        <v>-0.36192218289067796</v>
      </c>
      <c r="J3" s="160">
        <f>'Dane po transformacji i odbieg'!L218</f>
        <v>0.19409189023346382</v>
      </c>
      <c r="L3" s="212" t="s">
        <v>159</v>
      </c>
      <c r="M3" s="212"/>
      <c r="N3" s="212"/>
      <c r="O3" s="212"/>
      <c r="P3" s="212"/>
      <c r="Q3" s="212"/>
    </row>
    <row r="4" spans="1:17" ht="20.100000000000001" customHeight="1" x14ac:dyDescent="0.2">
      <c r="A4" s="159">
        <v>2</v>
      </c>
      <c r="B4" s="165" t="s">
        <v>29</v>
      </c>
      <c r="C4" s="160">
        <f>'Dane po transformacji i odbieg'!E219</f>
        <v>-0.31262246637878111</v>
      </c>
      <c r="D4" s="160">
        <f>'Dane po transformacji i odbieg'!F219</f>
        <v>-9.4069815335755341E-2</v>
      </c>
      <c r="E4" s="160">
        <f>'Dane po transformacji i odbieg'!G219</f>
        <v>-0.78473397720096294</v>
      </c>
      <c r="F4" s="160">
        <f>'Dane po transformacji i odbieg'!H219</f>
        <v>0.84540278157484616</v>
      </c>
      <c r="G4" s="160">
        <f>'Dane po transformacji i odbieg'!I219</f>
        <v>-0.41213078101667655</v>
      </c>
      <c r="H4" s="160">
        <f>'Dane po transformacji i odbieg'!J219</f>
        <v>-0.11773384600344719</v>
      </c>
      <c r="I4" s="160">
        <f>'Dane po transformacji i odbieg'!K219</f>
        <v>5.4504078474133272E-2</v>
      </c>
      <c r="J4" s="160">
        <f>'Dane po transformacji i odbieg'!L219</f>
        <v>-2.1213627665209331E-2</v>
      </c>
      <c r="M4" s="166" t="s">
        <v>160</v>
      </c>
      <c r="N4" s="166" t="s">
        <v>161</v>
      </c>
      <c r="O4" s="166" t="s">
        <v>162</v>
      </c>
    </row>
    <row r="5" spans="1:17" ht="20.100000000000001" customHeight="1" x14ac:dyDescent="0.2">
      <c r="A5" s="159">
        <v>3</v>
      </c>
      <c r="B5" s="165" t="s">
        <v>30</v>
      </c>
      <c r="C5" s="160">
        <f>'Dane po transformacji i odbieg'!E220</f>
        <v>0.11428369666939714</v>
      </c>
      <c r="D5" s="160">
        <f>'Dane po transformacji i odbieg'!F220</f>
        <v>-8.0693479020353898E-2</v>
      </c>
      <c r="E5" s="160">
        <f>'Dane po transformacji i odbieg'!G220</f>
        <v>0.21386705423186372</v>
      </c>
      <c r="F5" s="160">
        <f>'Dane po transformacji i odbieg'!H220</f>
        <v>1.5631963673103175</v>
      </c>
      <c r="G5" s="160">
        <f>'Dane po transformacji i odbieg'!I220</f>
        <v>-0.29915633446605244</v>
      </c>
      <c r="H5" s="160">
        <f>'Dane po transformacji i odbieg'!J220</f>
        <v>0.49125130468894262</v>
      </c>
      <c r="I5" s="160">
        <f>'Dane po transformacji i odbieg'!K220</f>
        <v>-0.12375234071958138</v>
      </c>
      <c r="J5" s="160">
        <f>'Dane po transformacji i odbieg'!L220</f>
        <v>-0.19595344224780942</v>
      </c>
      <c r="M5" s="175">
        <v>0.19400000000000001</v>
      </c>
      <c r="N5" s="175">
        <v>0.2185</v>
      </c>
      <c r="O5" s="175">
        <v>-2.5000000000000001E-2</v>
      </c>
    </row>
    <row r="6" spans="1:17" ht="20.100000000000001" customHeight="1" x14ac:dyDescent="0.2">
      <c r="A6" s="159">
        <v>4</v>
      </c>
      <c r="B6" s="165" t="s">
        <v>31</v>
      </c>
      <c r="C6" s="160">
        <f>'Dane po transformacji i odbieg'!E221</f>
        <v>-0.19721835009726071</v>
      </c>
      <c r="D6" s="160">
        <f>'Dane po transformacji i odbieg'!F221</f>
        <v>-8.507019574552839E-2</v>
      </c>
      <c r="E6" s="160">
        <f>'Dane po transformacji i odbieg'!G221</f>
        <v>-0.28543346148454957</v>
      </c>
      <c r="F6" s="160">
        <f>'Dane po transformacji i odbieg'!H221</f>
        <v>1.128225431403459</v>
      </c>
      <c r="G6" s="160">
        <f>'Dane po transformacji i odbieg'!I221</f>
        <v>-0.5251052275673006</v>
      </c>
      <c r="H6" s="160">
        <f>'Dane po transformacji i odbieg'!J221</f>
        <v>-1.3966962661436617E-2</v>
      </c>
      <c r="I6" s="160">
        <f>'Dane po transformacji i odbieg'!K221</f>
        <v>-5.153598463950454E-2</v>
      </c>
      <c r="J6" s="160">
        <f>'Dane po transformacji i odbieg'!L221</f>
        <v>-0.19595344224780942</v>
      </c>
      <c r="M6" s="175">
        <v>-2.1000000000000001E-2</v>
      </c>
      <c r="N6" s="175">
        <v>-8.09E-2</v>
      </c>
      <c r="O6" s="175">
        <v>0.06</v>
      </c>
    </row>
    <row r="7" spans="1:17" ht="20.100000000000001" customHeight="1" x14ac:dyDescent="0.2">
      <c r="A7" s="159">
        <v>5</v>
      </c>
      <c r="B7" s="165" t="s">
        <v>32</v>
      </c>
      <c r="C7" s="160">
        <f>'Dane po transformacji i odbieg'!E222</f>
        <v>2.5245199512692147</v>
      </c>
      <c r="D7" s="160">
        <f>'Dane po transformacji i odbieg'!F222</f>
        <v>-7.3559531120804308E-2</v>
      </c>
      <c r="E7" s="160">
        <f>'Dane po transformacji i odbieg'!G222</f>
        <v>-1.1800135521431234</v>
      </c>
      <c r="F7" s="160">
        <f>'Dane po transformacji i odbieg'!H222</f>
        <v>-1.1546063553293604</v>
      </c>
      <c r="G7" s="160">
        <f>'Dane po transformacji i odbieg'!I222</f>
        <v>2.7511537224007978</v>
      </c>
      <c r="H7" s="160">
        <f>'Dane po transformacji i odbieg'!J222</f>
        <v>1.5123448363674885</v>
      </c>
      <c r="I7" s="160">
        <f>'Dane po transformacji i odbieg'!K222</f>
        <v>1.863329645677376</v>
      </c>
      <c r="J7" s="160">
        <f>'Dane po transformacji i odbieg'!L222</f>
        <v>2.0834055900612158</v>
      </c>
      <c r="M7" s="175">
        <v>-0.19600000000000001</v>
      </c>
      <c r="N7" s="175">
        <v>-1.5299999999999999E-2</v>
      </c>
      <c r="O7" s="175">
        <v>-0.18</v>
      </c>
    </row>
    <row r="8" spans="1:17" ht="20.100000000000001" customHeight="1" x14ac:dyDescent="0.2">
      <c r="A8" s="159">
        <v>6</v>
      </c>
      <c r="B8" s="165" t="s">
        <v>33</v>
      </c>
      <c r="C8" s="160">
        <f>'Dane po transformacji i odbieg'!E223</f>
        <v>-0.91431290915527486</v>
      </c>
      <c r="D8" s="160">
        <f>'Dane po transformacji i odbieg'!F223</f>
        <v>-5.7969159816312926E-2</v>
      </c>
      <c r="E8" s="160">
        <f>'Dane po transformacji i odbieg'!G223</f>
        <v>0.71316756994827701</v>
      </c>
      <c r="F8" s="160">
        <f>'Dane po transformacji i odbieg'!H223</f>
        <v>1.3375951020413681</v>
      </c>
      <c r="G8" s="160">
        <f>'Dane po transformacji i odbieg'!I223</f>
        <v>-0.66067456342804953</v>
      </c>
      <c r="H8" s="160">
        <f>'Dane po transformacji i odbieg'!J223</f>
        <v>-0.82609511730747132</v>
      </c>
      <c r="I8" s="160">
        <f>'Dane po transformacji i odbieg'!K223</f>
        <v>-0.62467796434097778</v>
      </c>
      <c r="J8" s="160">
        <f>'Dane po transformacji i odbieg'!L223</f>
        <v>-0.8092122535622891</v>
      </c>
      <c r="M8" s="175">
        <v>-0.19600000000000001</v>
      </c>
      <c r="N8" s="175">
        <v>-0.13389999999999999</v>
      </c>
      <c r="O8" s="175">
        <v>-6.2E-2</v>
      </c>
    </row>
    <row r="9" spans="1:17" ht="20.100000000000001" customHeight="1" x14ac:dyDescent="0.2">
      <c r="A9" s="159">
        <v>7</v>
      </c>
      <c r="B9" s="165" t="s">
        <v>34</v>
      </c>
      <c r="C9" s="160">
        <f>'Dane po transformacji i odbieg'!E224</f>
        <v>-1.1551148014272041</v>
      </c>
      <c r="D9" s="160">
        <f>'Dane po transformacji i odbieg'!F224</f>
        <v>0.22007315598560373</v>
      </c>
      <c r="E9" s="160">
        <f>'Dane po transformacji i odbieg'!G224</f>
        <v>1.2124680856646903</v>
      </c>
      <c r="F9" s="160">
        <f>'Dane po transformacji i odbieg'!H224</f>
        <v>-7.8767886722631214E-2</v>
      </c>
      <c r="G9" s="160">
        <f>'Dane po transformacji i odbieg'!I224</f>
        <v>-0.75105412066854882</v>
      </c>
      <c r="H9" s="160">
        <f>'Dane po transformacji i odbieg'!J224</f>
        <v>-1.0396571796491301</v>
      </c>
      <c r="I9" s="160">
        <f>'Dane po transformacji i odbieg'!K224</f>
        <v>-1.1528781607556098</v>
      </c>
      <c r="J9" s="160">
        <f>'Dane po transformacji i odbieg'!L224</f>
        <v>-1.2758721420889423</v>
      </c>
      <c r="M9" s="175">
        <v>2.0830000000000002</v>
      </c>
      <c r="N9" s="175">
        <v>1.9435</v>
      </c>
      <c r="O9" s="175">
        <v>0.14000000000000001</v>
      </c>
    </row>
    <row r="10" spans="1:17" ht="20.100000000000001" customHeight="1" x14ac:dyDescent="0.2">
      <c r="A10" s="159">
        <v>8</v>
      </c>
      <c r="B10" s="165" t="s">
        <v>35</v>
      </c>
      <c r="C10" s="160">
        <f>'Dane po transformacji i odbieg'!E225</f>
        <v>0.28906797639771264</v>
      </c>
      <c r="D10" s="160">
        <f>'Dane po transformacji i odbieg'!F225</f>
        <v>-2.8231868786900627</v>
      </c>
      <c r="E10" s="160">
        <f>'Dane po transformacji i odbieg'!G225</f>
        <v>1.7117686013811038</v>
      </c>
      <c r="F10" s="160">
        <f>'Dane po transformacji i odbieg'!H225</f>
        <v>-1.51053580798411</v>
      </c>
      <c r="G10" s="160">
        <f>'Dane po transformacji i odbieg'!I225</f>
        <v>0.42388012345794168</v>
      </c>
      <c r="H10" s="160">
        <f>'Dane po transformacji i odbieg'!J225</f>
        <v>-1.7781259172463078</v>
      </c>
      <c r="I10" s="160">
        <f>'Dane po transformacji i odbieg'!K225</f>
        <v>-0.82061833229205694</v>
      </c>
      <c r="J10" s="160">
        <f>'Dane po transformacji i odbieg'!L225</f>
        <v>-1.3710551262204485</v>
      </c>
      <c r="M10" s="175">
        <v>-0.80900000000000005</v>
      </c>
      <c r="N10" s="175">
        <v>-0.8589</v>
      </c>
      <c r="O10" s="175">
        <v>0.05</v>
      </c>
    </row>
    <row r="11" spans="1:17" ht="20.100000000000001" customHeight="1" x14ac:dyDescent="0.2">
      <c r="A11" s="159">
        <v>9</v>
      </c>
      <c r="B11" s="165" t="s">
        <v>36</v>
      </c>
      <c r="C11" s="160">
        <f>'Dane po transformacji i odbieg'!E226</f>
        <v>-1.5043094283576535</v>
      </c>
      <c r="D11" s="160">
        <f>'Dane po transformacji i odbieg'!F226</f>
        <v>3.0024823305462118</v>
      </c>
      <c r="E11" s="160">
        <f>'Dane po transformacji i odbieg'!G226</f>
        <v>0.46351731209007041</v>
      </c>
      <c r="F11" s="160">
        <f>'Dane po transformacji i odbieg'!H226</f>
        <v>-0.44249568888807994</v>
      </c>
      <c r="G11" s="160">
        <f>'Dane po transformacji i odbieg'!I226</f>
        <v>-1.4853880232476053</v>
      </c>
      <c r="H11" s="160">
        <f>'Dane po transformacji i odbieg'!J226</f>
        <v>-0.69054962393556818</v>
      </c>
      <c r="I11" s="160">
        <f>'Dane po transformacji i odbieg'!K226</f>
        <v>-1.688716188496439</v>
      </c>
      <c r="J11" s="160">
        <f>'Dane po transformacji i odbieg'!L226</f>
        <v>-1.2758721420889423</v>
      </c>
      <c r="M11" s="175">
        <v>-1.276</v>
      </c>
      <c r="N11" s="175">
        <v>-1.1788000000000001</v>
      </c>
      <c r="O11" s="175">
        <v>-9.7000000000000003E-2</v>
      </c>
    </row>
    <row r="12" spans="1:17" ht="20.100000000000001" customHeight="1" x14ac:dyDescent="0.2">
      <c r="A12" s="159">
        <v>10</v>
      </c>
      <c r="B12" s="165" t="s">
        <v>40</v>
      </c>
      <c r="C12" s="160">
        <f>'Dane po transformacji i odbieg'!E227</f>
        <v>1.7195767378617237</v>
      </c>
      <c r="D12" s="160">
        <f>'Dane po transformacji i odbieg'!F227</f>
        <v>-5.3606434954784031E-2</v>
      </c>
      <c r="E12" s="160">
        <f>'Dane po transformacji i odbieg'!G227</f>
        <v>-1.2008177402979741</v>
      </c>
      <c r="F12" s="160">
        <f>'Dane po transformacji i odbieg'!H227</f>
        <v>-1.2371308268668115</v>
      </c>
      <c r="G12" s="160">
        <f>'Dane po transformacji i odbieg'!I227</f>
        <v>1.2824859172426846</v>
      </c>
      <c r="H12" s="160">
        <f>'Dane po transformacji i odbieg'!J227</f>
        <v>1.4705141707791289</v>
      </c>
      <c r="I12" s="160">
        <f>'Dane po transformacji i odbieg'!K227</f>
        <v>1.2235891197617086</v>
      </c>
      <c r="J12" s="160">
        <f>'Dane po transformacji i odbieg'!L227</f>
        <v>1.347408780053847</v>
      </c>
      <c r="M12" s="175">
        <v>-1.371</v>
      </c>
      <c r="N12" s="175">
        <v>-1.1351</v>
      </c>
      <c r="O12" s="175">
        <v>-0.24</v>
      </c>
    </row>
    <row r="13" spans="1:17" ht="20.100000000000001" customHeight="1" x14ac:dyDescent="0.2">
      <c r="A13" s="159">
        <v>11</v>
      </c>
      <c r="B13" s="165" t="s">
        <v>41</v>
      </c>
      <c r="C13" s="160">
        <f>'Dane po transformacji i odbieg'!E228</f>
        <v>-0.50869087352795783</v>
      </c>
      <c r="D13" s="160">
        <f>'Dane po transformacji i odbieg'!F228</f>
        <v>-3.3697061889630953E-2</v>
      </c>
      <c r="E13" s="160">
        <f>'Dane po transformacji i odbieg'!G228</f>
        <v>-1.0343842350591697</v>
      </c>
      <c r="F13" s="160">
        <f>'Dane po transformacji i odbieg'!H228</f>
        <v>-0.79504359977104277</v>
      </c>
      <c r="G13" s="160">
        <f>'Dane po transformacji i odbieg'!I228</f>
        <v>-0.86402856721917287</v>
      </c>
      <c r="H13" s="160">
        <f>'Dane po transformacji i odbieg'!J228</f>
        <v>0.38345426542588168</v>
      </c>
      <c r="I13" s="160">
        <f>'Dane po transformacji i odbieg'!K228</f>
        <v>-0.62702337134828723</v>
      </c>
      <c r="J13" s="160">
        <f>'Dane po transformacji i odbieg'!L228</f>
        <v>-0.3839769584924928</v>
      </c>
      <c r="M13" s="175">
        <v>-1.276</v>
      </c>
      <c r="N13" s="175">
        <v>-1.3653999999999999</v>
      </c>
      <c r="O13" s="175">
        <v>8.8999999999999996E-2</v>
      </c>
    </row>
    <row r="14" spans="1:17" ht="20.100000000000001" customHeight="1" x14ac:dyDescent="0.2">
      <c r="A14" s="159">
        <v>12</v>
      </c>
      <c r="B14" s="165" t="s">
        <v>42</v>
      </c>
      <c r="C14" s="160">
        <f>'Dane po transformacji i odbieg'!E229</f>
        <v>-1.5254252961061647</v>
      </c>
      <c r="D14" s="160">
        <f>'Dane po transformacji i odbieg'!F229</f>
        <v>-8.3363871814579521E-2</v>
      </c>
      <c r="E14" s="160">
        <f>'Dane po transformacji i odbieg'!G229</f>
        <v>0.21386705423186372</v>
      </c>
      <c r="F14" s="160">
        <f>'Dane po transformacji i odbieg'!H229</f>
        <v>1.8475785180755331</v>
      </c>
      <c r="G14" s="160">
        <f>'Dane po transformacji i odbieg'!I229</f>
        <v>-0.63807967411792466</v>
      </c>
      <c r="H14" s="160">
        <f>'Dane po transformacji i odbieg'!J229</f>
        <v>0.29032139425853781</v>
      </c>
      <c r="I14" s="160">
        <f>'Dane po transformacji i odbieg'!K229</f>
        <v>-0.44519404758506514</v>
      </c>
      <c r="J14" s="160">
        <f>'Dane po transformacji i odbieg'!L229</f>
        <v>-0.41675164272072224</v>
      </c>
      <c r="M14" s="175">
        <v>1.347</v>
      </c>
      <c r="N14" s="175">
        <v>1.5084</v>
      </c>
      <c r="O14" s="175">
        <v>-0.16</v>
      </c>
    </row>
    <row r="15" spans="1:17" ht="20.100000000000001" customHeight="1" x14ac:dyDescent="0.2">
      <c r="A15" s="159">
        <v>13</v>
      </c>
      <c r="B15" s="165" t="s">
        <v>43</v>
      </c>
      <c r="C15" s="160">
        <f>'Dane po transformacji i odbieg'!E230</f>
        <v>0.44541784239014187</v>
      </c>
      <c r="D15" s="160">
        <f>'Dane po transformacji i odbieg'!F230</f>
        <v>8.9647725928075198E-2</v>
      </c>
      <c r="E15" s="160">
        <f>'Dane po transformacji i odbieg'!G230</f>
        <v>0.71316756994827701</v>
      </c>
      <c r="F15" s="160">
        <f>'Dane po transformacji i odbieg'!H230</f>
        <v>0.13071164602237875</v>
      </c>
      <c r="G15" s="160">
        <f>'Dane po transformacji i odbieg'!I230</f>
        <v>-0.46861800429198858</v>
      </c>
      <c r="H15" s="160">
        <f>'Dane po transformacji i odbieg'!J230</f>
        <v>-0.60703496800281931</v>
      </c>
      <c r="I15" s="160">
        <f>'Dane po transformacji i odbieg'!K230</f>
        <v>-0.62467796434097778</v>
      </c>
      <c r="J15" s="160">
        <f>'Dane po transformacji i odbieg'!L230</f>
        <v>-0.69585873335433646</v>
      </c>
      <c r="M15" s="175">
        <v>-0.38400000000000001</v>
      </c>
      <c r="N15" s="175">
        <v>-0.19769999999999999</v>
      </c>
      <c r="O15" s="175">
        <v>-0.19</v>
      </c>
    </row>
    <row r="16" spans="1:17" ht="20.100000000000001" customHeight="1" x14ac:dyDescent="0.2">
      <c r="A16" s="159">
        <v>14</v>
      </c>
      <c r="B16" s="165" t="s">
        <v>48</v>
      </c>
      <c r="C16" s="160">
        <f>'Dane po transformacji i odbieg'!E231</f>
        <v>-0.8925582607924053</v>
      </c>
      <c r="D16" s="160">
        <f>'Dane po transformacji i odbieg'!F231</f>
        <v>-1.7775539436989365</v>
      </c>
      <c r="E16" s="160">
        <f>'Dane po transformacji i odbieg'!G231</f>
        <v>1.7117686013811038</v>
      </c>
      <c r="F16" s="160">
        <f>'Dane po transformacji i odbieg'!H231</f>
        <v>-1.0192438825219219</v>
      </c>
      <c r="G16" s="160">
        <f>'Dane po transformacji i odbieg'!I231</f>
        <v>-0.5251052275673006</v>
      </c>
      <c r="H16" s="160">
        <f>'Dane po transformacji i odbieg'!J231</f>
        <v>-2.1937540036990559</v>
      </c>
      <c r="I16" s="160">
        <f>'Dane po transformacji i odbieg'!K231</f>
        <v>-1.63067884683325</v>
      </c>
      <c r="J16" s="160">
        <f>'Dane po transformacji i odbieg'!L231</f>
        <v>-1.4200557865164751</v>
      </c>
      <c r="M16" s="175">
        <v>-0.41699999999999998</v>
      </c>
      <c r="N16" s="175">
        <v>-0.33339999999999997</v>
      </c>
      <c r="O16" s="175">
        <v>-8.4000000000000005E-2</v>
      </c>
    </row>
    <row r="17" spans="1:15" ht="20.100000000000001" customHeight="1" x14ac:dyDescent="0.2">
      <c r="A17" s="159">
        <v>15</v>
      </c>
      <c r="B17" s="165" t="s">
        <v>158</v>
      </c>
      <c r="C17" s="160">
        <f>'Dane po transformacji i odbieg'!E232</f>
        <v>-1.7743998797896439</v>
      </c>
      <c r="D17" s="160">
        <f>'Dane po transformacji i odbieg'!F232</f>
        <v>0.88405716355120367</v>
      </c>
      <c r="E17" s="160">
        <f>'Dane po transformacji i odbieg'!G232</f>
        <v>1.2124680856646903</v>
      </c>
      <c r="F17" s="160">
        <f>'Dane po transformacji i odbieg'!H232</f>
        <v>-0.47807655334305388</v>
      </c>
      <c r="G17" s="160">
        <f>'Dane po transformacji i odbieg'!I232</f>
        <v>-1.5983624697982293</v>
      </c>
      <c r="H17" s="160">
        <f>'Dane po transformacji i odbieg'!J232</f>
        <v>-0.80260033926478658</v>
      </c>
      <c r="I17" s="160">
        <f>'Dane po transformacji i odbieg'!K232</f>
        <v>-1.6905160587443373</v>
      </c>
      <c r="J17" s="160">
        <f>'Dane po transformacji i odbieg'!L232</f>
        <v>-1.4200557865164751</v>
      </c>
      <c r="M17" s="175">
        <v>-0.69599999999999995</v>
      </c>
      <c r="N17" s="175">
        <v>-0.67079999999999995</v>
      </c>
      <c r="O17" s="175">
        <v>-2.5000000000000001E-2</v>
      </c>
    </row>
    <row r="18" spans="1:15" ht="20.100000000000001" customHeight="1" x14ac:dyDescent="0.2">
      <c r="A18" s="159">
        <v>16</v>
      </c>
      <c r="B18" s="165" t="s">
        <v>52</v>
      </c>
      <c r="C18" s="160">
        <f>'Dane po transformacji i odbieg'!E233</f>
        <v>0.20387931509573873</v>
      </c>
      <c r="D18" s="160">
        <f>'Dane po transformacji i odbieg'!F233</f>
        <v>-9.0390847551900771E-2</v>
      </c>
      <c r="E18" s="160">
        <f>'Dane po transformacji i odbieg'!G233</f>
        <v>-0.78473397720096294</v>
      </c>
      <c r="F18" s="160">
        <f>'Dane po transformacji i odbieg'!H233</f>
        <v>1.0962595696282489</v>
      </c>
      <c r="G18" s="160">
        <f>'Dane po transformacji i odbieg'!I233</f>
        <v>0.15274145173644388</v>
      </c>
      <c r="H18" s="160">
        <f>'Dane po transformacji i odbieg'!J233</f>
        <v>0.27796440321207311</v>
      </c>
      <c r="I18" s="160">
        <f>'Dane po transformacji i odbieg'!K233</f>
        <v>0.40495784986016564</v>
      </c>
      <c r="J18" s="160">
        <f>'Dane po transformacji i odbieg'!L233</f>
        <v>0.53094448709696773</v>
      </c>
      <c r="M18" s="175">
        <v>-1.42</v>
      </c>
      <c r="N18" s="175">
        <v>-1.8824000000000001</v>
      </c>
      <c r="O18" s="175">
        <v>0.46</v>
      </c>
    </row>
    <row r="19" spans="1:15" ht="20.100000000000001" customHeight="1" x14ac:dyDescent="0.2">
      <c r="A19" s="159">
        <v>17</v>
      </c>
      <c r="B19" s="165" t="s">
        <v>53</v>
      </c>
      <c r="C19" s="160">
        <f>'Dane po transformacji i odbieg'!E234</f>
        <v>0.53176791554317937</v>
      </c>
      <c r="D19" s="160">
        <f>'Dane po transformacji i odbieg'!F234</f>
        <v>-8.3768406215698032E-2</v>
      </c>
      <c r="E19" s="160">
        <f>'Dane po transformacji i odbieg'!G234</f>
        <v>0.96281782780648373</v>
      </c>
      <c r="F19" s="160">
        <f>'Dane po transformacji i odbieg'!H234</f>
        <v>-0.7695783303625674</v>
      </c>
      <c r="G19" s="160">
        <f>'Dane po transformacji i odbieg'!I234</f>
        <v>-7.3207441364804282E-2</v>
      </c>
      <c r="H19" s="160">
        <f>'Dane po transformacji i odbieg'!J234</f>
        <v>1.0421005554933913</v>
      </c>
      <c r="I19" s="160">
        <f>'Dane po transformacji i odbieg'!K234</f>
        <v>0.60288013905483095</v>
      </c>
      <c r="J19" s="160">
        <f>'Dane po transformacji i odbieg'!L234</f>
        <v>0.92520404566128722</v>
      </c>
      <c r="M19" s="175">
        <v>-1.42</v>
      </c>
      <c r="N19" s="175">
        <v>-1.4088000000000001</v>
      </c>
      <c r="O19" s="175">
        <v>-1.0999999999999999E-2</v>
      </c>
    </row>
    <row r="20" spans="1:15" ht="20.100000000000001" customHeight="1" x14ac:dyDescent="0.2">
      <c r="A20" s="159">
        <v>18</v>
      </c>
      <c r="B20" s="165" t="s">
        <v>54</v>
      </c>
      <c r="C20" s="160">
        <f>'Dane po transformacji i odbieg'!E235</f>
        <v>-0.17612824906161295</v>
      </c>
      <c r="D20" s="160">
        <f>'Dane po transformacji i odbieg'!F235</f>
        <v>1.7078891729381513</v>
      </c>
      <c r="E20" s="160">
        <f>'Dane po transformacji i odbieg'!G235</f>
        <v>0.96281782780648373</v>
      </c>
      <c r="F20" s="160">
        <f>'Dane po transformacji i odbieg'!H235</f>
        <v>-0.70237174552284765</v>
      </c>
      <c r="G20" s="160">
        <f>'Dane po transformacji i odbieg'!I235</f>
        <v>0.49166479138831609</v>
      </c>
      <c r="H20" s="160">
        <f>'Dane po transformacji i odbieg'!J235</f>
        <v>-1.4332025908413728</v>
      </c>
      <c r="I20" s="160">
        <f>'Dane po transformacji i odbieg'!K235</f>
        <v>-0.27815278786426662</v>
      </c>
      <c r="J20" s="160">
        <f>'Dane po transformacji i odbieg'!L235</f>
        <v>-0.96890975748290054</v>
      </c>
      <c r="M20" s="175">
        <v>0.53100000000000003</v>
      </c>
      <c r="N20" s="175">
        <v>0.2903</v>
      </c>
      <c r="O20" s="175">
        <v>0.24</v>
      </c>
    </row>
    <row r="21" spans="1:15" ht="20.100000000000001" customHeight="1" x14ac:dyDescent="0.2">
      <c r="A21" s="159">
        <v>19</v>
      </c>
      <c r="B21" s="165" t="s">
        <v>50</v>
      </c>
      <c r="C21" s="160">
        <f>'Dane po transformacji i odbieg'!E236</f>
        <v>1.047108285166634</v>
      </c>
      <c r="D21" s="160">
        <f>'Dane po transformacji i odbieg'!F236</f>
        <v>-7.7422588052516242E-2</v>
      </c>
      <c r="E21" s="160">
        <f>'Dane po transformacji i odbieg'!G236</f>
        <v>-1.2424261166076751</v>
      </c>
      <c r="F21" s="160">
        <f>'Dane po transformacji i odbieg'!H236</f>
        <v>-0.76214610542842742</v>
      </c>
      <c r="G21" s="160">
        <f>'Dane po transformacji i odbieg'!I236</f>
        <v>0.88707535431550044</v>
      </c>
      <c r="H21" s="160">
        <f>'Dane po transformacji i odbieg'!J236</f>
        <v>1.6145132574243752</v>
      </c>
      <c r="I21" s="160">
        <f>'Dane po transformacji i odbieg'!K236</f>
        <v>0.60288013905483095</v>
      </c>
      <c r="J21" s="160">
        <f>'Dane po transformacji i odbieg'!L236</f>
        <v>1.2984081197578203</v>
      </c>
      <c r="M21" s="175">
        <v>0.92500000000000004</v>
      </c>
      <c r="N21" s="175">
        <v>0.88380000000000003</v>
      </c>
      <c r="O21" s="175">
        <v>4.1000000000000002E-2</v>
      </c>
    </row>
    <row r="22" spans="1:15" ht="20.100000000000001" customHeight="1" x14ac:dyDescent="0.2">
      <c r="A22" s="159">
        <v>20</v>
      </c>
      <c r="B22" s="165" t="s">
        <v>59</v>
      </c>
      <c r="C22" s="160">
        <f>'Dane po transformacji i odbieg'!E237</f>
        <v>0.74029751135530053</v>
      </c>
      <c r="D22" s="160">
        <f>'Dane po transformacji i odbieg'!F237</f>
        <v>-6.4040009262825923E-2</v>
      </c>
      <c r="E22" s="160">
        <f>'Dane po transformacji i odbieg'!G237</f>
        <v>-1.0343842350591697</v>
      </c>
      <c r="F22" s="160">
        <f>'Dane po transformacji i odbieg'!H237</f>
        <v>7.9281213754702914E-2</v>
      </c>
      <c r="G22" s="160">
        <f>'Dane po transformacji i odbieg'!I237</f>
        <v>1.6214092568945568</v>
      </c>
      <c r="H22" s="160">
        <f>'Dane po transformacji i odbieg'!J237</f>
        <v>-1.3966962661436617E-2</v>
      </c>
      <c r="I22" s="160">
        <f>'Dane po transformacji i odbieg'!K237</f>
        <v>1.6729409766913648</v>
      </c>
      <c r="J22" s="160">
        <f>'Dane po transformacji i odbieg'!L237</f>
        <v>1.0559602549408837</v>
      </c>
      <c r="M22" s="175">
        <v>-0.96899999999999997</v>
      </c>
      <c r="N22" s="175">
        <v>-0.70220000000000005</v>
      </c>
      <c r="O22" s="175">
        <v>-0.27</v>
      </c>
    </row>
    <row r="23" spans="1:15" ht="20.100000000000001" customHeight="1" x14ac:dyDescent="0.2">
      <c r="A23" s="159">
        <v>21</v>
      </c>
      <c r="B23" s="165" t="s">
        <v>61</v>
      </c>
      <c r="C23" s="160">
        <f>'Dane po transformacji i odbieg'!E238</f>
        <v>-0.12651819560253355</v>
      </c>
      <c r="D23" s="160">
        <f>'Dane po transformacji i odbieg'!F238</f>
        <v>-8.8027075315400174E-2</v>
      </c>
      <c r="E23" s="160">
        <f>'Dane po transformacji i odbieg'!G238</f>
        <v>-0.78473397720096294</v>
      </c>
      <c r="F23" s="160">
        <f>'Dane po transformacji i odbieg'!H238</f>
        <v>0.83677366071407366</v>
      </c>
      <c r="G23" s="160">
        <f>'Dane po transformacji i odbieg'!I238</f>
        <v>-7.3207441364804282E-2</v>
      </c>
      <c r="H23" s="160">
        <f>'Dane po transformacji i odbieg'!J238</f>
        <v>8.6433908228157511E-2</v>
      </c>
      <c r="I23" s="160">
        <f>'Dane po transformacji i odbieg'!K238</f>
        <v>0.40495784986016564</v>
      </c>
      <c r="J23" s="160">
        <f>'Dane po transformacji i odbieg'!L238</f>
        <v>0.31972559685492913</v>
      </c>
      <c r="M23" s="175">
        <v>1.298</v>
      </c>
      <c r="N23" s="175">
        <v>1.1132</v>
      </c>
      <c r="O23" s="175">
        <v>0.18</v>
      </c>
    </row>
    <row r="24" spans="1:15" ht="20.100000000000001" customHeight="1" x14ac:dyDescent="0.2">
      <c r="A24" s="159">
        <v>22</v>
      </c>
      <c r="B24" s="165" t="s">
        <v>63</v>
      </c>
      <c r="C24" s="160">
        <f>'Dane po transformacji i odbieg'!E239</f>
        <v>0.25884675548128311</v>
      </c>
      <c r="D24" s="160">
        <f>'Dane po transformacji i odbieg'!F239</f>
        <v>-4.9757456660702165E-2</v>
      </c>
      <c r="E24" s="160">
        <f>'Dane po transformacji i odbieg'!G239</f>
        <v>-0.28543346148454957</v>
      </c>
      <c r="F24" s="160">
        <f>'Dane po transformacji i odbieg'!H239</f>
        <v>0.67866142699897658</v>
      </c>
      <c r="G24" s="160">
        <f>'Dane po transformacji i odbieg'!I239</f>
        <v>0.49166479138831609</v>
      </c>
      <c r="H24" s="160">
        <f>'Dane po transformacji i odbieg'!J239</f>
        <v>-4.8170870307037754E-2</v>
      </c>
      <c r="I24" s="160">
        <f>'Dane po transformacji i odbieg'!K239</f>
        <v>0.95077814368906466</v>
      </c>
      <c r="J24" s="160">
        <f>'Dane po transformacji i odbieg'!L239</f>
        <v>0.61932718530326014</v>
      </c>
      <c r="M24" s="175">
        <v>1.056</v>
      </c>
      <c r="N24" s="175">
        <v>1.1017999999999999</v>
      </c>
      <c r="O24" s="175">
        <v>-4.5999999999999999E-2</v>
      </c>
    </row>
    <row r="25" spans="1:15" ht="20.100000000000001" customHeight="1" x14ac:dyDescent="0.2">
      <c r="A25" s="159">
        <v>23</v>
      </c>
      <c r="B25" s="165" t="s">
        <v>219</v>
      </c>
      <c r="C25" s="160">
        <f>'Dane po transformacji i odbieg'!E240</f>
        <v>0.53176791554317937</v>
      </c>
      <c r="D25" s="160">
        <f>'Dane po transformacji i odbieg'!F240</f>
        <v>-8.3668728473387882E-2</v>
      </c>
      <c r="E25" s="160">
        <f>'Dane po transformacji i odbieg'!G240</f>
        <v>0.96281782780648373</v>
      </c>
      <c r="F25" s="160">
        <f>'Dane po transformacji i odbieg'!H240</f>
        <v>-0.7695783303625674</v>
      </c>
      <c r="G25" s="160">
        <f>'Dane po transformacji i odbieg'!I240</f>
        <v>-7.3207441364804282E-2</v>
      </c>
      <c r="H25" s="160">
        <f>'Dane po transformacji i odbieg'!J240</f>
        <v>1.0421005554933913</v>
      </c>
      <c r="I25" s="160">
        <f>'Dane po transformacji i odbieg'!K240</f>
        <v>0.60288013905483095</v>
      </c>
      <c r="J25" s="160">
        <f>'Dane po transformacji i odbieg'!L240</f>
        <v>0.92520404566128722</v>
      </c>
      <c r="M25" s="175">
        <v>0.32</v>
      </c>
      <c r="N25" s="175">
        <v>0.23469999999999999</v>
      </c>
      <c r="O25" s="175">
        <v>8.5000000000000006E-2</v>
      </c>
    </row>
    <row r="26" spans="1:15" ht="20.100000000000001" customHeight="1" x14ac:dyDescent="0.2">
      <c r="A26" s="159">
        <v>24</v>
      </c>
      <c r="B26" s="165" t="s">
        <v>65</v>
      </c>
      <c r="C26" s="160">
        <f>'Dane po transformacji i odbieg'!E241</f>
        <v>0.13988976484874766</v>
      </c>
      <c r="D26" s="160">
        <f>'Dane po transformacji i odbieg'!F241</f>
        <v>-3.8030039615839083E-2</v>
      </c>
      <c r="E26" s="160">
        <f>'Dane po transformacji i odbieg'!G241</f>
        <v>-0.28543346148454957</v>
      </c>
      <c r="F26" s="160">
        <f>'Dane po transformacji i odbieg'!H241</f>
        <v>0.5881012686806919</v>
      </c>
      <c r="G26" s="160">
        <f>'Dane po transformacji i odbieg'!I241</f>
        <v>9.6254228461131838E-2</v>
      </c>
      <c r="H26" s="160">
        <f>'Dane po transformacji i odbieg'!J241</f>
        <v>0.30876487769857591</v>
      </c>
      <c r="I26" s="160">
        <f>'Dane po transformacji i odbieg'!K241</f>
        <v>0.40495784986016564</v>
      </c>
      <c r="J26" s="160">
        <f>'Dane po transformacji i odbieg'!L241</f>
        <v>0.24511333666357379</v>
      </c>
      <c r="M26" s="175">
        <v>0.61899999999999999</v>
      </c>
      <c r="N26" s="175">
        <v>0.55759999999999998</v>
      </c>
      <c r="O26" s="175">
        <v>6.0999999999999999E-2</v>
      </c>
    </row>
    <row r="27" spans="1:15" ht="20.100000000000001" customHeight="1" thickBot="1" x14ac:dyDescent="0.25">
      <c r="A27" s="159">
        <v>25</v>
      </c>
      <c r="B27" s="165" t="s">
        <v>66</v>
      </c>
      <c r="C27" s="162">
        <f>'Dane po transformacji i odbieg'!E242</f>
        <v>0.87981872451229348</v>
      </c>
      <c r="D27" s="162">
        <f>'Dane po transformacji i odbieg'!F242</f>
        <v>-8.3768406215698032E-2</v>
      </c>
      <c r="E27" s="162">
        <f>'Dane po transformacji i odbieg'!G242</f>
        <v>-0.78473397720096294</v>
      </c>
      <c r="F27" s="162">
        <f>'Dane po transformacji i odbieg'!H242</f>
        <v>0.80479066010877753</v>
      </c>
      <c r="G27" s="162">
        <f>'Dane po transformacji i odbieg'!I242</f>
        <v>1.2824859172426846</v>
      </c>
      <c r="H27" s="162">
        <f>'Dane po transformacji i odbieg'!J242</f>
        <v>0.15160309731550248</v>
      </c>
      <c r="I27" s="162">
        <f>'Dane po transformacji i odbieg'!K242</f>
        <v>1.331688299812392</v>
      </c>
      <c r="J27" s="162">
        <f>'Dane po transformacji i odbieg'!L242</f>
        <v>0.90594750891625342</v>
      </c>
      <c r="M27" s="175">
        <v>0.92500000000000004</v>
      </c>
      <c r="N27" s="175">
        <v>0.88380000000000003</v>
      </c>
      <c r="O27" s="175">
        <v>4.1000000000000002E-2</v>
      </c>
    </row>
    <row r="28" spans="1:15" ht="20.100000000000001" customHeight="1" thickTop="1" x14ac:dyDescent="0.2">
      <c r="A28" s="208" t="str">
        <f>'Dane po transformacji i odbieg'!C243</f>
        <v>Średnia</v>
      </c>
      <c r="B28" s="208">
        <f>'Dane po transformacji i odbieg'!D243</f>
        <v>0</v>
      </c>
      <c r="C28" s="163">
        <f>'Dane po transformacji i odbieg'!E243</f>
        <v>-9.7699626167013783E-16</v>
      </c>
      <c r="D28" s="163">
        <f>'Dane po transformacji i odbieg'!F243</f>
        <v>1.6653345369377347E-17</v>
      </c>
      <c r="E28" s="163">
        <f>'Dane po transformacji i odbieg'!G243</f>
        <v>0</v>
      </c>
      <c r="F28" s="163">
        <f>'Dane po transformacji i odbieg'!H243</f>
        <v>-1.1546319456101628E-16</v>
      </c>
      <c r="G28" s="163">
        <f>'Dane po transformacji i odbieg'!I243</f>
        <v>7.9936057773011268E-17</v>
      </c>
      <c r="H28" s="163">
        <f>'Dane po transformacji i odbieg'!J243</f>
        <v>2.7822188997106421E-15</v>
      </c>
      <c r="I28" s="163">
        <f>'Dane po transformacji i odbieg'!K243</f>
        <v>-1.1546319456101628E-16</v>
      </c>
      <c r="J28" s="163">
        <f>'Dane po transformacji i odbieg'!L243</f>
        <v>-2.5579538487363606E-15</v>
      </c>
      <c r="M28" s="175">
        <v>0.245</v>
      </c>
      <c r="N28" s="175">
        <v>0.34489999999999998</v>
      </c>
      <c r="O28" s="175">
        <v>-0.1</v>
      </c>
    </row>
    <row r="29" spans="1:15" ht="20.100000000000001" customHeight="1" x14ac:dyDescent="0.2">
      <c r="A29" s="209" t="str">
        <f>'Dane po transformacji i odbieg'!C244</f>
        <v>Odch. stand.</v>
      </c>
      <c r="B29" s="209">
        <f>'Dane po transformacji i odbieg'!D244</f>
        <v>0</v>
      </c>
      <c r="C29" s="164">
        <f>'Dane po transformacji i odbieg'!E244</f>
        <v>1</v>
      </c>
      <c r="D29" s="164">
        <f>'Dane po transformacji i odbieg'!F244</f>
        <v>0.99999999999999978</v>
      </c>
      <c r="E29" s="164">
        <f>'Dane po transformacji i odbieg'!G244</f>
        <v>0.99999999999999978</v>
      </c>
      <c r="F29" s="164">
        <f>'Dane po transformacji i odbieg'!H244</f>
        <v>1</v>
      </c>
      <c r="G29" s="164">
        <f>'Dane po transformacji i odbieg'!I244</f>
        <v>0.99999999999999978</v>
      </c>
      <c r="H29" s="164">
        <f>'Dane po transformacji i odbieg'!J244</f>
        <v>1</v>
      </c>
      <c r="I29" s="164">
        <f>'Dane po transformacji i odbieg'!K244</f>
        <v>1</v>
      </c>
      <c r="J29" s="164">
        <f>'Dane po transformacji i odbieg'!L244</f>
        <v>1</v>
      </c>
      <c r="M29" s="175">
        <v>0.90600000000000003</v>
      </c>
      <c r="N29" s="175">
        <v>0.88109999999999999</v>
      </c>
      <c r="O29" s="175">
        <v>2.5000000000000001E-2</v>
      </c>
    </row>
    <row r="30" spans="1:15" ht="20.100000000000001" customHeight="1" x14ac:dyDescent="0.2"/>
    <row r="31" spans="1:15" ht="20.100000000000001" customHeight="1" x14ac:dyDescent="0.2"/>
    <row r="32" spans="1:15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</sheetData>
  <mergeCells count="5">
    <mergeCell ref="A1:J1"/>
    <mergeCell ref="A28:B28"/>
    <mergeCell ref="A29:B29"/>
    <mergeCell ref="L2:Q2"/>
    <mergeCell ref="L3:Q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68190-D531-4BEB-8430-44203B2C2546}">
  <dimension ref="A1:AL65"/>
  <sheetViews>
    <sheetView tabSelected="1" topLeftCell="A31" zoomScale="70" zoomScaleNormal="70" workbookViewId="0">
      <selection activeCell="A31" sqref="A31:AA65"/>
    </sheetView>
  </sheetViews>
  <sheetFormatPr defaultColWidth="12.7109375" defaultRowHeight="20.100000000000001" customHeight="1" x14ac:dyDescent="0.2"/>
  <cols>
    <col min="1" max="16384" width="12.7109375" style="155"/>
  </cols>
  <sheetData>
    <row r="1" spans="1:38" ht="20.100000000000001" customHeight="1" x14ac:dyDescent="0.2">
      <c r="A1" s="214" t="str">
        <f>'Dane po transformacji i odbieg'!C216</f>
        <v>Autoskalowane dane</v>
      </c>
      <c r="B1" s="214">
        <f>'Dane po transformacji i odbieg'!D216</f>
        <v>0</v>
      </c>
      <c r="C1" s="214">
        <f>'Dane po transformacji i odbieg'!E216</f>
        <v>0</v>
      </c>
      <c r="D1" s="214">
        <f>'Dane po transformacji i odbieg'!F216</f>
        <v>0</v>
      </c>
      <c r="E1" s="214">
        <f>'Dane po transformacji i odbieg'!G216</f>
        <v>0</v>
      </c>
      <c r="F1" s="214">
        <f>'Dane po transformacji i odbieg'!H216</f>
        <v>0</v>
      </c>
      <c r="G1" s="214">
        <f>'Dane po transformacji i odbieg'!I216</f>
        <v>0</v>
      </c>
      <c r="H1" s="214">
        <f>'Dane po transformacji i odbieg'!J216</f>
        <v>0</v>
      </c>
      <c r="I1" s="214">
        <f>'Dane po transformacji i odbieg'!K216</f>
        <v>0</v>
      </c>
      <c r="J1" s="214">
        <f>'Dane po transformacji i odbieg'!L216</f>
        <v>0</v>
      </c>
      <c r="L1" s="213" t="s">
        <v>165</v>
      </c>
      <c r="M1" s="213"/>
      <c r="N1" s="213"/>
      <c r="O1" s="213"/>
      <c r="P1" s="213"/>
      <c r="Q1" s="213"/>
      <c r="R1" s="213"/>
      <c r="S1" s="213"/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</row>
    <row r="2" spans="1:38" ht="20.100000000000001" customHeight="1" x14ac:dyDescent="0.2">
      <c r="A2" s="55" t="s">
        <v>2</v>
      </c>
      <c r="B2" s="56" t="s">
        <v>22</v>
      </c>
      <c r="C2" s="56" t="s">
        <v>106</v>
      </c>
      <c r="D2" s="56" t="s">
        <v>107</v>
      </c>
      <c r="E2" s="56" t="s">
        <v>88</v>
      </c>
      <c r="F2" s="56" t="s">
        <v>108</v>
      </c>
      <c r="G2" s="56" t="s">
        <v>90</v>
      </c>
      <c r="H2" s="56" t="s">
        <v>109</v>
      </c>
      <c r="I2" s="56" t="s">
        <v>110</v>
      </c>
      <c r="J2" s="57" t="s">
        <v>111</v>
      </c>
      <c r="M2" s="167" t="s">
        <v>2</v>
      </c>
      <c r="N2" s="2">
        <v>1</v>
      </c>
      <c r="O2" s="2">
        <v>2</v>
      </c>
      <c r="P2" s="2">
        <v>3</v>
      </c>
      <c r="Q2" s="2">
        <v>4</v>
      </c>
      <c r="R2" s="2">
        <v>5</v>
      </c>
      <c r="S2" s="2">
        <v>6</v>
      </c>
      <c r="T2" s="2">
        <v>7</v>
      </c>
      <c r="U2" s="2">
        <v>8</v>
      </c>
      <c r="V2" s="2">
        <v>9</v>
      </c>
      <c r="W2" s="2">
        <v>10</v>
      </c>
      <c r="X2" s="2">
        <v>11</v>
      </c>
      <c r="Y2" s="2">
        <v>12</v>
      </c>
      <c r="Z2" s="2">
        <v>13</v>
      </c>
      <c r="AA2" s="2">
        <v>14</v>
      </c>
      <c r="AB2" s="2">
        <v>15</v>
      </c>
      <c r="AC2" s="2">
        <v>16</v>
      </c>
      <c r="AD2" s="2">
        <v>17</v>
      </c>
      <c r="AE2" s="2">
        <v>18</v>
      </c>
      <c r="AF2" s="2">
        <v>19</v>
      </c>
      <c r="AG2" s="2">
        <v>20</v>
      </c>
      <c r="AH2" s="2">
        <v>21</v>
      </c>
      <c r="AI2" s="2">
        <v>22</v>
      </c>
      <c r="AJ2" s="2">
        <v>23</v>
      </c>
      <c r="AK2" s="2">
        <v>24</v>
      </c>
      <c r="AL2" s="2">
        <v>25</v>
      </c>
    </row>
    <row r="3" spans="1:38" ht="20.100000000000001" customHeight="1" x14ac:dyDescent="0.2">
      <c r="A3" s="6">
        <v>1</v>
      </c>
      <c r="B3" s="168" t="s">
        <v>28</v>
      </c>
      <c r="C3" s="43">
        <f>'Dane po transformacji i odbieg'!E218</f>
        <v>-0.33894368183807799</v>
      </c>
      <c r="D3" s="43">
        <f>'Dane po transformacji i odbieg'!F218</f>
        <v>-8.2505619498528679E-2</v>
      </c>
      <c r="E3" s="43">
        <f>'Dane po transformacji i odbieg'!G218</f>
        <v>-1.3672512455367785</v>
      </c>
      <c r="F3" s="43">
        <f>'Dane po transformacji i odbieg'!H218</f>
        <v>-1.2170025332099554</v>
      </c>
      <c r="G3" s="43">
        <f>'Dane po transformacji i odbieg'!I218</f>
        <v>-1.0334902370451089</v>
      </c>
      <c r="H3" s="43">
        <f>'Dane po transformacji i odbieg'!J218</f>
        <v>0.89349175519449342</v>
      </c>
      <c r="I3" s="43">
        <f>'Dane po transformacji i odbieg'!K218</f>
        <v>-0.36192218289067796</v>
      </c>
      <c r="J3" s="43">
        <f>'Dane po transformacji i odbieg'!L218</f>
        <v>0.19409189023346382</v>
      </c>
      <c r="L3" s="167" t="s">
        <v>2</v>
      </c>
      <c r="M3" s="72" t="s">
        <v>22</v>
      </c>
      <c r="N3" s="169" t="s">
        <v>28</v>
      </c>
      <c r="O3" s="169" t="s">
        <v>29</v>
      </c>
      <c r="P3" s="169" t="s">
        <v>30</v>
      </c>
      <c r="Q3" s="169" t="s">
        <v>31</v>
      </c>
      <c r="R3" s="169" t="s">
        <v>32</v>
      </c>
      <c r="S3" s="169" t="s">
        <v>33</v>
      </c>
      <c r="T3" s="169" t="s">
        <v>34</v>
      </c>
      <c r="U3" s="169" t="s">
        <v>35</v>
      </c>
      <c r="V3" s="169" t="s">
        <v>36</v>
      </c>
      <c r="W3" s="169" t="s">
        <v>40</v>
      </c>
      <c r="X3" s="169" t="s">
        <v>41</v>
      </c>
      <c r="Y3" s="169" t="s">
        <v>42</v>
      </c>
      <c r="Z3" s="169" t="s">
        <v>43</v>
      </c>
      <c r="AA3" s="169" t="s">
        <v>48</v>
      </c>
      <c r="AB3" s="169" t="s">
        <v>158</v>
      </c>
      <c r="AC3" s="169" t="s">
        <v>52</v>
      </c>
      <c r="AD3" s="169" t="s">
        <v>53</v>
      </c>
      <c r="AE3" s="169" t="s">
        <v>54</v>
      </c>
      <c r="AF3" s="169" t="s">
        <v>50</v>
      </c>
      <c r="AG3" s="169" t="s">
        <v>59</v>
      </c>
      <c r="AH3" s="169" t="s">
        <v>61</v>
      </c>
      <c r="AI3" s="169" t="s">
        <v>63</v>
      </c>
      <c r="AJ3" s="169" t="s">
        <v>219</v>
      </c>
      <c r="AK3" s="169" t="s">
        <v>65</v>
      </c>
      <c r="AL3" s="169" t="s">
        <v>66</v>
      </c>
    </row>
    <row r="4" spans="1:38" ht="20.100000000000001" customHeight="1" x14ac:dyDescent="0.2">
      <c r="A4" s="6">
        <v>2</v>
      </c>
      <c r="B4" s="168" t="s">
        <v>29</v>
      </c>
      <c r="C4" s="43">
        <f>'Dane po transformacji i odbieg'!E219</f>
        <v>-0.31262246637878111</v>
      </c>
      <c r="D4" s="43">
        <f>'Dane po transformacji i odbieg'!F219</f>
        <v>-9.4069815335755341E-2</v>
      </c>
      <c r="E4" s="43">
        <f>'Dane po transformacji i odbieg'!G219</f>
        <v>-0.78473397720096294</v>
      </c>
      <c r="F4" s="43">
        <f>'Dane po transformacji i odbieg'!H219</f>
        <v>0.84540278157484616</v>
      </c>
      <c r="G4" s="43">
        <f>'Dane po transformacji i odbieg'!I219</f>
        <v>-0.41213078101667655</v>
      </c>
      <c r="H4" s="43">
        <f>'Dane po transformacji i odbieg'!J219</f>
        <v>-0.11773384600344719</v>
      </c>
      <c r="I4" s="43">
        <f>'Dane po transformacji i odbieg'!K219</f>
        <v>5.4504078474133272E-2</v>
      </c>
      <c r="J4" s="43">
        <f>'Dane po transformacji i odbieg'!L219</f>
        <v>-2.1213627665209331E-2</v>
      </c>
      <c r="L4" s="2">
        <v>1</v>
      </c>
      <c r="M4" s="169" t="s">
        <v>28</v>
      </c>
      <c r="N4" s="170">
        <v>0</v>
      </c>
      <c r="O4" s="8">
        <f>SQRT(($C$4-$C3)^2+($D$4-$D3)^2+($E$4-$E3)^2+($F$4-$F3)^2+($G$4-$G3)^2+($H$4-$H3)^2+($I$4-$I3)^2+($J$4-$J3)^2)</f>
        <v>2.4944138940193166</v>
      </c>
      <c r="P4" s="8">
        <f>SQRT(($C$5-$C3)^2+($D$5-$D3)^2+($E$5-$E3)^2+($F$5-$F3)^2+($G$5-$G3)^2+($H$5-$H3)^2+($I$5-$I3)^2+($J$5-$J3)^2)</f>
        <v>3.3681988124826323</v>
      </c>
      <c r="Q4" s="8">
        <f>SQRT(($C$6-$C3)^2+($D$6-$D3)^2+($E$6-$E3)^2+($F$6-$F3)^2+($G$6-$G3)^2+($H$6-$H3)^2+($I$6-$I3)^2+($J$6-$J3)^2)</f>
        <v>2.832124320458858</v>
      </c>
      <c r="R4" s="8">
        <f>SQRT(($C$7-$C3)^2+($D$7-$D3)^2+($E$7-$E3)^2+($F$7-$F3)^2+($G$7-$G3)^2+($H$7-$H3)^2+($I$7-$I3)^2+($J$7-$J3)^2)</f>
        <v>5.609475576220718</v>
      </c>
      <c r="S4" s="8">
        <f>SQRT(($C$8-$C3)^2+($D$8-$D3)^2+($E$8-$E3)^2+($F$8-$F3)^2+($G$8-$G3)^2+($H$8-$H3)^2+($I$8-$I3)^2+($J$8-$J3)^2)</f>
        <v>3.918851063216378</v>
      </c>
      <c r="T4" s="8">
        <f>SQRT(($C$9-$C3)^2+($D$9-$D3)^2+($E$9-$E3)^2+($F$9-$F3)^2+($G$9-$G3)^2+($H$9-$H3)^2+($I$9-$I3)^2+($J$9-$J3)^2)</f>
        <v>3.9129860374688601</v>
      </c>
      <c r="U4" s="8">
        <f>SQRT(($C$10-$C3)^2+($D$10-$D3)^2+($E$10-$E3)^2+($F$10-$F3)^2+($G$10-$G3)^2+($H$10-$H3)^2+($I$10-$I3)^2+($J$10-$J3)^2)</f>
        <v>5.4216062291943192</v>
      </c>
      <c r="V4" s="8">
        <f>SQRT(($C$11-$C3)^2+($D$11-$D3)^2+($E$11-$E3)^2+($F$11-$F3)^2+($G$11-$G3)^2+($H$11-$H3)^2+($I$11-$I3)^2+($J$11-$J3)^2)</f>
        <v>4.6326426182237297</v>
      </c>
      <c r="W4" s="8">
        <f>SQRT(($C$12-$C3)^2+($D$12-$D3)^2+($E$12-$E3)^2+($F$12-$F3)^2+($G$12-$G3)^2+($H$12-$H3)^2+($I$12-$I3)^2+($J$12-$J3)^2)</f>
        <v>3.7157950825577273</v>
      </c>
      <c r="X4" s="8">
        <f>SQRT(($C$13-$C3)^2+($D$13-$D3)^2+($E$13-$E3)^2+($F$13-$F3)^2+($G$13-$G3)^2+($H$13-$H3)^2+($I$13-$I3)^2+($J$13-$J3)^2)</f>
        <v>1.0066498423256809</v>
      </c>
      <c r="Y4" s="8">
        <f>SQRT(($C$14-$C3)^2+($D$14-$D3)^2+($E$14-$E3)^2+($F$14-$F3)^2+($G$14-$G3)^2+($H$14-$H3)^2+($I$14-$I3)^2+($J$14-$J3)^2)</f>
        <v>3.7682302846485149</v>
      </c>
      <c r="Z4" s="8">
        <f>SQRT(($C$15-$C3)^2+($D$15-$D3)^2+($E$15-$E3)^2+($F$15-$F3)^2+($G$15-$G3)^2+($H$15-$H3)^2+($I$15-$I3)^2+($J$15-$J3)^2)</f>
        <v>3.1970376180511146</v>
      </c>
      <c r="AA4" s="8">
        <f>SQRT(($C$16-$C3)^2+($D$16-$D3)^2+($E$16-$E3)^2+($F$16-$F3)^2+($G$16-$G3)^2+($H$16-$H3)^2+($I$16-$I3)^2+($J$16-$J3)^2)</f>
        <v>5.1675823663842477</v>
      </c>
      <c r="AB4" s="8">
        <f>SQRT(($C$17-$C3)^2+($D$17-$D3)^2+($E$17-$E3)^2+($F$17-$F3)^2+($G$17-$G3)^2+($H$17-$H3)^2+($I$17-$I3)^2+($J$17-$J3)^2)</f>
        <v>4.2145207299107046</v>
      </c>
      <c r="AC4" s="8">
        <f>SQRT(($C$18-$C3)^2+($D$18-$D3)^2+($E$18-$E3)^2+($F$18-$F3)^2+($G$18-$G3)^2+($H$18-$H3)^2+($I$18-$I3)^2+($J$18-$J3)^2)</f>
        <v>2.9108110732770278</v>
      </c>
      <c r="AD4" s="8">
        <f>SQRT(($C$19-$C3)^2+($D$19-$D3)^2+($E$19-$E3)^2+($F$19-$F3)^2+($G$19-$G3)^2+($H$19-$H3)^2+($I$19-$I3)^2+($J$19-$J3)^2)</f>
        <v>2.9659984342107273</v>
      </c>
      <c r="AE4" s="8">
        <f>SQRT(($C$20-$C3)^2+($D$20-$D3)^2+($E$20-$E3)^2+($F$20-$F3)^2+($G$20-$G3)^2+($H$20-$H3)^2+($I$20-$I3)^2+($J$20-$J3)^2)</f>
        <v>4.2456193537440274</v>
      </c>
      <c r="AF4" s="8">
        <f>SQRT(($C$21-$C3)^2+($D$21-$D3)^2+($E$21-$E3)^2+($F$21-$F3)^2+($G$21-$G3)^2+($H$21-$H3)^2+($I$21-$I3)^2+($J$21-$J3)^2)</f>
        <v>2.9158949960125709</v>
      </c>
      <c r="AG4" s="8">
        <f>SQRT(($C$22-$C3)^2+($D$22-$D3)^2+($E$22-$E3)^2+($F$22-$F3)^2+($G$22-$G3)^2+($H$22-$H3)^2+($I$22-$I3)^2+($J$22-$J3)^2)</f>
        <v>3.9638002390379561</v>
      </c>
      <c r="AH4" s="8">
        <f>SQRT(($C$23-$C3)^2+($D$23-$D3)^2+($E$23-$E3)^2+($F$23-$F3)^2+($G$23-$G3)^2+($H$23-$H3)^2+($I$23-$I3)^2+($J$23-$J3)^2)</f>
        <v>2.6038149560243595</v>
      </c>
      <c r="AI4" s="8">
        <f>SQRT(($C$24-$C3)^2+($D$24-$D3)^2+($E$24-$E3)^2+($F$24-$F3)^2+($G$24-$G3)^2+($H$24-$H3)^2+($I$24-$I3)^2+($J$24-$J3)^2)</f>
        <v>3.1998642130009625</v>
      </c>
      <c r="AJ4" s="8">
        <f>SQRT(($C$25-$C3)^2+($D$25-$D3)^2+($E$25-$E3)^2+($F$25-$F3)^2+($G$25-$G3)^2+($H$25-$H3)^2+($I$25-$I3)^2+($J$25-$J3)^2)</f>
        <v>2.9659983934474203</v>
      </c>
      <c r="AK4" s="8">
        <f>SQRT(($C$26-$C3)^2+($D$26-$D3)^2+($E$26-$E3)^2+($F$26-$F3)^2+($G$26-$G3)^2+($H$26-$H3)^2+($I$26-$I3)^2+($J$26-$J3)^2)</f>
        <v>2.6208634553519752</v>
      </c>
      <c r="AL4" s="8">
        <f>SQRT(($C$27-$C3)^2+($D$27-$D3)^2+($E$27-$E3)^2+($F$27-$F3)^2+($G$27-$G3)^2+($H$27-$H3)^2+($I$27-$I3)^2+($J$27-$J3)^2)</f>
        <v>3.898917375261211</v>
      </c>
    </row>
    <row r="5" spans="1:38" ht="20.100000000000001" customHeight="1" x14ac:dyDescent="0.2">
      <c r="A5" s="6">
        <v>3</v>
      </c>
      <c r="B5" s="168" t="s">
        <v>30</v>
      </c>
      <c r="C5" s="43">
        <f>'Dane po transformacji i odbieg'!E220</f>
        <v>0.11428369666939714</v>
      </c>
      <c r="D5" s="43">
        <f>'Dane po transformacji i odbieg'!F220</f>
        <v>-8.0693479020353898E-2</v>
      </c>
      <c r="E5" s="43">
        <f>'Dane po transformacji i odbieg'!G220</f>
        <v>0.21386705423186372</v>
      </c>
      <c r="F5" s="43">
        <f>'Dane po transformacji i odbieg'!H220</f>
        <v>1.5631963673103175</v>
      </c>
      <c r="G5" s="43">
        <f>'Dane po transformacji i odbieg'!I220</f>
        <v>-0.29915633446605244</v>
      </c>
      <c r="H5" s="43">
        <f>'Dane po transformacji i odbieg'!J220</f>
        <v>0.49125130468894262</v>
      </c>
      <c r="I5" s="43">
        <f>'Dane po transformacji i odbieg'!K220</f>
        <v>-0.12375234071958138</v>
      </c>
      <c r="J5" s="43">
        <f>'Dane po transformacji i odbieg'!L220</f>
        <v>-0.19595344224780942</v>
      </c>
      <c r="L5" s="2">
        <v>2</v>
      </c>
      <c r="M5" s="169" t="s">
        <v>29</v>
      </c>
      <c r="N5" s="8">
        <f t="shared" ref="N5:N28" si="0">SQRT(($C4-$C$3)^2+($D4-$D$3)^2+($E4-$E$3)^2+($F4-$F$3)^2+($G4-$G$3)^2+($H4-$H$3)^2+($I4-$I$3)^2+($J4-$J$3)^2)</f>
        <v>2.4944138940193166</v>
      </c>
      <c r="O5" s="170">
        <v>0</v>
      </c>
      <c r="P5" s="8">
        <f t="shared" ref="P5:P28" si="1">SQRT(($C$5-$C4)^2+($D$5-$D4)^2+($E$5-$E4)^2+($F$5-$F4)^2+($G$5-$G4)^2+($H$5-$H4)^2+($I$5-$I4)^2+($J$5-$J4)^2)</f>
        <v>1.4631455646123561</v>
      </c>
      <c r="Q5" s="8">
        <f t="shared" ref="Q5:Q28" si="2">SQRT(($C$6-$C4)^2+($D$6-$D4)^2+($E$6-$E4)^2+($F$6-$F4)^2+($G$6-$G4)^2+($H$6-$H4)^2+($I$6-$I4)^2+($J$6-$J4)^2)</f>
        <v>0.63874724961887852</v>
      </c>
      <c r="R5" s="8">
        <f t="shared" ref="R5:R28" si="3">SQRT(($C$7-$C4)^2+($D$7-$D4)^2+($E$7-$E4)^2+($F$7-$F4)^2+($G$7-$G4)^2+($H$7-$H4)^2+($I$7-$I4)^2+($J$7-$J4)^2)</f>
        <v>5.7070901170662864</v>
      </c>
      <c r="S5" s="8">
        <f t="shared" ref="S5:S28" si="4">SQRT(($C$8-$C4)^2+($D$8-$D4)^2+($E$8-$E4)^2+($F$8-$F4)^2+($G$8-$G4)^2+($H$8-$H4)^2+($I$8-$I4)^2+($J$8-$J4)^2)</f>
        <v>2.1201596061836505</v>
      </c>
      <c r="T5" s="8">
        <f t="shared" ref="T5:T28" si="5">SQRT(($C$9-$C4)^2+($D$9-$D4)^2+($E$9-$E4)^2+($F$9-$F4)^2+($G$9-$G4)^2+($H$9-$H4)^2+($I$9-$I4)^2+($J$9-$J4)^2)</f>
        <v>3.1061452264513854</v>
      </c>
      <c r="U5" s="8">
        <f t="shared" ref="U5:U28" si="6">SQRT(($C$10-$C4)^2+($D$10-$D4)^2+($E$10-$E4)^2+($F$10-$F4)^2+($G$10-$G4)^2+($H$10-$H4)^2+($I$10-$I4)^2+($J$10-$J4)^2)</f>
        <v>5.0632806030037356</v>
      </c>
      <c r="V5" s="8">
        <f t="shared" ref="V5:V28" si="7">SQRT(($C$11-$C4)^2+($D$11-$D4)^2+($E$11-$E4)^2+($F$11-$F4)^2+($G$11-$G4)^2+($H$11-$H4)^2+($I$11-$I4)^2+($J$11-$J4)^2)</f>
        <v>4.5076103058490053</v>
      </c>
      <c r="W5" s="8">
        <f t="shared" ref="W5:W28" si="8">SQRT(($C$12-$C4)^2+($D$12-$D4)^2+($E$12-$E4)^2+($F$12-$F4)^2+($G$12-$G4)^2+($H$12-$H4)^2+($I$12-$I4)^2+($J$12-$J4)^2)</f>
        <v>4.1564031884041182</v>
      </c>
      <c r="X5" s="8">
        <f t="shared" ref="X5:X28" si="9">SQRT(($C$13-$C4)^2+($D$13-$D4)^2+($E$13-$E4)^2+($F$13-$F4)^2+($G$13-$G4)^2+($H$13-$H4)^2+($I$13-$I4)^2+($J$13-$J4)^2)</f>
        <v>1.9613656727462485</v>
      </c>
      <c r="Y5" s="8">
        <f t="shared" ref="Y5:Y28" si="10">SQRT(($C$14-$C4)^2+($D$14-$D4)^2+($E$14-$E4)^2+($F$14-$F4)^2+($G$14-$G4)^2+($H$14-$H4)^2+($I$14-$I4)^2+($J$14-$J4)^2)</f>
        <v>2.023925904713634</v>
      </c>
      <c r="Z5" s="8">
        <f t="shared" ref="Z5:Z28" si="11">SQRT(($C$15-$C4)^2+($D$15-$D4)^2+($E$15-$E4)^2+($F$15-$F4)^2+($G$15-$G4)^2+($H$15-$H4)^2+($I$15-$I4)^2+($J$15-$J4)^2)</f>
        <v>2.1264783961215956</v>
      </c>
      <c r="AA5" s="8">
        <f t="shared" ref="AA5:AA28" si="12">SQRT(($C$16-$C4)^2+($D$16-$D4)^2+($E$16-$E4)^2+($F$16-$F4)^2+($G$16-$G4)^2+($H$16-$H4)^2+($I$16-$I4)^2+($J$16-$J4)^2)</f>
        <v>4.6903198655045006</v>
      </c>
      <c r="AB5" s="8">
        <f t="shared" ref="AB5:AB28" si="13">SQRT(($C$17-$C4)^2+($D$17-$D4)^2+($E$17-$E4)^2+($F$17-$F4)^2+($G$17-$G4)^2+($H$17-$H4)^2+($I$17-$I4)^2+($J$17-$J4)^2)</f>
        <v>3.9638342070265109</v>
      </c>
      <c r="AC5" s="8">
        <f t="shared" ref="AC5:AC28" si="14">SQRT(($C$18-$C4)^2+($D$18-$D4)^2+($E$18-$E4)^2+($F$18-$F4)^2+($G$18-$G4)^2+($H$18-$H4)^2+($I$18-$I4)^2+($J$18-$J4)^2)</f>
        <v>1.1104372681637247</v>
      </c>
      <c r="AD5" s="8">
        <f t="shared" ref="AD5:AD28" si="15">SQRT(($C$19-$C4)^2+($D$19-$D4)^2+($E$19-$E4)^2+($F$19-$F4)^2+($G$19-$G4)^2+($H$19-$H4)^2+($I$19-$I4)^2+($J$19-$J4)^2)</f>
        <v>3.0052803736873894</v>
      </c>
      <c r="AE5" s="8">
        <f t="shared" ref="AE5:AE28" si="16">SQRT(($C$20-$C4)^2+($D$20-$D4)^2+($E$20-$E4)^2+($F$20-$F4)^2+($G$20-$G4)^2+($H$20-$H4)^2+($I$20-$I4)^2+($J$20-$J4)^2)</f>
        <v>3.5030448420249023</v>
      </c>
      <c r="AF5" s="8">
        <f t="shared" ref="AF5:AF28" si="17">SQRT(($C$21-$C4)^2+($D$21-$D4)^2+($E$21-$E4)^2+($F$21-$F4)^2+($G$21-$G4)^2+($H$21-$H4)^2+($I$21-$I4)^2+($J$21-$J4)^2)</f>
        <v>3.3724731036678861</v>
      </c>
      <c r="AG5" s="8">
        <f t="shared" ref="AG5:AG28" si="18">SQRT(($C$22-$C4)^2+($D$22-$D4)^2+($E$22-$E4)^2+($F$22-$F4)^2+($G$22-$G4)^2+($H$22-$H4)^2+($I$22-$I4)^2+($J$22-$J4)^2)</f>
        <v>3.111993572525241</v>
      </c>
      <c r="AH5" s="8">
        <f t="shared" ref="AH5:AH28" si="19">SQRT(($C$23-$C4)^2+($D$23-$D4)^2+($E$23-$E4)^2+($F$23-$F4)^2+($G$23-$G4)^2+($H$23-$H4)^2+($I$23-$I4)^2+($J$23-$J4)^2)</f>
        <v>0.65601576105973591</v>
      </c>
      <c r="AI5" s="8">
        <f t="shared" ref="AI5:AI28" si="20">SQRT(($C$24-$C4)^2+($D$24-$D4)^2+($E$24-$E4)^2+($F$24-$F4)^2+($G$24-$G4)^2+($H$24-$H4)^2+($I$24-$I4)^2+($J$24-$J4)^2)</f>
        <v>1.6250936952455943</v>
      </c>
      <c r="AJ5" s="8">
        <f t="shared" ref="AJ5:AJ28" si="21">SQRT(($C$25-$C4)^2+($D$25-$D4)^2+($E$25-$E4)^2+($F$25-$F4)^2+($G$25-$G4)^2+($H$25-$H4)^2+($I$25-$I4)^2+($J$25-$J4)^2)</f>
        <v>3.0052807170127509</v>
      </c>
      <c r="AK5" s="8">
        <f t="shared" ref="AK5:AK28" si="22">SQRT(($C$26-$C4)^2+($D$26-$D4)^2+($E$26-$E4)^2+($F$26-$F4)^2+($G$26-$G4)^2+($H$26-$H4)^2+($I$26-$I4)^2+($J$26-$J4)^2)</f>
        <v>1.0758797453219557</v>
      </c>
      <c r="AL5" s="8">
        <f t="shared" ref="AL5:AL27" si="23">SQRT(($C$27-$C4)^2+($D$27-$D4)^2+($E$27-$E4)^2+($F$27-$F4)^2+($G$27-$G4)^2+($H$27-$H4)^2+($I$27-$I4)^2+($J$27-$J4)^2)</f>
        <v>2.6189247619303337</v>
      </c>
    </row>
    <row r="6" spans="1:38" ht="20.100000000000001" customHeight="1" x14ac:dyDescent="0.2">
      <c r="A6" s="6">
        <v>4</v>
      </c>
      <c r="B6" s="168" t="s">
        <v>31</v>
      </c>
      <c r="C6" s="43">
        <f>'Dane po transformacji i odbieg'!E221</f>
        <v>-0.19721835009726071</v>
      </c>
      <c r="D6" s="43">
        <f>'Dane po transformacji i odbieg'!F221</f>
        <v>-8.507019574552839E-2</v>
      </c>
      <c r="E6" s="43">
        <f>'Dane po transformacji i odbieg'!G221</f>
        <v>-0.28543346148454957</v>
      </c>
      <c r="F6" s="43">
        <f>'Dane po transformacji i odbieg'!H221</f>
        <v>1.128225431403459</v>
      </c>
      <c r="G6" s="43">
        <f>'Dane po transformacji i odbieg'!I221</f>
        <v>-0.5251052275673006</v>
      </c>
      <c r="H6" s="43">
        <f>'Dane po transformacji i odbieg'!J221</f>
        <v>-1.3966962661436617E-2</v>
      </c>
      <c r="I6" s="43">
        <f>'Dane po transformacji i odbieg'!K221</f>
        <v>-5.153598463950454E-2</v>
      </c>
      <c r="J6" s="43">
        <f>'Dane po transformacji i odbieg'!L221</f>
        <v>-0.19595344224780942</v>
      </c>
      <c r="L6" s="2">
        <v>3</v>
      </c>
      <c r="M6" s="169" t="s">
        <v>30</v>
      </c>
      <c r="N6" s="8">
        <f t="shared" si="0"/>
        <v>3.3681988124826323</v>
      </c>
      <c r="O6" s="8">
        <f t="shared" ref="O6:O28" si="24">SQRT(($C$4-$C5)^2+($D$4-$D5)^2+($E$4-$E5)^2+($F$4-$F5)^2+($G$4-$G5)^2+($H$4-$H5)^2+($I$4-$I5)^2+($J$4-$J5)^2)</f>
        <v>1.4631455646123561</v>
      </c>
      <c r="P6" s="170">
        <v>0</v>
      </c>
      <c r="Q6" s="8">
        <f t="shared" si="2"/>
        <v>0.92036243019321318</v>
      </c>
      <c r="R6" s="8">
        <f t="shared" si="3"/>
        <v>5.8846954332834223</v>
      </c>
      <c r="S6" s="8">
        <f t="shared" si="4"/>
        <v>1.9626090246294232</v>
      </c>
      <c r="T6" s="8">
        <f t="shared" si="5"/>
        <v>3.1887772728003125</v>
      </c>
      <c r="U6" s="8">
        <f t="shared" si="6"/>
        <v>5.1752003820988248</v>
      </c>
      <c r="V6" s="8">
        <f t="shared" si="7"/>
        <v>4.7571081499278227</v>
      </c>
      <c r="W6" s="8">
        <f t="shared" si="8"/>
        <v>4.4809272312805764</v>
      </c>
      <c r="X6" s="8">
        <f t="shared" si="9"/>
        <v>2.8511521207807897</v>
      </c>
      <c r="Y6" s="8">
        <f t="shared" si="10"/>
        <v>1.7540936106638079</v>
      </c>
      <c r="Z6" s="8">
        <f t="shared" si="11"/>
        <v>2.0434679359079002</v>
      </c>
      <c r="AA6" s="8">
        <f t="shared" si="12"/>
        <v>4.8821443347404037</v>
      </c>
      <c r="AB6" s="8">
        <f t="shared" si="13"/>
        <v>4.1203194496190632</v>
      </c>
      <c r="AC6" s="8">
        <f t="shared" si="14"/>
        <v>1.5102891721888374</v>
      </c>
      <c r="AD6" s="8">
        <f t="shared" si="15"/>
        <v>2.8838419256765788</v>
      </c>
      <c r="AE6" s="8">
        <f t="shared" si="16"/>
        <v>3.7319317985052067</v>
      </c>
      <c r="AF6" s="8">
        <f t="shared" si="17"/>
        <v>3.7186226077924274</v>
      </c>
      <c r="AG6" s="8">
        <f t="shared" si="18"/>
        <v>3.59047609222258</v>
      </c>
      <c r="AH6" s="8">
        <f t="shared" si="19"/>
        <v>1.5307915159672929</v>
      </c>
      <c r="AI6" s="8">
        <f t="shared" si="20"/>
        <v>1.9465947653883331</v>
      </c>
      <c r="AJ6" s="8">
        <f t="shared" si="21"/>
        <v>2.8838418211167638</v>
      </c>
      <c r="AK6" s="8">
        <f t="shared" si="22"/>
        <v>1.3661304749356347</v>
      </c>
      <c r="AL6" s="8">
        <f t="shared" si="23"/>
        <v>2.8474344333411641</v>
      </c>
    </row>
    <row r="7" spans="1:38" ht="20.100000000000001" customHeight="1" x14ac:dyDescent="0.2">
      <c r="A7" s="6">
        <v>5</v>
      </c>
      <c r="B7" s="168" t="s">
        <v>32</v>
      </c>
      <c r="C7" s="43">
        <f>'Dane po transformacji i odbieg'!E222</f>
        <v>2.5245199512692147</v>
      </c>
      <c r="D7" s="43">
        <f>'Dane po transformacji i odbieg'!F222</f>
        <v>-7.3559531120804308E-2</v>
      </c>
      <c r="E7" s="43">
        <f>'Dane po transformacji i odbieg'!G222</f>
        <v>-1.1800135521431234</v>
      </c>
      <c r="F7" s="43">
        <f>'Dane po transformacji i odbieg'!H222</f>
        <v>-1.1546063553293604</v>
      </c>
      <c r="G7" s="43">
        <f>'Dane po transformacji i odbieg'!I222</f>
        <v>2.7511537224007978</v>
      </c>
      <c r="H7" s="43">
        <f>'Dane po transformacji i odbieg'!J222</f>
        <v>1.5123448363674885</v>
      </c>
      <c r="I7" s="43">
        <f>'Dane po transformacji i odbieg'!K222</f>
        <v>1.863329645677376</v>
      </c>
      <c r="J7" s="43">
        <f>'Dane po transformacji i odbieg'!L222</f>
        <v>2.0834055900612158</v>
      </c>
      <c r="L7" s="2">
        <v>4</v>
      </c>
      <c r="M7" s="169" t="s">
        <v>31</v>
      </c>
      <c r="N7" s="8">
        <f t="shared" si="0"/>
        <v>2.832124320458858</v>
      </c>
      <c r="O7" s="8">
        <f t="shared" si="24"/>
        <v>0.63874724961887852</v>
      </c>
      <c r="P7" s="8">
        <f t="shared" si="1"/>
        <v>0.92036243019321318</v>
      </c>
      <c r="Q7" s="170">
        <v>0</v>
      </c>
      <c r="R7" s="8">
        <f t="shared" si="3"/>
        <v>5.9451892128917487</v>
      </c>
      <c r="S7" s="8">
        <f t="shared" si="4"/>
        <v>1.7142076988178085</v>
      </c>
      <c r="T7" s="8">
        <f t="shared" si="5"/>
        <v>2.8624276937952486</v>
      </c>
      <c r="U7" s="8">
        <f t="shared" si="6"/>
        <v>4.966972514300112</v>
      </c>
      <c r="V7" s="8">
        <f t="shared" si="7"/>
        <v>4.4154332009249462</v>
      </c>
      <c r="W7" s="8">
        <f t="shared" si="8"/>
        <v>4.4257104454926184</v>
      </c>
      <c r="X7" s="8">
        <f t="shared" si="9"/>
        <v>2.2358212354444889</v>
      </c>
      <c r="Y7" s="8">
        <f t="shared" si="10"/>
        <v>1.6852239070377502</v>
      </c>
      <c r="Z7" s="8">
        <f t="shared" si="11"/>
        <v>1.8355007203425537</v>
      </c>
      <c r="AA7" s="8">
        <f t="shared" si="12"/>
        <v>4.5488492649674548</v>
      </c>
      <c r="AB7" s="8">
        <f t="shared" si="13"/>
        <v>3.7695000292536944</v>
      </c>
      <c r="AC7" s="8">
        <f t="shared" si="14"/>
        <v>1.301037175225386</v>
      </c>
      <c r="AD7" s="8">
        <f t="shared" si="15"/>
        <v>2.9488909537757668</v>
      </c>
      <c r="AE7" s="8">
        <f t="shared" si="16"/>
        <v>3.438202012099854</v>
      </c>
      <c r="AF7" s="8">
        <f t="shared" si="17"/>
        <v>3.6531254446518746</v>
      </c>
      <c r="AG7" s="8">
        <f t="shared" si="18"/>
        <v>3.4189505143493353</v>
      </c>
      <c r="AH7" s="8">
        <f t="shared" si="19"/>
        <v>1.0138322499167529</v>
      </c>
      <c r="AI7" s="8">
        <f t="shared" si="20"/>
        <v>1.7651225046371695</v>
      </c>
      <c r="AJ7" s="8">
        <f t="shared" si="21"/>
        <v>2.9488909994632029</v>
      </c>
      <c r="AK7" s="8">
        <f t="shared" si="22"/>
        <v>1.1405080917651187</v>
      </c>
      <c r="AL7" s="8">
        <f t="shared" si="23"/>
        <v>2.817129022577165</v>
      </c>
    </row>
    <row r="8" spans="1:38" ht="20.100000000000001" customHeight="1" x14ac:dyDescent="0.2">
      <c r="A8" s="6">
        <v>6</v>
      </c>
      <c r="B8" s="168" t="s">
        <v>33</v>
      </c>
      <c r="C8" s="43">
        <f>'Dane po transformacji i odbieg'!E223</f>
        <v>-0.91431290915527486</v>
      </c>
      <c r="D8" s="43">
        <f>'Dane po transformacji i odbieg'!F223</f>
        <v>-5.7969159816312926E-2</v>
      </c>
      <c r="E8" s="43">
        <f>'Dane po transformacji i odbieg'!G223</f>
        <v>0.71316756994827701</v>
      </c>
      <c r="F8" s="43">
        <f>'Dane po transformacji i odbieg'!H223</f>
        <v>1.3375951020413681</v>
      </c>
      <c r="G8" s="43">
        <f>'Dane po transformacji i odbieg'!I223</f>
        <v>-0.66067456342804953</v>
      </c>
      <c r="H8" s="43">
        <f>'Dane po transformacji i odbieg'!J223</f>
        <v>-0.82609511730747132</v>
      </c>
      <c r="I8" s="43">
        <f>'Dane po transformacji i odbieg'!K223</f>
        <v>-0.62467796434097778</v>
      </c>
      <c r="J8" s="43">
        <f>'Dane po transformacji i odbieg'!L223</f>
        <v>-0.8092122535622891</v>
      </c>
      <c r="L8" s="2">
        <v>5</v>
      </c>
      <c r="M8" s="169" t="s">
        <v>32</v>
      </c>
      <c r="N8" s="8">
        <f t="shared" si="0"/>
        <v>5.609475576220718</v>
      </c>
      <c r="O8" s="8">
        <f t="shared" si="24"/>
        <v>5.7070901170662864</v>
      </c>
      <c r="P8" s="8">
        <f t="shared" si="1"/>
        <v>5.8846954332834223</v>
      </c>
      <c r="Q8" s="8">
        <f t="shared" si="2"/>
        <v>5.9451892128917487</v>
      </c>
      <c r="R8" s="170">
        <v>0</v>
      </c>
      <c r="S8" s="8">
        <f t="shared" si="4"/>
        <v>7.29981581222843</v>
      </c>
      <c r="T8" s="8">
        <f t="shared" si="5"/>
        <v>7.7244908793451703</v>
      </c>
      <c r="U8" s="8">
        <f t="shared" si="6"/>
        <v>7.5117948357679207</v>
      </c>
      <c r="V8" s="8">
        <f t="shared" si="7"/>
        <v>8.6950906529757361</v>
      </c>
      <c r="W8" s="8">
        <f t="shared" si="8"/>
        <v>1.940430100992071</v>
      </c>
      <c r="X8" s="8">
        <f t="shared" si="9"/>
        <v>5.9988517147832514</v>
      </c>
      <c r="Y8" s="8">
        <f t="shared" si="10"/>
        <v>7.2054480728745709</v>
      </c>
      <c r="Z8" s="8">
        <f t="shared" si="11"/>
        <v>6.1934378246369457</v>
      </c>
      <c r="AA8" s="8">
        <f t="shared" si="12"/>
        <v>8.4801017547212361</v>
      </c>
      <c r="AB8" s="8">
        <f t="shared" si="13"/>
        <v>8.646428487439298</v>
      </c>
      <c r="AC8" s="8">
        <f t="shared" si="14"/>
        <v>4.8394963336200894</v>
      </c>
      <c r="AD8" s="8">
        <f t="shared" si="15"/>
        <v>4.4541494410498963</v>
      </c>
      <c r="AE8" s="8">
        <f t="shared" si="16"/>
        <v>6.5534279977483934</v>
      </c>
      <c r="AF8" s="8">
        <f t="shared" si="17"/>
        <v>2.833877390793885</v>
      </c>
      <c r="AG8" s="8">
        <f t="shared" si="18"/>
        <v>3.0700274908637182</v>
      </c>
      <c r="AH8" s="8">
        <f t="shared" si="19"/>
        <v>5.1378698162092054</v>
      </c>
      <c r="AI8" s="8">
        <f t="shared" si="20"/>
        <v>4.4510404613294421</v>
      </c>
      <c r="AJ8" s="8">
        <f t="shared" si="21"/>
        <v>4.4541492137046239</v>
      </c>
      <c r="AK8" s="8">
        <f t="shared" si="22"/>
        <v>4.8505968308763023</v>
      </c>
      <c r="AL8" s="8">
        <f t="shared" si="23"/>
        <v>3.5182783017683015</v>
      </c>
    </row>
    <row r="9" spans="1:38" ht="20.100000000000001" customHeight="1" x14ac:dyDescent="0.2">
      <c r="A9" s="6">
        <v>7</v>
      </c>
      <c r="B9" s="168" t="s">
        <v>34</v>
      </c>
      <c r="C9" s="43">
        <f>'Dane po transformacji i odbieg'!E224</f>
        <v>-1.1551148014272041</v>
      </c>
      <c r="D9" s="43">
        <f>'Dane po transformacji i odbieg'!F224</f>
        <v>0.22007315598560373</v>
      </c>
      <c r="E9" s="43">
        <f>'Dane po transformacji i odbieg'!G224</f>
        <v>1.2124680856646903</v>
      </c>
      <c r="F9" s="43">
        <f>'Dane po transformacji i odbieg'!H224</f>
        <v>-7.8767886722631214E-2</v>
      </c>
      <c r="G9" s="43">
        <f>'Dane po transformacji i odbieg'!I224</f>
        <v>-0.75105412066854882</v>
      </c>
      <c r="H9" s="43">
        <f>'Dane po transformacji i odbieg'!J224</f>
        <v>-1.0396571796491301</v>
      </c>
      <c r="I9" s="43">
        <f>'Dane po transformacji i odbieg'!K224</f>
        <v>-1.1528781607556098</v>
      </c>
      <c r="J9" s="43">
        <f>'Dane po transformacji i odbieg'!L224</f>
        <v>-1.2758721420889423</v>
      </c>
      <c r="L9" s="2">
        <v>6</v>
      </c>
      <c r="M9" s="169" t="s">
        <v>33</v>
      </c>
      <c r="N9" s="8">
        <f t="shared" si="0"/>
        <v>3.918851063216378</v>
      </c>
      <c r="O9" s="8">
        <f t="shared" si="24"/>
        <v>2.1201596061836505</v>
      </c>
      <c r="P9" s="8">
        <f t="shared" si="1"/>
        <v>1.9626090246294232</v>
      </c>
      <c r="Q9" s="8">
        <f t="shared" si="2"/>
        <v>1.7142076988178085</v>
      </c>
      <c r="R9" s="8">
        <f t="shared" si="3"/>
        <v>7.29981581222843</v>
      </c>
      <c r="S9" s="170">
        <v>0</v>
      </c>
      <c r="T9" s="8">
        <f t="shared" si="5"/>
        <v>1.7149992185199896</v>
      </c>
      <c r="U9" s="8">
        <f t="shared" si="6"/>
        <v>4.5431585756318293</v>
      </c>
      <c r="V9" s="8">
        <f t="shared" si="7"/>
        <v>3.8722062649526054</v>
      </c>
      <c r="W9" s="8">
        <f t="shared" si="8"/>
        <v>5.860660325888305</v>
      </c>
      <c r="X9" s="8">
        <f t="shared" si="9"/>
        <v>3.0744750172041995</v>
      </c>
      <c r="Y9" s="8">
        <f t="shared" si="10"/>
        <v>1.5220458252835802</v>
      </c>
      <c r="Z9" s="8">
        <f t="shared" si="11"/>
        <v>1.8506615653683332</v>
      </c>
      <c r="AA9" s="8">
        <f t="shared" si="12"/>
        <v>3.5753848162821358</v>
      </c>
      <c r="AB9" s="8">
        <f t="shared" si="13"/>
        <v>2.7499234599739157</v>
      </c>
      <c r="AC9" s="8">
        <f t="shared" si="14"/>
        <v>2.8792568378601251</v>
      </c>
      <c r="AD9" s="8">
        <f t="shared" si="15"/>
        <v>3.8658365156528864</v>
      </c>
      <c r="AE9" s="8">
        <f t="shared" si="16"/>
        <v>3.1191362102248323</v>
      </c>
      <c r="AF9" s="8">
        <f t="shared" si="17"/>
        <v>5.1363287399253021</v>
      </c>
      <c r="AG9" s="8">
        <f t="shared" si="18"/>
        <v>4.6904630516323946</v>
      </c>
      <c r="AH9" s="8">
        <f t="shared" si="19"/>
        <v>2.5745936712366104</v>
      </c>
      <c r="AI9" s="8">
        <f t="shared" si="20"/>
        <v>3.0436175249751258</v>
      </c>
      <c r="AJ9" s="8">
        <f t="shared" si="21"/>
        <v>3.8658358517233542</v>
      </c>
      <c r="AK9" s="8">
        <f t="shared" si="22"/>
        <v>2.5890706125872063</v>
      </c>
      <c r="AL9" s="8">
        <f t="shared" si="23"/>
        <v>4.1530798163768718</v>
      </c>
    </row>
    <row r="10" spans="1:38" ht="20.100000000000001" customHeight="1" x14ac:dyDescent="0.2">
      <c r="A10" s="6">
        <v>8</v>
      </c>
      <c r="B10" s="168" t="s">
        <v>35</v>
      </c>
      <c r="C10" s="43">
        <f>'Dane po transformacji i odbieg'!E225</f>
        <v>0.28906797639771264</v>
      </c>
      <c r="D10" s="43">
        <f>'Dane po transformacji i odbieg'!F225</f>
        <v>-2.8231868786900627</v>
      </c>
      <c r="E10" s="43">
        <f>'Dane po transformacji i odbieg'!G225</f>
        <v>1.7117686013811038</v>
      </c>
      <c r="F10" s="43">
        <f>'Dane po transformacji i odbieg'!H225</f>
        <v>-1.51053580798411</v>
      </c>
      <c r="G10" s="43">
        <f>'Dane po transformacji i odbieg'!I225</f>
        <v>0.42388012345794168</v>
      </c>
      <c r="H10" s="43">
        <f>'Dane po transformacji i odbieg'!J225</f>
        <v>-1.7781259172463078</v>
      </c>
      <c r="I10" s="43">
        <f>'Dane po transformacji i odbieg'!K225</f>
        <v>-0.82061833229205694</v>
      </c>
      <c r="J10" s="43">
        <f>'Dane po transformacji i odbieg'!L225</f>
        <v>-1.3710551262204485</v>
      </c>
      <c r="L10" s="2">
        <v>7</v>
      </c>
      <c r="M10" s="169" t="s">
        <v>34</v>
      </c>
      <c r="N10" s="8">
        <f t="shared" si="0"/>
        <v>3.9129860374688601</v>
      </c>
      <c r="O10" s="8">
        <f t="shared" si="24"/>
        <v>3.1061452264513854</v>
      </c>
      <c r="P10" s="8">
        <f t="shared" si="1"/>
        <v>3.1887772728003125</v>
      </c>
      <c r="Q10" s="8">
        <f t="shared" si="2"/>
        <v>2.8624276937952486</v>
      </c>
      <c r="R10" s="8">
        <f t="shared" si="3"/>
        <v>7.7244908793451703</v>
      </c>
      <c r="S10" s="8">
        <f t="shared" si="4"/>
        <v>1.7149992185199896</v>
      </c>
      <c r="T10" s="170">
        <v>0</v>
      </c>
      <c r="U10" s="8">
        <f t="shared" si="6"/>
        <v>3.9612648066339347</v>
      </c>
      <c r="V10" s="8">
        <f t="shared" si="7"/>
        <v>3.0830516757538686</v>
      </c>
      <c r="W10" s="8">
        <f t="shared" si="8"/>
        <v>6.2024148498463854</v>
      </c>
      <c r="X10" s="8">
        <f t="shared" si="9"/>
        <v>3.0255031242800614</v>
      </c>
      <c r="Y10" s="8">
        <f t="shared" si="10"/>
        <v>2.8209447801512666</v>
      </c>
      <c r="Z10" s="8">
        <f t="shared" si="11"/>
        <v>1.9375864770410611</v>
      </c>
      <c r="AA10" s="8">
        <f t="shared" si="12"/>
        <v>2.6125315061460976</v>
      </c>
      <c r="AB10" s="8">
        <f t="shared" si="13"/>
        <v>1.437987134356717</v>
      </c>
      <c r="AC10" s="8">
        <f t="shared" si="14"/>
        <v>3.9442579719288502</v>
      </c>
      <c r="AD10" s="8">
        <f t="shared" si="15"/>
        <v>4.0246803967679412</v>
      </c>
      <c r="AE10" s="8">
        <f t="shared" si="16"/>
        <v>2.4863259767314494</v>
      </c>
      <c r="AF10" s="8">
        <f t="shared" si="17"/>
        <v>5.556032445435612</v>
      </c>
      <c r="AG10" s="8">
        <f t="shared" si="18"/>
        <v>5.3712151343919121</v>
      </c>
      <c r="AH10" s="8">
        <f t="shared" si="19"/>
        <v>3.5609425120848579</v>
      </c>
      <c r="AI10" s="8">
        <f t="shared" si="20"/>
        <v>3.9286193233688738</v>
      </c>
      <c r="AJ10" s="8">
        <f t="shared" si="21"/>
        <v>4.0246728728658088</v>
      </c>
      <c r="AK10" s="8">
        <f t="shared" si="22"/>
        <v>3.42176868701402</v>
      </c>
      <c r="AL10" s="8">
        <f t="shared" si="23"/>
        <v>5.0488176393350601</v>
      </c>
    </row>
    <row r="11" spans="1:38" ht="20.100000000000001" customHeight="1" x14ac:dyDescent="0.2">
      <c r="A11" s="6">
        <v>9</v>
      </c>
      <c r="B11" s="168" t="s">
        <v>36</v>
      </c>
      <c r="C11" s="43">
        <f>'Dane po transformacji i odbieg'!E226</f>
        <v>-1.5043094283576535</v>
      </c>
      <c r="D11" s="43">
        <f>'Dane po transformacji i odbieg'!F226</f>
        <v>3.0024823305462118</v>
      </c>
      <c r="E11" s="43">
        <f>'Dane po transformacji i odbieg'!G226</f>
        <v>0.46351731209007041</v>
      </c>
      <c r="F11" s="43">
        <f>'Dane po transformacji i odbieg'!H226</f>
        <v>-0.44249568888807994</v>
      </c>
      <c r="G11" s="43">
        <f>'Dane po transformacji i odbieg'!I226</f>
        <v>-1.4853880232476053</v>
      </c>
      <c r="H11" s="43">
        <f>'Dane po transformacji i odbieg'!J226</f>
        <v>-0.69054962393556818</v>
      </c>
      <c r="I11" s="43">
        <f>'Dane po transformacji i odbieg'!K226</f>
        <v>-1.688716188496439</v>
      </c>
      <c r="J11" s="43">
        <f>'Dane po transformacji i odbieg'!L226</f>
        <v>-1.2758721420889423</v>
      </c>
      <c r="L11" s="2">
        <v>8</v>
      </c>
      <c r="M11" s="169" t="s">
        <v>35</v>
      </c>
      <c r="N11" s="8">
        <f t="shared" si="0"/>
        <v>5.4216062291943192</v>
      </c>
      <c r="O11" s="8">
        <f t="shared" si="24"/>
        <v>5.0632806030037356</v>
      </c>
      <c r="P11" s="8">
        <f t="shared" si="1"/>
        <v>5.1752003820988248</v>
      </c>
      <c r="Q11" s="8">
        <f t="shared" si="2"/>
        <v>4.966972514300112</v>
      </c>
      <c r="R11" s="8">
        <f t="shared" si="3"/>
        <v>7.5117948357679207</v>
      </c>
      <c r="S11" s="8">
        <f t="shared" si="4"/>
        <v>4.5431585756318293</v>
      </c>
      <c r="T11" s="8">
        <f t="shared" si="5"/>
        <v>3.9612648066339347</v>
      </c>
      <c r="U11" s="170">
        <v>0</v>
      </c>
      <c r="V11" s="8">
        <f t="shared" si="7"/>
        <v>6.7412347509011177</v>
      </c>
      <c r="W11" s="8">
        <f t="shared" si="8"/>
        <v>6.4136212142421041</v>
      </c>
      <c r="X11" s="8">
        <f t="shared" si="9"/>
        <v>4.8799484752937072</v>
      </c>
      <c r="Y11" s="8">
        <f t="shared" si="10"/>
        <v>5.547749835844404</v>
      </c>
      <c r="Z11" s="8">
        <f t="shared" si="11"/>
        <v>3.8551572803048648</v>
      </c>
      <c r="AA11" s="8">
        <f t="shared" si="12"/>
        <v>2.1125519070109595</v>
      </c>
      <c r="AB11" s="8">
        <f t="shared" si="13"/>
        <v>5.0116932745542568</v>
      </c>
      <c r="AC11" s="8">
        <f t="shared" si="14"/>
        <v>5.4702835039813928</v>
      </c>
      <c r="AD11" s="8">
        <f t="shared" si="15"/>
        <v>4.9166237968444797</v>
      </c>
      <c r="AE11" s="8">
        <f t="shared" si="16"/>
        <v>4.7477016285467348</v>
      </c>
      <c r="AF11" s="8">
        <f t="shared" si="17"/>
        <v>6.1869324013680718</v>
      </c>
      <c r="AG11" s="8">
        <f t="shared" si="18"/>
        <v>5.8770696468793515</v>
      </c>
      <c r="AH11" s="8">
        <f t="shared" si="19"/>
        <v>5.2421993194381962</v>
      </c>
      <c r="AI11" s="8">
        <f t="shared" si="20"/>
        <v>5.1547096078757022</v>
      </c>
      <c r="AJ11" s="8">
        <f t="shared" si="21"/>
        <v>4.9166793354590697</v>
      </c>
      <c r="AK11" s="8">
        <f t="shared" si="22"/>
        <v>4.9748302294940423</v>
      </c>
      <c r="AL11" s="8">
        <f t="shared" si="23"/>
        <v>5.8073130284351659</v>
      </c>
    </row>
    <row r="12" spans="1:38" ht="20.100000000000001" customHeight="1" x14ac:dyDescent="0.2">
      <c r="A12" s="6">
        <v>10</v>
      </c>
      <c r="B12" s="168" t="s">
        <v>40</v>
      </c>
      <c r="C12" s="43">
        <f>'Dane po transformacji i odbieg'!E227</f>
        <v>1.7195767378617237</v>
      </c>
      <c r="D12" s="43">
        <f>'Dane po transformacji i odbieg'!F227</f>
        <v>-5.3606434954784031E-2</v>
      </c>
      <c r="E12" s="43">
        <f>'Dane po transformacji i odbieg'!G227</f>
        <v>-1.2008177402979741</v>
      </c>
      <c r="F12" s="43">
        <f>'Dane po transformacji i odbieg'!H227</f>
        <v>-1.2371308268668115</v>
      </c>
      <c r="G12" s="43">
        <f>'Dane po transformacji i odbieg'!I227</f>
        <v>1.2824859172426846</v>
      </c>
      <c r="H12" s="43">
        <f>'Dane po transformacji i odbieg'!J227</f>
        <v>1.4705141707791289</v>
      </c>
      <c r="I12" s="43">
        <f>'Dane po transformacji i odbieg'!K227</f>
        <v>1.2235891197617086</v>
      </c>
      <c r="J12" s="43">
        <f>'Dane po transformacji i odbieg'!L227</f>
        <v>1.347408780053847</v>
      </c>
      <c r="L12" s="2">
        <v>9</v>
      </c>
      <c r="M12" s="169" t="s">
        <v>36</v>
      </c>
      <c r="N12" s="8">
        <f t="shared" si="0"/>
        <v>4.6326426182237297</v>
      </c>
      <c r="O12" s="8">
        <f t="shared" si="24"/>
        <v>4.5076103058490053</v>
      </c>
      <c r="P12" s="8">
        <f t="shared" si="1"/>
        <v>4.7571081499278227</v>
      </c>
      <c r="Q12" s="8">
        <f t="shared" si="2"/>
        <v>4.4154332009249462</v>
      </c>
      <c r="R12" s="8">
        <f t="shared" si="3"/>
        <v>8.6950906529757361</v>
      </c>
      <c r="S12" s="8">
        <f t="shared" si="4"/>
        <v>3.8722062649526054</v>
      </c>
      <c r="T12" s="8">
        <f t="shared" si="5"/>
        <v>3.0830516757538686</v>
      </c>
      <c r="U12" s="8">
        <f t="shared" si="6"/>
        <v>6.7412347509011177</v>
      </c>
      <c r="V12" s="170">
        <v>0</v>
      </c>
      <c r="W12" s="8">
        <f t="shared" si="8"/>
        <v>7.1294477068521163</v>
      </c>
      <c r="X12" s="8">
        <f t="shared" si="9"/>
        <v>4.0049820559721958</v>
      </c>
      <c r="Y12" s="8">
        <f t="shared" si="10"/>
        <v>4.335220009336723</v>
      </c>
      <c r="Z12" s="8">
        <f t="shared" si="11"/>
        <v>3.8969632574840603</v>
      </c>
      <c r="AA12" s="8">
        <f t="shared" si="12"/>
        <v>5.3216237884278295</v>
      </c>
      <c r="AB12" s="8">
        <f t="shared" si="13"/>
        <v>2.2735386626355125</v>
      </c>
      <c r="AC12" s="8">
        <f t="shared" si="14"/>
        <v>5.2611041820013815</v>
      </c>
      <c r="AD12" s="8">
        <f t="shared" si="15"/>
        <v>5.3962319606099136</v>
      </c>
      <c r="AE12" s="8">
        <f t="shared" si="16"/>
        <v>3.209526371982069</v>
      </c>
      <c r="AF12" s="8">
        <f t="shared" si="17"/>
        <v>6.4674721481493389</v>
      </c>
      <c r="AG12" s="8">
        <f t="shared" si="18"/>
        <v>6.6186036606652099</v>
      </c>
      <c r="AH12" s="8">
        <f t="shared" si="19"/>
        <v>4.9164600016003304</v>
      </c>
      <c r="AI12" s="8">
        <f t="shared" si="20"/>
        <v>5.3965643795030385</v>
      </c>
      <c r="AJ12" s="8">
        <f t="shared" si="21"/>
        <v>5.3961749528376375</v>
      </c>
      <c r="AK12" s="8">
        <f t="shared" si="22"/>
        <v>4.8752695619081541</v>
      </c>
      <c r="AL12" s="8">
        <f t="shared" si="23"/>
        <v>6.3699601879403867</v>
      </c>
    </row>
    <row r="13" spans="1:38" ht="20.100000000000001" customHeight="1" x14ac:dyDescent="0.2">
      <c r="A13" s="6">
        <v>11</v>
      </c>
      <c r="B13" s="168" t="s">
        <v>41</v>
      </c>
      <c r="C13" s="43">
        <f>'Dane po transformacji i odbieg'!E228</f>
        <v>-0.50869087352795783</v>
      </c>
      <c r="D13" s="43">
        <f>'Dane po transformacji i odbieg'!F228</f>
        <v>-3.3697061889630953E-2</v>
      </c>
      <c r="E13" s="43">
        <f>'Dane po transformacji i odbieg'!G228</f>
        <v>-1.0343842350591697</v>
      </c>
      <c r="F13" s="43">
        <f>'Dane po transformacji i odbieg'!H228</f>
        <v>-0.79504359977104277</v>
      </c>
      <c r="G13" s="43">
        <f>'Dane po transformacji i odbieg'!I228</f>
        <v>-0.86402856721917287</v>
      </c>
      <c r="H13" s="43">
        <f>'Dane po transformacji i odbieg'!J228</f>
        <v>0.38345426542588168</v>
      </c>
      <c r="I13" s="43">
        <f>'Dane po transformacji i odbieg'!K228</f>
        <v>-0.62702337134828723</v>
      </c>
      <c r="J13" s="43">
        <f>'Dane po transformacji i odbieg'!L228</f>
        <v>-0.3839769584924928</v>
      </c>
      <c r="L13" s="2">
        <v>10</v>
      </c>
      <c r="M13" s="169" t="s">
        <v>40</v>
      </c>
      <c r="N13" s="8">
        <f t="shared" si="0"/>
        <v>3.7157950825577273</v>
      </c>
      <c r="O13" s="8">
        <f t="shared" si="24"/>
        <v>4.1564031884041182</v>
      </c>
      <c r="P13" s="8">
        <f t="shared" si="1"/>
        <v>4.4809272312805764</v>
      </c>
      <c r="Q13" s="8">
        <f t="shared" si="2"/>
        <v>4.4257104454926184</v>
      </c>
      <c r="R13" s="8">
        <f t="shared" si="3"/>
        <v>1.940430100992071</v>
      </c>
      <c r="S13" s="8">
        <f t="shared" si="4"/>
        <v>5.860660325888305</v>
      </c>
      <c r="T13" s="8">
        <f t="shared" si="5"/>
        <v>6.2024148498463854</v>
      </c>
      <c r="U13" s="8">
        <f t="shared" si="6"/>
        <v>6.4136212142421041</v>
      </c>
      <c r="V13" s="8">
        <f t="shared" si="7"/>
        <v>7.1294477068521163</v>
      </c>
      <c r="W13" s="170">
        <v>0</v>
      </c>
      <c r="X13" s="8">
        <f t="shared" si="9"/>
        <v>4.1713787884651028</v>
      </c>
      <c r="Y13" s="8">
        <f t="shared" si="10"/>
        <v>5.7468439124032713</v>
      </c>
      <c r="Z13" s="8">
        <f t="shared" si="11"/>
        <v>4.7065851907292728</v>
      </c>
      <c r="AA13" s="8">
        <f t="shared" si="12"/>
        <v>7.1292237260442306</v>
      </c>
      <c r="AB13" s="8">
        <f t="shared" si="13"/>
        <v>7.007453433317349</v>
      </c>
      <c r="AC13" s="8">
        <f t="shared" si="14"/>
        <v>3.4571370834779342</v>
      </c>
      <c r="AD13" s="8">
        <f t="shared" si="15"/>
        <v>2.9827341377083001</v>
      </c>
      <c r="AE13" s="8">
        <f t="shared" si="16"/>
        <v>5.3236622479256281</v>
      </c>
      <c r="AF13" s="8">
        <f t="shared" si="17"/>
        <v>1.1157458157063405</v>
      </c>
      <c r="AG13" s="8">
        <f t="shared" si="18"/>
        <v>2.3076286605772718</v>
      </c>
      <c r="AH13" s="8">
        <f t="shared" si="19"/>
        <v>3.6555887818807564</v>
      </c>
      <c r="AI13" s="8">
        <f t="shared" si="20"/>
        <v>3.190339508316745</v>
      </c>
      <c r="AJ13" s="8">
        <f t="shared" si="21"/>
        <v>2.9827331314134913</v>
      </c>
      <c r="AK13" s="8">
        <f t="shared" si="22"/>
        <v>3.3625992293665372</v>
      </c>
      <c r="AL13" s="8">
        <f t="shared" si="23"/>
        <v>2.6447631706312613</v>
      </c>
    </row>
    <row r="14" spans="1:38" ht="20.100000000000001" customHeight="1" x14ac:dyDescent="0.2">
      <c r="A14" s="6">
        <v>12</v>
      </c>
      <c r="B14" s="168" t="s">
        <v>42</v>
      </c>
      <c r="C14" s="43">
        <f>'Dane po transformacji i odbieg'!E229</f>
        <v>-1.5254252961061647</v>
      </c>
      <c r="D14" s="43">
        <f>'Dane po transformacji i odbieg'!F229</f>
        <v>-8.3363871814579521E-2</v>
      </c>
      <c r="E14" s="43">
        <f>'Dane po transformacji i odbieg'!G229</f>
        <v>0.21386705423186372</v>
      </c>
      <c r="F14" s="43">
        <f>'Dane po transformacji i odbieg'!H229</f>
        <v>1.8475785180755331</v>
      </c>
      <c r="G14" s="43">
        <f>'Dane po transformacji i odbieg'!I229</f>
        <v>-0.63807967411792466</v>
      </c>
      <c r="H14" s="43">
        <f>'Dane po transformacji i odbieg'!J229</f>
        <v>0.29032139425853781</v>
      </c>
      <c r="I14" s="43">
        <f>'Dane po transformacji i odbieg'!K229</f>
        <v>-0.44519404758506514</v>
      </c>
      <c r="J14" s="43">
        <f>'Dane po transformacji i odbieg'!L229</f>
        <v>-0.41675164272072224</v>
      </c>
      <c r="L14" s="2">
        <v>11</v>
      </c>
      <c r="M14" s="169" t="s">
        <v>41</v>
      </c>
      <c r="N14" s="8">
        <f t="shared" si="0"/>
        <v>1.0066498423256809</v>
      </c>
      <c r="O14" s="8">
        <f t="shared" si="24"/>
        <v>1.9613656727462485</v>
      </c>
      <c r="P14" s="8">
        <f t="shared" si="1"/>
        <v>2.8511521207807897</v>
      </c>
      <c r="Q14" s="8">
        <f t="shared" si="2"/>
        <v>2.2358212354444889</v>
      </c>
      <c r="R14" s="8">
        <f t="shared" si="3"/>
        <v>5.9988517147832514</v>
      </c>
      <c r="S14" s="8">
        <f t="shared" si="4"/>
        <v>3.0744750172041995</v>
      </c>
      <c r="T14" s="8">
        <f t="shared" si="5"/>
        <v>3.0255031242800614</v>
      </c>
      <c r="U14" s="8">
        <f t="shared" si="6"/>
        <v>4.8799484752937072</v>
      </c>
      <c r="V14" s="8">
        <f t="shared" si="7"/>
        <v>4.0049820559721958</v>
      </c>
      <c r="W14" s="8">
        <f t="shared" si="8"/>
        <v>4.1713787884651028</v>
      </c>
      <c r="X14" s="170">
        <v>0</v>
      </c>
      <c r="Y14" s="8">
        <f t="shared" si="10"/>
        <v>3.1099294741045518</v>
      </c>
      <c r="Z14" s="8">
        <f t="shared" si="11"/>
        <v>2.4639788233686333</v>
      </c>
      <c r="AA14" s="8">
        <f t="shared" si="12"/>
        <v>4.429183593741703</v>
      </c>
      <c r="AB14" s="8">
        <f t="shared" si="13"/>
        <v>3.4268868388552423</v>
      </c>
      <c r="AC14" s="8">
        <f t="shared" si="14"/>
        <v>2.6640831938735881</v>
      </c>
      <c r="AD14" s="8">
        <f t="shared" si="15"/>
        <v>3.059470007402449</v>
      </c>
      <c r="AE14" s="8">
        <f t="shared" si="16"/>
        <v>3.5697518603354892</v>
      </c>
      <c r="AF14" s="8">
        <f t="shared" si="17"/>
        <v>3.3751651805002032</v>
      </c>
      <c r="AG14" s="8">
        <f t="shared" si="18"/>
        <v>4.002990950592916</v>
      </c>
      <c r="AH14" s="8">
        <f t="shared" si="19"/>
        <v>2.2689121186141543</v>
      </c>
      <c r="AI14" s="8">
        <f t="shared" si="20"/>
        <v>2.9736151872041852</v>
      </c>
      <c r="AJ14" s="8">
        <f t="shared" si="21"/>
        <v>3.0594683776979426</v>
      </c>
      <c r="AK14" s="8">
        <f t="shared" si="22"/>
        <v>2.2985112573665147</v>
      </c>
      <c r="AL14" s="8">
        <f t="shared" si="23"/>
        <v>3.8358828048085489</v>
      </c>
    </row>
    <row r="15" spans="1:38" ht="20.100000000000001" customHeight="1" x14ac:dyDescent="0.2">
      <c r="A15" s="6">
        <v>13</v>
      </c>
      <c r="B15" s="168" t="s">
        <v>43</v>
      </c>
      <c r="C15" s="43">
        <f>'Dane po transformacji i odbieg'!E230</f>
        <v>0.44541784239014187</v>
      </c>
      <c r="D15" s="43">
        <f>'Dane po transformacji i odbieg'!F230</f>
        <v>8.9647725928075198E-2</v>
      </c>
      <c r="E15" s="43">
        <f>'Dane po transformacji i odbieg'!G230</f>
        <v>0.71316756994827701</v>
      </c>
      <c r="F15" s="43">
        <f>'Dane po transformacji i odbieg'!H230</f>
        <v>0.13071164602237875</v>
      </c>
      <c r="G15" s="43">
        <f>'Dane po transformacji i odbieg'!I230</f>
        <v>-0.46861800429198858</v>
      </c>
      <c r="H15" s="43">
        <f>'Dane po transformacji i odbieg'!J230</f>
        <v>-0.60703496800281931</v>
      </c>
      <c r="I15" s="43">
        <f>'Dane po transformacji i odbieg'!K230</f>
        <v>-0.62467796434097778</v>
      </c>
      <c r="J15" s="43">
        <f>'Dane po transformacji i odbieg'!L230</f>
        <v>-0.69585873335433646</v>
      </c>
      <c r="L15" s="2">
        <v>12</v>
      </c>
      <c r="M15" s="169" t="s">
        <v>42</v>
      </c>
      <c r="N15" s="8">
        <f t="shared" si="0"/>
        <v>3.7682302846485149</v>
      </c>
      <c r="O15" s="8">
        <f t="shared" si="24"/>
        <v>2.023925904713634</v>
      </c>
      <c r="P15" s="8">
        <f t="shared" si="1"/>
        <v>1.7540936106638079</v>
      </c>
      <c r="Q15" s="8">
        <f t="shared" si="2"/>
        <v>1.6852239070377502</v>
      </c>
      <c r="R15" s="8">
        <f t="shared" si="3"/>
        <v>7.2054480728745709</v>
      </c>
      <c r="S15" s="8">
        <f t="shared" si="4"/>
        <v>1.5220458252835802</v>
      </c>
      <c r="T15" s="8">
        <f t="shared" si="5"/>
        <v>2.8209447801512666</v>
      </c>
      <c r="U15" s="8">
        <f t="shared" si="6"/>
        <v>5.547749835844404</v>
      </c>
      <c r="V15" s="8">
        <f t="shared" si="7"/>
        <v>4.335220009336723</v>
      </c>
      <c r="W15" s="8">
        <f t="shared" si="8"/>
        <v>5.7468439124032713</v>
      </c>
      <c r="X15" s="8">
        <f t="shared" si="9"/>
        <v>3.1099294741045518</v>
      </c>
      <c r="Y15" s="170">
        <v>0</v>
      </c>
      <c r="Z15" s="8">
        <f t="shared" si="11"/>
        <v>2.8381630491757925</v>
      </c>
      <c r="AA15" s="8">
        <f t="shared" si="12"/>
        <v>4.7253113789564836</v>
      </c>
      <c r="AB15" s="8">
        <f t="shared" si="13"/>
        <v>3.475317886741438</v>
      </c>
      <c r="AC15" s="8">
        <f t="shared" si="14"/>
        <v>2.6074249654617607</v>
      </c>
      <c r="AD15" s="8">
        <f t="shared" si="15"/>
        <v>3.9275995749506958</v>
      </c>
      <c r="AE15" s="8">
        <f t="shared" si="16"/>
        <v>4.0831363497030129</v>
      </c>
      <c r="AF15" s="8">
        <f t="shared" si="17"/>
        <v>4.8651034108580324</v>
      </c>
      <c r="AG15" s="8">
        <f t="shared" si="18"/>
        <v>4.6553343422041742</v>
      </c>
      <c r="AH15" s="8">
        <f t="shared" si="19"/>
        <v>2.3667912921059546</v>
      </c>
      <c r="AI15" s="8">
        <f t="shared" si="20"/>
        <v>3.0353783262097802</v>
      </c>
      <c r="AJ15" s="8">
        <f t="shared" si="21"/>
        <v>3.9275995659489507</v>
      </c>
      <c r="AK15" s="8">
        <f t="shared" si="22"/>
        <v>2.5122347218256595</v>
      </c>
      <c r="AL15" s="8">
        <f t="shared" si="23"/>
        <v>4.0601069416863274</v>
      </c>
    </row>
    <row r="16" spans="1:38" ht="20.100000000000001" customHeight="1" x14ac:dyDescent="0.2">
      <c r="A16" s="6">
        <v>14</v>
      </c>
      <c r="B16" s="168" t="s">
        <v>48</v>
      </c>
      <c r="C16" s="43">
        <f>'Dane po transformacji i odbieg'!E231</f>
        <v>-0.8925582607924053</v>
      </c>
      <c r="D16" s="43">
        <f>'Dane po transformacji i odbieg'!F231</f>
        <v>-1.7775539436989365</v>
      </c>
      <c r="E16" s="43">
        <f>'Dane po transformacji i odbieg'!G231</f>
        <v>1.7117686013811038</v>
      </c>
      <c r="F16" s="43">
        <f>'Dane po transformacji i odbieg'!H231</f>
        <v>-1.0192438825219219</v>
      </c>
      <c r="G16" s="43">
        <f>'Dane po transformacji i odbieg'!I231</f>
        <v>-0.5251052275673006</v>
      </c>
      <c r="H16" s="43">
        <f>'Dane po transformacji i odbieg'!J231</f>
        <v>-2.1937540036990559</v>
      </c>
      <c r="I16" s="43">
        <f>'Dane po transformacji i odbieg'!K231</f>
        <v>-1.63067884683325</v>
      </c>
      <c r="J16" s="43">
        <f>'Dane po transformacji i odbieg'!L231</f>
        <v>-1.4200557865164751</v>
      </c>
      <c r="L16" s="2">
        <v>13</v>
      </c>
      <c r="M16" s="169" t="s">
        <v>43</v>
      </c>
      <c r="N16" s="8">
        <f t="shared" si="0"/>
        <v>3.1970376180511146</v>
      </c>
      <c r="O16" s="8">
        <f t="shared" si="24"/>
        <v>2.1264783961215956</v>
      </c>
      <c r="P16" s="8">
        <f t="shared" si="1"/>
        <v>2.0434679359079002</v>
      </c>
      <c r="Q16" s="8">
        <f t="shared" si="2"/>
        <v>1.8355007203425537</v>
      </c>
      <c r="R16" s="8">
        <f t="shared" si="3"/>
        <v>6.1934378246369457</v>
      </c>
      <c r="S16" s="8">
        <f t="shared" si="4"/>
        <v>1.8506615653683332</v>
      </c>
      <c r="T16" s="8">
        <f t="shared" si="5"/>
        <v>1.9375864770410611</v>
      </c>
      <c r="U16" s="8">
        <f t="shared" si="6"/>
        <v>3.8551572803048648</v>
      </c>
      <c r="V16" s="8">
        <f t="shared" si="7"/>
        <v>3.8969632574840603</v>
      </c>
      <c r="W16" s="8">
        <f t="shared" si="8"/>
        <v>4.7065851907292728</v>
      </c>
      <c r="X16" s="8">
        <f t="shared" si="9"/>
        <v>2.4639788233686333</v>
      </c>
      <c r="Y16" s="8">
        <f t="shared" si="10"/>
        <v>2.8381630491757925</v>
      </c>
      <c r="Z16" s="170">
        <v>0</v>
      </c>
      <c r="AA16" s="8">
        <f t="shared" si="12"/>
        <v>3.4137356542901602</v>
      </c>
      <c r="AB16" s="8">
        <f t="shared" si="13"/>
        <v>3.0254985932963763</v>
      </c>
      <c r="AC16" s="8">
        <f t="shared" si="14"/>
        <v>2.6459883027107272</v>
      </c>
      <c r="AD16" s="8">
        <f t="shared" si="15"/>
        <v>2.8144480278916508</v>
      </c>
      <c r="AE16" s="8">
        <f t="shared" si="16"/>
        <v>2.3581159135109422</v>
      </c>
      <c r="AF16" s="8">
        <f t="shared" si="17"/>
        <v>4.155558408814775</v>
      </c>
      <c r="AG16" s="8">
        <f t="shared" si="18"/>
        <v>4.0292707177689051</v>
      </c>
      <c r="AH16" s="8">
        <f t="shared" si="19"/>
        <v>2.4144816870960009</v>
      </c>
      <c r="AI16" s="8">
        <f t="shared" si="20"/>
        <v>2.6072866421226619</v>
      </c>
      <c r="AJ16" s="8">
        <f t="shared" si="21"/>
        <v>2.8144418878672535</v>
      </c>
      <c r="AK16" s="8">
        <f t="shared" si="22"/>
        <v>2.1022384850526077</v>
      </c>
      <c r="AL16" s="8">
        <f t="shared" si="23"/>
        <v>3.5988772831146196</v>
      </c>
    </row>
    <row r="17" spans="1:38" ht="20.100000000000001" customHeight="1" x14ac:dyDescent="0.2">
      <c r="A17" s="6">
        <v>15</v>
      </c>
      <c r="B17" s="168" t="s">
        <v>158</v>
      </c>
      <c r="C17" s="43">
        <f>'Dane po transformacji i odbieg'!E232</f>
        <v>-1.7743998797896439</v>
      </c>
      <c r="D17" s="43">
        <f>'Dane po transformacji i odbieg'!F232</f>
        <v>0.88405716355120367</v>
      </c>
      <c r="E17" s="43">
        <f>'Dane po transformacji i odbieg'!G232</f>
        <v>1.2124680856646903</v>
      </c>
      <c r="F17" s="43">
        <f>'Dane po transformacji i odbieg'!H232</f>
        <v>-0.47807655334305388</v>
      </c>
      <c r="G17" s="43">
        <f>'Dane po transformacji i odbieg'!I232</f>
        <v>-1.5983624697982293</v>
      </c>
      <c r="H17" s="43">
        <f>'Dane po transformacji i odbieg'!J232</f>
        <v>-0.80260033926478658</v>
      </c>
      <c r="I17" s="43">
        <f>'Dane po transformacji i odbieg'!K232</f>
        <v>-1.6905160587443373</v>
      </c>
      <c r="J17" s="43">
        <f>'Dane po transformacji i odbieg'!L232</f>
        <v>-1.4200557865164751</v>
      </c>
      <c r="L17" s="2">
        <v>14</v>
      </c>
      <c r="M17" s="169" t="s">
        <v>48</v>
      </c>
      <c r="N17" s="8">
        <f t="shared" si="0"/>
        <v>5.1675823663842477</v>
      </c>
      <c r="O17" s="8">
        <f t="shared" si="24"/>
        <v>4.6903198655045006</v>
      </c>
      <c r="P17" s="8">
        <f t="shared" si="1"/>
        <v>4.8821443347404037</v>
      </c>
      <c r="Q17" s="8">
        <f t="shared" si="2"/>
        <v>4.5488492649674548</v>
      </c>
      <c r="R17" s="8">
        <f t="shared" si="3"/>
        <v>8.4801017547212361</v>
      </c>
      <c r="S17" s="8">
        <f t="shared" si="4"/>
        <v>3.5753848162821358</v>
      </c>
      <c r="T17" s="8">
        <f t="shared" si="5"/>
        <v>2.6125315061460976</v>
      </c>
      <c r="U17" s="8">
        <f t="shared" si="6"/>
        <v>2.1125519070109595</v>
      </c>
      <c r="V17" s="8">
        <f t="shared" si="7"/>
        <v>5.3216237884278295</v>
      </c>
      <c r="W17" s="8">
        <f t="shared" si="8"/>
        <v>7.1292237260442306</v>
      </c>
      <c r="X17" s="8">
        <f t="shared" si="9"/>
        <v>4.429183593741703</v>
      </c>
      <c r="Y17" s="8">
        <f t="shared" si="10"/>
        <v>4.7253113789564836</v>
      </c>
      <c r="Z17" s="8">
        <f t="shared" si="11"/>
        <v>3.4137356542901602</v>
      </c>
      <c r="AA17" s="170">
        <v>0</v>
      </c>
      <c r="AB17" s="8">
        <f t="shared" si="13"/>
        <v>3.3903910583290506</v>
      </c>
      <c r="AC17" s="8">
        <f t="shared" si="14"/>
        <v>5.4106987981236889</v>
      </c>
      <c r="AD17" s="8">
        <f t="shared" si="15"/>
        <v>5.1657400645061795</v>
      </c>
      <c r="AE17" s="8">
        <f t="shared" si="16"/>
        <v>4.1192280947060427</v>
      </c>
      <c r="AF17" s="8">
        <f t="shared" si="17"/>
        <v>6.6574848040301919</v>
      </c>
      <c r="AG17" s="8">
        <f t="shared" si="18"/>
        <v>6.3838872261812707</v>
      </c>
      <c r="AH17" s="8">
        <f t="shared" si="19"/>
        <v>5.0688035286304958</v>
      </c>
      <c r="AI17" s="8">
        <f t="shared" si="20"/>
        <v>5.2576671714310796</v>
      </c>
      <c r="AJ17" s="8">
        <f t="shared" si="21"/>
        <v>5.1657727485262672</v>
      </c>
      <c r="AK17" s="8">
        <f t="shared" si="22"/>
        <v>4.922353110921736</v>
      </c>
      <c r="AL17" s="8">
        <f t="shared" si="23"/>
        <v>6.2067586454256691</v>
      </c>
    </row>
    <row r="18" spans="1:38" ht="20.100000000000001" customHeight="1" x14ac:dyDescent="0.2">
      <c r="A18" s="6">
        <v>16</v>
      </c>
      <c r="B18" s="168" t="s">
        <v>52</v>
      </c>
      <c r="C18" s="43">
        <f>'Dane po transformacji i odbieg'!E233</f>
        <v>0.20387931509573873</v>
      </c>
      <c r="D18" s="43">
        <f>'Dane po transformacji i odbieg'!F233</f>
        <v>-9.0390847551900771E-2</v>
      </c>
      <c r="E18" s="43">
        <f>'Dane po transformacji i odbieg'!G233</f>
        <v>-0.78473397720096294</v>
      </c>
      <c r="F18" s="43">
        <f>'Dane po transformacji i odbieg'!H233</f>
        <v>1.0962595696282489</v>
      </c>
      <c r="G18" s="43">
        <f>'Dane po transformacji i odbieg'!I233</f>
        <v>0.15274145173644388</v>
      </c>
      <c r="H18" s="43">
        <f>'Dane po transformacji i odbieg'!J233</f>
        <v>0.27796440321207311</v>
      </c>
      <c r="I18" s="43">
        <f>'Dane po transformacji i odbieg'!K233</f>
        <v>0.40495784986016564</v>
      </c>
      <c r="J18" s="43">
        <f>'Dane po transformacji i odbieg'!L233</f>
        <v>0.53094448709696773</v>
      </c>
      <c r="L18" s="2">
        <v>15</v>
      </c>
      <c r="M18" s="169" t="s">
        <v>158</v>
      </c>
      <c r="N18" s="8">
        <f t="shared" si="0"/>
        <v>4.2145207299107046</v>
      </c>
      <c r="O18" s="8">
        <f t="shared" si="24"/>
        <v>3.9638342070265109</v>
      </c>
      <c r="P18" s="8">
        <f t="shared" si="1"/>
        <v>4.1203194496190632</v>
      </c>
      <c r="Q18" s="8">
        <f t="shared" si="2"/>
        <v>3.7695000292536944</v>
      </c>
      <c r="R18" s="8">
        <f t="shared" si="3"/>
        <v>8.646428487439298</v>
      </c>
      <c r="S18" s="8">
        <f t="shared" si="4"/>
        <v>2.7499234599739157</v>
      </c>
      <c r="T18" s="8">
        <f t="shared" si="5"/>
        <v>1.437987134356717</v>
      </c>
      <c r="U18" s="8">
        <f t="shared" si="6"/>
        <v>5.0116932745542568</v>
      </c>
      <c r="V18" s="8">
        <f t="shared" si="7"/>
        <v>2.2735386626355125</v>
      </c>
      <c r="W18" s="8">
        <f t="shared" si="8"/>
        <v>7.007453433317349</v>
      </c>
      <c r="X18" s="8">
        <f t="shared" si="9"/>
        <v>3.4268868388552423</v>
      </c>
      <c r="Y18" s="8">
        <f t="shared" si="10"/>
        <v>3.475317886741438</v>
      </c>
      <c r="Z18" s="8">
        <f t="shared" si="11"/>
        <v>3.0254985932963763</v>
      </c>
      <c r="AA18" s="8">
        <f t="shared" si="12"/>
        <v>3.3903910583290506</v>
      </c>
      <c r="AB18" s="170">
        <v>0</v>
      </c>
      <c r="AC18" s="8">
        <f t="shared" si="14"/>
        <v>4.8746164857603356</v>
      </c>
      <c r="AD18" s="8">
        <f t="shared" si="15"/>
        <v>4.7844878329203233</v>
      </c>
      <c r="AE18" s="8">
        <f t="shared" si="16"/>
        <v>3.2109158927639978</v>
      </c>
      <c r="AF18" s="8">
        <f t="shared" si="17"/>
        <v>6.2977856536295311</v>
      </c>
      <c r="AG18" s="8">
        <f t="shared" si="18"/>
        <v>6.4042138855049711</v>
      </c>
      <c r="AH18" s="8">
        <f t="shared" si="19"/>
        <v>4.4623355874913937</v>
      </c>
      <c r="AI18" s="8">
        <f t="shared" si="20"/>
        <v>4.9659590383501246</v>
      </c>
      <c r="AJ18" s="8">
        <f t="shared" si="21"/>
        <v>4.7844676706988816</v>
      </c>
      <c r="AK18" s="8">
        <f t="shared" si="22"/>
        <v>4.3778820629239785</v>
      </c>
      <c r="AL18" s="8">
        <f t="shared" si="23"/>
        <v>6.1130948988971792</v>
      </c>
    </row>
    <row r="19" spans="1:38" ht="20.100000000000001" customHeight="1" x14ac:dyDescent="0.2">
      <c r="A19" s="6">
        <v>17</v>
      </c>
      <c r="B19" s="168" t="s">
        <v>53</v>
      </c>
      <c r="C19" s="43">
        <f>'Dane po transformacji i odbieg'!E234</f>
        <v>0.53176791554317937</v>
      </c>
      <c r="D19" s="43">
        <f>'Dane po transformacji i odbieg'!F234</f>
        <v>-8.3768406215698032E-2</v>
      </c>
      <c r="E19" s="43">
        <f>'Dane po transformacji i odbieg'!G234</f>
        <v>0.96281782780648373</v>
      </c>
      <c r="F19" s="43">
        <f>'Dane po transformacji i odbieg'!H234</f>
        <v>-0.7695783303625674</v>
      </c>
      <c r="G19" s="43">
        <f>'Dane po transformacji i odbieg'!I234</f>
        <v>-7.3207441364804282E-2</v>
      </c>
      <c r="H19" s="43">
        <f>'Dane po transformacji i odbieg'!J234</f>
        <v>1.0421005554933913</v>
      </c>
      <c r="I19" s="43">
        <f>'Dane po transformacji i odbieg'!K234</f>
        <v>0.60288013905483095</v>
      </c>
      <c r="J19" s="43">
        <f>'Dane po transformacji i odbieg'!L234</f>
        <v>0.92520404566128722</v>
      </c>
      <c r="L19" s="2">
        <v>16</v>
      </c>
      <c r="M19" s="169" t="s">
        <v>52</v>
      </c>
      <c r="N19" s="8">
        <f t="shared" si="0"/>
        <v>2.9108110732770278</v>
      </c>
      <c r="O19" s="8">
        <f t="shared" si="24"/>
        <v>1.1104372681637247</v>
      </c>
      <c r="P19" s="8">
        <f t="shared" si="1"/>
        <v>1.5102891721888374</v>
      </c>
      <c r="Q19" s="8">
        <f t="shared" si="2"/>
        <v>1.301037175225386</v>
      </c>
      <c r="R19" s="8">
        <f t="shared" si="3"/>
        <v>4.8394963336200894</v>
      </c>
      <c r="S19" s="8">
        <f t="shared" si="4"/>
        <v>2.8792568378601251</v>
      </c>
      <c r="T19" s="8">
        <f t="shared" si="5"/>
        <v>3.9442579719288502</v>
      </c>
      <c r="U19" s="8">
        <f t="shared" si="6"/>
        <v>5.4702835039813928</v>
      </c>
      <c r="V19" s="8">
        <f t="shared" si="7"/>
        <v>5.2611041820013815</v>
      </c>
      <c r="W19" s="8">
        <f t="shared" si="8"/>
        <v>3.4571370834779342</v>
      </c>
      <c r="X19" s="8">
        <f t="shared" si="9"/>
        <v>2.6640831938735881</v>
      </c>
      <c r="Y19" s="8">
        <f t="shared" si="10"/>
        <v>2.6074249654617607</v>
      </c>
      <c r="Z19" s="8">
        <f t="shared" si="11"/>
        <v>2.6459883027107272</v>
      </c>
      <c r="AA19" s="8">
        <f t="shared" si="12"/>
        <v>5.4106987981236889</v>
      </c>
      <c r="AB19" s="8">
        <f t="shared" si="13"/>
        <v>4.8746164857603356</v>
      </c>
      <c r="AC19" s="170">
        <v>0</v>
      </c>
      <c r="AD19" s="8">
        <f t="shared" si="15"/>
        <v>2.7335716498485865</v>
      </c>
      <c r="AE19" s="8">
        <f t="shared" si="16"/>
        <v>3.9276447280772055</v>
      </c>
      <c r="AF19" s="8">
        <f t="shared" si="17"/>
        <v>2.7070537119660316</v>
      </c>
      <c r="AG19" s="8">
        <f t="shared" si="18"/>
        <v>2.3474754282468884</v>
      </c>
      <c r="AH19" s="8">
        <f t="shared" si="19"/>
        <v>0.55574390848425681</v>
      </c>
      <c r="AI19" s="8">
        <f t="shared" si="20"/>
        <v>0.9774079225030885</v>
      </c>
      <c r="AJ19" s="8">
        <f t="shared" si="21"/>
        <v>2.7335718931485187</v>
      </c>
      <c r="AK19" s="8">
        <f t="shared" si="22"/>
        <v>0.7747264696298557</v>
      </c>
      <c r="AL19" s="8">
        <f t="shared" si="23"/>
        <v>1.6833414381402965</v>
      </c>
    </row>
    <row r="20" spans="1:38" ht="20.100000000000001" customHeight="1" x14ac:dyDescent="0.2">
      <c r="A20" s="6">
        <v>18</v>
      </c>
      <c r="B20" s="168" t="s">
        <v>54</v>
      </c>
      <c r="C20" s="43">
        <f>'Dane po transformacji i odbieg'!E235</f>
        <v>-0.17612824906161295</v>
      </c>
      <c r="D20" s="43">
        <f>'Dane po transformacji i odbieg'!F235</f>
        <v>1.7078891729381513</v>
      </c>
      <c r="E20" s="43">
        <f>'Dane po transformacji i odbieg'!G235</f>
        <v>0.96281782780648373</v>
      </c>
      <c r="F20" s="43">
        <f>'Dane po transformacji i odbieg'!H235</f>
        <v>-0.70237174552284765</v>
      </c>
      <c r="G20" s="43">
        <f>'Dane po transformacji i odbieg'!I235</f>
        <v>0.49166479138831609</v>
      </c>
      <c r="H20" s="43">
        <f>'Dane po transformacji i odbieg'!J235</f>
        <v>-1.4332025908413728</v>
      </c>
      <c r="I20" s="43">
        <f>'Dane po transformacji i odbieg'!K235</f>
        <v>-0.27815278786426662</v>
      </c>
      <c r="J20" s="43">
        <f>'Dane po transformacji i odbieg'!L235</f>
        <v>-0.96890975748290054</v>
      </c>
      <c r="L20" s="2">
        <v>17</v>
      </c>
      <c r="M20" s="169" t="s">
        <v>53</v>
      </c>
      <c r="N20" s="8">
        <f t="shared" si="0"/>
        <v>2.9659984342107273</v>
      </c>
      <c r="O20" s="8">
        <f t="shared" si="24"/>
        <v>3.0052803736873894</v>
      </c>
      <c r="P20" s="8">
        <f t="shared" si="1"/>
        <v>2.8838419256765788</v>
      </c>
      <c r="Q20" s="8">
        <f t="shared" si="2"/>
        <v>2.9488909537757668</v>
      </c>
      <c r="R20" s="8">
        <f t="shared" si="3"/>
        <v>4.4541494410498963</v>
      </c>
      <c r="S20" s="8">
        <f t="shared" si="4"/>
        <v>3.8658365156528864</v>
      </c>
      <c r="T20" s="8">
        <f t="shared" si="5"/>
        <v>4.0246803967679412</v>
      </c>
      <c r="U20" s="8">
        <f t="shared" si="6"/>
        <v>4.9166237968444797</v>
      </c>
      <c r="V20" s="8">
        <f t="shared" si="7"/>
        <v>5.3962319606099136</v>
      </c>
      <c r="W20" s="8">
        <f t="shared" si="8"/>
        <v>2.9827341377083001</v>
      </c>
      <c r="X20" s="8">
        <f t="shared" si="9"/>
        <v>3.059470007402449</v>
      </c>
      <c r="Y20" s="8">
        <f t="shared" si="10"/>
        <v>3.9275995749506958</v>
      </c>
      <c r="Z20" s="8">
        <f t="shared" si="11"/>
        <v>2.8144480278916508</v>
      </c>
      <c r="AA20" s="8">
        <f t="shared" si="12"/>
        <v>5.1657400645061795</v>
      </c>
      <c r="AB20" s="8">
        <f t="shared" si="13"/>
        <v>4.7844878329203233</v>
      </c>
      <c r="AC20" s="8">
        <f t="shared" si="14"/>
        <v>2.7335716498485865</v>
      </c>
      <c r="AD20" s="170">
        <v>0</v>
      </c>
      <c r="AE20" s="8">
        <f t="shared" si="16"/>
        <v>3.8112679004518526</v>
      </c>
      <c r="AF20" s="8">
        <f t="shared" si="17"/>
        <v>2.5530085562426832</v>
      </c>
      <c r="AG20" s="8">
        <f t="shared" si="18"/>
        <v>3.146805387525486</v>
      </c>
      <c r="AH20" s="8">
        <f t="shared" si="19"/>
        <v>2.7178555693845659</v>
      </c>
      <c r="AI20" s="8">
        <f t="shared" si="20"/>
        <v>2.3352812415000201</v>
      </c>
      <c r="AJ20" s="8">
        <f t="shared" si="21"/>
        <v>9.9677742310150252E-5</v>
      </c>
      <c r="AK20" s="8">
        <f t="shared" si="22"/>
        <v>2.1506465857825057</v>
      </c>
      <c r="AL20" s="8">
        <f t="shared" si="23"/>
        <v>2.9691979977688532</v>
      </c>
    </row>
    <row r="21" spans="1:38" ht="20.100000000000001" customHeight="1" x14ac:dyDescent="0.2">
      <c r="A21" s="6">
        <v>19</v>
      </c>
      <c r="B21" s="168" t="s">
        <v>50</v>
      </c>
      <c r="C21" s="43">
        <f>'Dane po transformacji i odbieg'!E236</f>
        <v>1.047108285166634</v>
      </c>
      <c r="D21" s="43">
        <f>'Dane po transformacji i odbieg'!F236</f>
        <v>-7.7422588052516242E-2</v>
      </c>
      <c r="E21" s="43">
        <f>'Dane po transformacji i odbieg'!G236</f>
        <v>-1.2424261166076751</v>
      </c>
      <c r="F21" s="43">
        <f>'Dane po transformacji i odbieg'!H236</f>
        <v>-0.76214610542842742</v>
      </c>
      <c r="G21" s="43">
        <f>'Dane po transformacji i odbieg'!I236</f>
        <v>0.88707535431550044</v>
      </c>
      <c r="H21" s="43">
        <f>'Dane po transformacji i odbieg'!J236</f>
        <v>1.6145132574243752</v>
      </c>
      <c r="I21" s="43">
        <f>'Dane po transformacji i odbieg'!K236</f>
        <v>0.60288013905483095</v>
      </c>
      <c r="J21" s="43">
        <f>'Dane po transformacji i odbieg'!L236</f>
        <v>1.2984081197578203</v>
      </c>
      <c r="L21" s="2">
        <v>18</v>
      </c>
      <c r="M21" s="169" t="s">
        <v>54</v>
      </c>
      <c r="N21" s="8">
        <f t="shared" si="0"/>
        <v>4.2456193537440274</v>
      </c>
      <c r="O21" s="8">
        <f t="shared" si="24"/>
        <v>3.5030448420249023</v>
      </c>
      <c r="P21" s="8">
        <f t="shared" si="1"/>
        <v>3.7319317985052067</v>
      </c>
      <c r="Q21" s="8">
        <f t="shared" si="2"/>
        <v>3.438202012099854</v>
      </c>
      <c r="R21" s="8">
        <f t="shared" si="3"/>
        <v>6.5534279977483934</v>
      </c>
      <c r="S21" s="8">
        <f t="shared" si="4"/>
        <v>3.1191362102248323</v>
      </c>
      <c r="T21" s="8">
        <f t="shared" si="5"/>
        <v>2.4863259767314494</v>
      </c>
      <c r="U21" s="8">
        <f t="shared" si="6"/>
        <v>4.7477016285467348</v>
      </c>
      <c r="V21" s="8">
        <f t="shared" si="7"/>
        <v>3.209526371982069</v>
      </c>
      <c r="W21" s="8">
        <f t="shared" si="8"/>
        <v>5.3236622479256281</v>
      </c>
      <c r="X21" s="8">
        <f t="shared" si="9"/>
        <v>3.5697518603354892</v>
      </c>
      <c r="Y21" s="8">
        <f t="shared" si="10"/>
        <v>4.0831363497030129</v>
      </c>
      <c r="Z21" s="8">
        <f t="shared" si="11"/>
        <v>2.3581159135109422</v>
      </c>
      <c r="AA21" s="8">
        <f t="shared" si="12"/>
        <v>4.1192280947060427</v>
      </c>
      <c r="AB21" s="8">
        <f t="shared" si="13"/>
        <v>3.2109158927639978</v>
      </c>
      <c r="AC21" s="8">
        <f t="shared" si="14"/>
        <v>3.9276447280772055</v>
      </c>
      <c r="AD21" s="8">
        <f t="shared" si="15"/>
        <v>3.8112679004518526</v>
      </c>
      <c r="AE21" s="170">
        <v>0</v>
      </c>
      <c r="AF21" s="8">
        <f t="shared" si="17"/>
        <v>4.9912113069770321</v>
      </c>
      <c r="AG21" s="8">
        <f t="shared" si="18"/>
        <v>4.4471096681655551</v>
      </c>
      <c r="AH21" s="8">
        <f t="shared" si="19"/>
        <v>3.661458612265307</v>
      </c>
      <c r="AI21" s="8">
        <f t="shared" si="20"/>
        <v>3.5630028798452145</v>
      </c>
      <c r="AJ21" s="8">
        <f t="shared" si="21"/>
        <v>3.8112210434695806</v>
      </c>
      <c r="AK21" s="8">
        <f t="shared" si="22"/>
        <v>3.3915845197642382</v>
      </c>
      <c r="AL21" s="8">
        <f t="shared" si="23"/>
        <v>4.346748432946983</v>
      </c>
    </row>
    <row r="22" spans="1:38" ht="20.100000000000001" customHeight="1" x14ac:dyDescent="0.2">
      <c r="A22" s="6">
        <v>20</v>
      </c>
      <c r="B22" s="168" t="s">
        <v>59</v>
      </c>
      <c r="C22" s="43">
        <f>'Dane po transformacji i odbieg'!E237</f>
        <v>0.74029751135530053</v>
      </c>
      <c r="D22" s="43">
        <f>'Dane po transformacji i odbieg'!F237</f>
        <v>-6.4040009262825923E-2</v>
      </c>
      <c r="E22" s="43">
        <f>'Dane po transformacji i odbieg'!G237</f>
        <v>-1.0343842350591697</v>
      </c>
      <c r="F22" s="43">
        <f>'Dane po transformacji i odbieg'!H237</f>
        <v>7.9281213754702914E-2</v>
      </c>
      <c r="G22" s="43">
        <f>'Dane po transformacji i odbieg'!I237</f>
        <v>1.6214092568945568</v>
      </c>
      <c r="H22" s="43">
        <f>'Dane po transformacji i odbieg'!J237</f>
        <v>-1.3966962661436617E-2</v>
      </c>
      <c r="I22" s="43">
        <f>'Dane po transformacji i odbieg'!K237</f>
        <v>1.6729409766913648</v>
      </c>
      <c r="J22" s="43">
        <f>'Dane po transformacji i odbieg'!L237</f>
        <v>1.0559602549408837</v>
      </c>
      <c r="L22" s="2">
        <v>19</v>
      </c>
      <c r="M22" s="169" t="s">
        <v>50</v>
      </c>
      <c r="N22" s="8">
        <f t="shared" si="0"/>
        <v>2.9158949960125709</v>
      </c>
      <c r="O22" s="8">
        <f t="shared" si="24"/>
        <v>3.3724731036678861</v>
      </c>
      <c r="P22" s="8">
        <f t="shared" si="1"/>
        <v>3.7186226077924274</v>
      </c>
      <c r="Q22" s="8">
        <f t="shared" si="2"/>
        <v>3.6531254446518746</v>
      </c>
      <c r="R22" s="8">
        <f t="shared" si="3"/>
        <v>2.833877390793885</v>
      </c>
      <c r="S22" s="8">
        <f t="shared" si="4"/>
        <v>5.1363287399253021</v>
      </c>
      <c r="T22" s="8">
        <f t="shared" si="5"/>
        <v>5.556032445435612</v>
      </c>
      <c r="U22" s="8">
        <f t="shared" si="6"/>
        <v>6.1869324013680718</v>
      </c>
      <c r="V22" s="8">
        <f t="shared" si="7"/>
        <v>6.4674721481493389</v>
      </c>
      <c r="W22" s="8">
        <f t="shared" si="8"/>
        <v>1.1157458157063405</v>
      </c>
      <c r="X22" s="8">
        <f t="shared" si="9"/>
        <v>3.3751651805002032</v>
      </c>
      <c r="Y22" s="8">
        <f t="shared" si="10"/>
        <v>4.8651034108580324</v>
      </c>
      <c r="Z22" s="8">
        <f t="shared" si="11"/>
        <v>4.155558408814775</v>
      </c>
      <c r="AA22" s="8">
        <f t="shared" si="12"/>
        <v>6.6574848040301919</v>
      </c>
      <c r="AB22" s="8">
        <f t="shared" si="13"/>
        <v>6.2977856536295311</v>
      </c>
      <c r="AC22" s="8">
        <f t="shared" si="14"/>
        <v>2.7070537119660316</v>
      </c>
      <c r="AD22" s="8">
        <f t="shared" si="15"/>
        <v>2.5530085562426832</v>
      </c>
      <c r="AE22" s="8">
        <f t="shared" si="16"/>
        <v>4.9912113069770321</v>
      </c>
      <c r="AF22" s="170">
        <v>0</v>
      </c>
      <c r="AG22" s="8">
        <f t="shared" si="18"/>
        <v>2.2892353687144396</v>
      </c>
      <c r="AH22" s="8">
        <f t="shared" si="19"/>
        <v>2.8978785935342004</v>
      </c>
      <c r="AI22" s="8">
        <f t="shared" si="20"/>
        <v>2.6677583933310927</v>
      </c>
      <c r="AJ22" s="8">
        <f t="shared" si="21"/>
        <v>2.5530083104272001</v>
      </c>
      <c r="AK22" s="8">
        <f t="shared" si="22"/>
        <v>2.6537860024191904</v>
      </c>
      <c r="AL22" s="8">
        <f t="shared" si="23"/>
        <v>2.3821085836401514</v>
      </c>
    </row>
    <row r="23" spans="1:38" ht="20.100000000000001" customHeight="1" x14ac:dyDescent="0.2">
      <c r="A23" s="6">
        <v>21</v>
      </c>
      <c r="B23" s="168" t="s">
        <v>61</v>
      </c>
      <c r="C23" s="43">
        <f>'Dane po transformacji i odbieg'!E238</f>
        <v>-0.12651819560253355</v>
      </c>
      <c r="D23" s="43">
        <f>'Dane po transformacji i odbieg'!F238</f>
        <v>-8.8027075315400174E-2</v>
      </c>
      <c r="E23" s="43">
        <f>'Dane po transformacji i odbieg'!G238</f>
        <v>-0.78473397720096294</v>
      </c>
      <c r="F23" s="43">
        <f>'Dane po transformacji i odbieg'!H238</f>
        <v>0.83677366071407366</v>
      </c>
      <c r="G23" s="43">
        <f>'Dane po transformacji i odbieg'!I238</f>
        <v>-7.3207441364804282E-2</v>
      </c>
      <c r="H23" s="43">
        <f>'Dane po transformacji i odbieg'!J238</f>
        <v>8.6433908228157511E-2</v>
      </c>
      <c r="I23" s="43">
        <f>'Dane po transformacji i odbieg'!K238</f>
        <v>0.40495784986016564</v>
      </c>
      <c r="J23" s="43">
        <f>'Dane po transformacji i odbieg'!L238</f>
        <v>0.31972559685492913</v>
      </c>
      <c r="L23" s="2">
        <v>20</v>
      </c>
      <c r="M23" s="169" t="s">
        <v>59</v>
      </c>
      <c r="N23" s="8">
        <f t="shared" si="0"/>
        <v>3.9638002390379561</v>
      </c>
      <c r="O23" s="8">
        <f t="shared" si="24"/>
        <v>3.111993572525241</v>
      </c>
      <c r="P23" s="8">
        <f t="shared" si="1"/>
        <v>3.59047609222258</v>
      </c>
      <c r="Q23" s="8">
        <f t="shared" si="2"/>
        <v>3.4189505143493353</v>
      </c>
      <c r="R23" s="8">
        <f t="shared" si="3"/>
        <v>3.0700274908637182</v>
      </c>
      <c r="S23" s="8">
        <f t="shared" si="4"/>
        <v>4.6904630516323946</v>
      </c>
      <c r="T23" s="8">
        <f t="shared" si="5"/>
        <v>5.3712151343919121</v>
      </c>
      <c r="U23" s="8">
        <f t="shared" si="6"/>
        <v>5.8770696468793515</v>
      </c>
      <c r="V23" s="8">
        <f t="shared" si="7"/>
        <v>6.6186036606652099</v>
      </c>
      <c r="W23" s="8">
        <f t="shared" si="8"/>
        <v>2.3076286605772718</v>
      </c>
      <c r="X23" s="8">
        <f t="shared" si="9"/>
        <v>4.002990950592916</v>
      </c>
      <c r="Y23" s="8">
        <f t="shared" si="10"/>
        <v>4.6553343422041742</v>
      </c>
      <c r="Z23" s="8">
        <f t="shared" si="11"/>
        <v>4.0292707177689051</v>
      </c>
      <c r="AA23" s="8">
        <f t="shared" si="12"/>
        <v>6.3838872261812707</v>
      </c>
      <c r="AB23" s="8">
        <f t="shared" si="13"/>
        <v>6.4042138855049711</v>
      </c>
      <c r="AC23" s="8">
        <f t="shared" si="14"/>
        <v>2.3474754282468884</v>
      </c>
      <c r="AD23" s="8">
        <f t="shared" si="15"/>
        <v>3.146805387525486</v>
      </c>
      <c r="AE23" s="8">
        <f t="shared" si="16"/>
        <v>4.4471096681655551</v>
      </c>
      <c r="AF23" s="8">
        <f t="shared" si="17"/>
        <v>2.2892353687144396</v>
      </c>
      <c r="AG23" s="170">
        <v>0</v>
      </c>
      <c r="AH23" s="8">
        <f t="shared" si="19"/>
        <v>2.5337114433585763</v>
      </c>
      <c r="AI23" s="8">
        <f t="shared" si="20"/>
        <v>1.7725244095409689</v>
      </c>
      <c r="AJ23" s="8">
        <f t="shared" si="21"/>
        <v>3.1468047641903274</v>
      </c>
      <c r="AK23" s="8">
        <f t="shared" si="22"/>
        <v>2.4241490726573272</v>
      </c>
      <c r="AL23" s="8">
        <f t="shared" si="23"/>
        <v>0.94328377221982085</v>
      </c>
    </row>
    <row r="24" spans="1:38" ht="20.100000000000001" customHeight="1" x14ac:dyDescent="0.2">
      <c r="A24" s="6">
        <v>22</v>
      </c>
      <c r="B24" s="168" t="s">
        <v>63</v>
      </c>
      <c r="C24" s="43">
        <f>'Dane po transformacji i odbieg'!E239</f>
        <v>0.25884675548128311</v>
      </c>
      <c r="D24" s="43">
        <f>'Dane po transformacji i odbieg'!F239</f>
        <v>-4.9757456660702165E-2</v>
      </c>
      <c r="E24" s="43">
        <f>'Dane po transformacji i odbieg'!G239</f>
        <v>-0.28543346148454957</v>
      </c>
      <c r="F24" s="43">
        <f>'Dane po transformacji i odbieg'!H239</f>
        <v>0.67866142699897658</v>
      </c>
      <c r="G24" s="43">
        <f>'Dane po transformacji i odbieg'!I239</f>
        <v>0.49166479138831609</v>
      </c>
      <c r="H24" s="43">
        <f>'Dane po transformacji i odbieg'!J239</f>
        <v>-4.8170870307037754E-2</v>
      </c>
      <c r="I24" s="43">
        <f>'Dane po transformacji i odbieg'!K239</f>
        <v>0.95077814368906466</v>
      </c>
      <c r="J24" s="43">
        <f>'Dane po transformacji i odbieg'!L239</f>
        <v>0.61932718530326014</v>
      </c>
      <c r="L24" s="2">
        <v>21</v>
      </c>
      <c r="M24" s="169" t="s">
        <v>61</v>
      </c>
      <c r="N24" s="8">
        <f t="shared" si="0"/>
        <v>2.6038149560243595</v>
      </c>
      <c r="O24" s="8">
        <f t="shared" si="24"/>
        <v>0.65601576105973591</v>
      </c>
      <c r="P24" s="8">
        <f t="shared" si="1"/>
        <v>1.5307915159672929</v>
      </c>
      <c r="Q24" s="8">
        <f t="shared" si="2"/>
        <v>1.0138322499167529</v>
      </c>
      <c r="R24" s="8">
        <f t="shared" si="3"/>
        <v>5.1378698162092054</v>
      </c>
      <c r="S24" s="8">
        <f t="shared" si="4"/>
        <v>2.5745936712366104</v>
      </c>
      <c r="T24" s="8">
        <f t="shared" si="5"/>
        <v>3.5609425120848579</v>
      </c>
      <c r="U24" s="8">
        <f t="shared" si="6"/>
        <v>5.2421993194381962</v>
      </c>
      <c r="V24" s="8">
        <f t="shared" si="7"/>
        <v>4.9164600016003304</v>
      </c>
      <c r="W24" s="8">
        <f t="shared" si="8"/>
        <v>3.6555887818807564</v>
      </c>
      <c r="X24" s="8">
        <f t="shared" si="9"/>
        <v>2.2689121186141543</v>
      </c>
      <c r="Y24" s="8">
        <f t="shared" si="10"/>
        <v>2.3667912921059546</v>
      </c>
      <c r="Z24" s="8">
        <f t="shared" si="11"/>
        <v>2.4144816870960009</v>
      </c>
      <c r="AA24" s="8">
        <f t="shared" si="12"/>
        <v>5.0688035286304958</v>
      </c>
      <c r="AB24" s="8">
        <f t="shared" si="13"/>
        <v>4.4623355874913937</v>
      </c>
      <c r="AC24" s="8">
        <f t="shared" si="14"/>
        <v>0.55574390848425681</v>
      </c>
      <c r="AD24" s="8">
        <f t="shared" si="15"/>
        <v>2.7178555693845659</v>
      </c>
      <c r="AE24" s="8">
        <f t="shared" si="16"/>
        <v>3.661458612265307</v>
      </c>
      <c r="AF24" s="8">
        <f t="shared" si="17"/>
        <v>2.8978785935342004</v>
      </c>
      <c r="AG24" s="8">
        <f t="shared" si="18"/>
        <v>2.5337114433585763</v>
      </c>
      <c r="AH24" s="170">
        <v>0</v>
      </c>
      <c r="AI24" s="8">
        <f t="shared" si="20"/>
        <v>1.0719846936300421</v>
      </c>
      <c r="AJ24" s="8">
        <f t="shared" si="21"/>
        <v>2.7178557273997082</v>
      </c>
      <c r="AK24" s="8">
        <f t="shared" si="22"/>
        <v>0.68434433980383602</v>
      </c>
      <c r="AL24" s="8">
        <f t="shared" si="23"/>
        <v>2.0145451119805338</v>
      </c>
    </row>
    <row r="25" spans="1:38" ht="20.100000000000001" customHeight="1" x14ac:dyDescent="0.2">
      <c r="A25" s="6">
        <v>23</v>
      </c>
      <c r="B25" s="168" t="s">
        <v>219</v>
      </c>
      <c r="C25" s="43">
        <f>'Dane po transformacji i odbieg'!E240</f>
        <v>0.53176791554317937</v>
      </c>
      <c r="D25" s="43">
        <f>'Dane po transformacji i odbieg'!F240</f>
        <v>-8.3668728473387882E-2</v>
      </c>
      <c r="E25" s="43">
        <f>'Dane po transformacji i odbieg'!G240</f>
        <v>0.96281782780648373</v>
      </c>
      <c r="F25" s="43">
        <f>'Dane po transformacji i odbieg'!H240</f>
        <v>-0.7695783303625674</v>
      </c>
      <c r="G25" s="43">
        <f>'Dane po transformacji i odbieg'!I240</f>
        <v>-7.3207441364804282E-2</v>
      </c>
      <c r="H25" s="43">
        <f>'Dane po transformacji i odbieg'!J240</f>
        <v>1.0421005554933913</v>
      </c>
      <c r="I25" s="43">
        <f>'Dane po transformacji i odbieg'!K240</f>
        <v>0.60288013905483095</v>
      </c>
      <c r="J25" s="43">
        <f>'Dane po transformacji i odbieg'!L240</f>
        <v>0.92520404566128722</v>
      </c>
      <c r="L25" s="2">
        <v>22</v>
      </c>
      <c r="M25" s="169" t="s">
        <v>63</v>
      </c>
      <c r="N25" s="8">
        <f t="shared" si="0"/>
        <v>3.1998642130009625</v>
      </c>
      <c r="O25" s="8">
        <f t="shared" si="24"/>
        <v>1.6250936952455943</v>
      </c>
      <c r="P25" s="8">
        <f t="shared" si="1"/>
        <v>1.9465947653883331</v>
      </c>
      <c r="Q25" s="8">
        <f t="shared" si="2"/>
        <v>1.7651225046371695</v>
      </c>
      <c r="R25" s="8">
        <f t="shared" si="3"/>
        <v>4.4510404613294421</v>
      </c>
      <c r="S25" s="8">
        <f t="shared" si="4"/>
        <v>3.0436175249751258</v>
      </c>
      <c r="T25" s="8">
        <f t="shared" si="5"/>
        <v>3.9286193233688738</v>
      </c>
      <c r="U25" s="8">
        <f t="shared" si="6"/>
        <v>5.1547096078757022</v>
      </c>
      <c r="V25" s="8">
        <f t="shared" si="7"/>
        <v>5.3965643795030385</v>
      </c>
      <c r="W25" s="8">
        <f t="shared" si="8"/>
        <v>3.190339508316745</v>
      </c>
      <c r="X25" s="8">
        <f t="shared" si="9"/>
        <v>2.9736151872041852</v>
      </c>
      <c r="Y25" s="8">
        <f t="shared" si="10"/>
        <v>3.0353783262097802</v>
      </c>
      <c r="Z25" s="8">
        <f t="shared" si="11"/>
        <v>2.6072866421226619</v>
      </c>
      <c r="AA25" s="8">
        <f t="shared" si="12"/>
        <v>5.2576671714310796</v>
      </c>
      <c r="AB25" s="8">
        <f t="shared" si="13"/>
        <v>4.9659590383501246</v>
      </c>
      <c r="AC25" s="8">
        <f t="shared" si="14"/>
        <v>0.9774079225030885</v>
      </c>
      <c r="AD25" s="8">
        <f t="shared" si="15"/>
        <v>2.3352812415000201</v>
      </c>
      <c r="AE25" s="8">
        <f t="shared" si="16"/>
        <v>3.5630028798452145</v>
      </c>
      <c r="AF25" s="8">
        <f t="shared" si="17"/>
        <v>2.6677583933310927</v>
      </c>
      <c r="AG25" s="8">
        <f t="shared" si="18"/>
        <v>1.7725244095409689</v>
      </c>
      <c r="AH25" s="8">
        <f t="shared" si="19"/>
        <v>1.0719846936300421</v>
      </c>
      <c r="AI25" s="170">
        <v>0</v>
      </c>
      <c r="AJ25" s="8">
        <f t="shared" si="21"/>
        <v>2.3352797919239134</v>
      </c>
      <c r="AK25" s="8">
        <f t="shared" si="22"/>
        <v>0.86266904392903621</v>
      </c>
      <c r="AL25" s="8">
        <f t="shared" si="23"/>
        <v>1.2427887864132676</v>
      </c>
    </row>
    <row r="26" spans="1:38" ht="20.100000000000001" customHeight="1" x14ac:dyDescent="0.2">
      <c r="A26" s="6">
        <v>24</v>
      </c>
      <c r="B26" s="168" t="s">
        <v>65</v>
      </c>
      <c r="C26" s="43">
        <f>'Dane po transformacji i odbieg'!E241</f>
        <v>0.13988976484874766</v>
      </c>
      <c r="D26" s="43">
        <f>'Dane po transformacji i odbieg'!F241</f>
        <v>-3.8030039615839083E-2</v>
      </c>
      <c r="E26" s="43">
        <f>'Dane po transformacji i odbieg'!G241</f>
        <v>-0.28543346148454957</v>
      </c>
      <c r="F26" s="43">
        <f>'Dane po transformacji i odbieg'!H241</f>
        <v>0.5881012686806919</v>
      </c>
      <c r="G26" s="43">
        <f>'Dane po transformacji i odbieg'!I241</f>
        <v>9.6254228461131838E-2</v>
      </c>
      <c r="H26" s="43">
        <f>'Dane po transformacji i odbieg'!J241</f>
        <v>0.30876487769857591</v>
      </c>
      <c r="I26" s="43">
        <f>'Dane po transformacji i odbieg'!K241</f>
        <v>0.40495784986016564</v>
      </c>
      <c r="J26" s="43">
        <f>'Dane po transformacji i odbieg'!L241</f>
        <v>0.24511333666357379</v>
      </c>
      <c r="L26" s="2">
        <v>23</v>
      </c>
      <c r="M26" s="169" t="s">
        <v>219</v>
      </c>
      <c r="N26" s="8">
        <f t="shared" si="0"/>
        <v>2.9659983934474203</v>
      </c>
      <c r="O26" s="8">
        <f t="shared" si="24"/>
        <v>3.0052807170127509</v>
      </c>
      <c r="P26" s="8">
        <f t="shared" si="1"/>
        <v>2.8838418211167638</v>
      </c>
      <c r="Q26" s="8">
        <f t="shared" si="2"/>
        <v>2.9488909994632029</v>
      </c>
      <c r="R26" s="8">
        <f t="shared" si="3"/>
        <v>4.4541492137046239</v>
      </c>
      <c r="S26" s="8">
        <f t="shared" si="4"/>
        <v>3.8658358517233542</v>
      </c>
      <c r="T26" s="8">
        <f t="shared" si="5"/>
        <v>4.0246728728658088</v>
      </c>
      <c r="U26" s="8">
        <f t="shared" si="6"/>
        <v>4.9166793354590697</v>
      </c>
      <c r="V26" s="8">
        <f t="shared" si="7"/>
        <v>5.3961749528376375</v>
      </c>
      <c r="W26" s="8">
        <f t="shared" si="8"/>
        <v>2.9827331314134913</v>
      </c>
      <c r="X26" s="8">
        <f t="shared" si="9"/>
        <v>3.0594683776979426</v>
      </c>
      <c r="Y26" s="8">
        <f t="shared" si="10"/>
        <v>3.9275995659489507</v>
      </c>
      <c r="Z26" s="8">
        <f t="shared" si="11"/>
        <v>2.8144418878672535</v>
      </c>
      <c r="AA26" s="8">
        <f t="shared" si="12"/>
        <v>5.1657727485262672</v>
      </c>
      <c r="AB26" s="8">
        <f t="shared" si="13"/>
        <v>4.7844676706988816</v>
      </c>
      <c r="AC26" s="8">
        <f t="shared" si="14"/>
        <v>2.7335718931485187</v>
      </c>
      <c r="AD26" s="8">
        <f t="shared" si="15"/>
        <v>9.9677742310150252E-5</v>
      </c>
      <c r="AE26" s="8">
        <f t="shared" si="16"/>
        <v>3.8112210434695806</v>
      </c>
      <c r="AF26" s="8">
        <f t="shared" si="17"/>
        <v>2.5530083104272001</v>
      </c>
      <c r="AG26" s="8">
        <f t="shared" si="18"/>
        <v>3.1468047641903274</v>
      </c>
      <c r="AH26" s="8">
        <f t="shared" si="19"/>
        <v>2.7178557273997082</v>
      </c>
      <c r="AI26" s="8">
        <f t="shared" si="20"/>
        <v>2.3352797919239134</v>
      </c>
      <c r="AJ26" s="170">
        <v>0</v>
      </c>
      <c r="AK26" s="8">
        <f t="shared" si="22"/>
        <v>2.1506444682186223</v>
      </c>
      <c r="AL26" s="8">
        <f t="shared" si="23"/>
        <v>2.9691979994419735</v>
      </c>
    </row>
    <row r="27" spans="1:38" ht="20.100000000000001" customHeight="1" thickBot="1" x14ac:dyDescent="0.25">
      <c r="A27" s="6">
        <v>25</v>
      </c>
      <c r="B27" s="168" t="s">
        <v>66</v>
      </c>
      <c r="C27" s="63">
        <f>'Dane po transformacji i odbieg'!E242</f>
        <v>0.87981872451229348</v>
      </c>
      <c r="D27" s="63">
        <f>'Dane po transformacji i odbieg'!F242</f>
        <v>-8.3768406215698032E-2</v>
      </c>
      <c r="E27" s="63">
        <f>'Dane po transformacji i odbieg'!G242</f>
        <v>-0.78473397720096294</v>
      </c>
      <c r="F27" s="63">
        <f>'Dane po transformacji i odbieg'!H242</f>
        <v>0.80479066010877753</v>
      </c>
      <c r="G27" s="63">
        <f>'Dane po transformacji i odbieg'!I242</f>
        <v>1.2824859172426846</v>
      </c>
      <c r="H27" s="63">
        <f>'Dane po transformacji i odbieg'!J242</f>
        <v>0.15160309731550248</v>
      </c>
      <c r="I27" s="63">
        <f>'Dane po transformacji i odbieg'!K242</f>
        <v>1.331688299812392</v>
      </c>
      <c r="J27" s="63">
        <f>'Dane po transformacji i odbieg'!L242</f>
        <v>0.90594750891625342</v>
      </c>
      <c r="L27" s="2">
        <v>24</v>
      </c>
      <c r="M27" s="169" t="s">
        <v>65</v>
      </c>
      <c r="N27" s="8">
        <f t="shared" si="0"/>
        <v>2.6208634553519752</v>
      </c>
      <c r="O27" s="8">
        <f t="shared" si="24"/>
        <v>1.0758797453219557</v>
      </c>
      <c r="P27" s="8">
        <f t="shared" si="1"/>
        <v>1.3661304749356347</v>
      </c>
      <c r="Q27" s="8">
        <f t="shared" si="2"/>
        <v>1.1405080917651187</v>
      </c>
      <c r="R27" s="8">
        <f t="shared" si="3"/>
        <v>4.8505968308763023</v>
      </c>
      <c r="S27" s="8">
        <f t="shared" si="4"/>
        <v>2.5890706125872063</v>
      </c>
      <c r="T27" s="8">
        <f t="shared" si="5"/>
        <v>3.42176868701402</v>
      </c>
      <c r="U27" s="8">
        <f t="shared" si="6"/>
        <v>4.9748302294940423</v>
      </c>
      <c r="V27" s="8">
        <f t="shared" si="7"/>
        <v>4.8752695619081541</v>
      </c>
      <c r="W27" s="8">
        <f t="shared" si="8"/>
        <v>3.3625992293665372</v>
      </c>
      <c r="X27" s="8">
        <f t="shared" si="9"/>
        <v>2.2985112573665147</v>
      </c>
      <c r="Y27" s="8">
        <f t="shared" si="10"/>
        <v>2.5122347218256595</v>
      </c>
      <c r="Z27" s="8">
        <f t="shared" si="11"/>
        <v>2.1022384850526077</v>
      </c>
      <c r="AA27" s="8">
        <f t="shared" si="12"/>
        <v>4.922353110921736</v>
      </c>
      <c r="AB27" s="8">
        <f t="shared" si="13"/>
        <v>4.3778820629239785</v>
      </c>
      <c r="AC27" s="8">
        <f t="shared" si="14"/>
        <v>0.7747264696298557</v>
      </c>
      <c r="AD27" s="8">
        <f t="shared" si="15"/>
        <v>2.1506465857825057</v>
      </c>
      <c r="AE27" s="8">
        <f t="shared" si="16"/>
        <v>3.3915845197642382</v>
      </c>
      <c r="AF27" s="8">
        <f t="shared" si="17"/>
        <v>2.6537860024191904</v>
      </c>
      <c r="AG27" s="8">
        <f t="shared" si="18"/>
        <v>2.4241490726573272</v>
      </c>
      <c r="AH27" s="8">
        <f t="shared" si="19"/>
        <v>0.68434433980383602</v>
      </c>
      <c r="AI27" s="8">
        <f t="shared" si="20"/>
        <v>0.86266904392903621</v>
      </c>
      <c r="AJ27" s="8">
        <f t="shared" si="21"/>
        <v>2.1506444682186223</v>
      </c>
      <c r="AK27" s="170">
        <v>0</v>
      </c>
      <c r="AL27" s="8">
        <f t="shared" si="23"/>
        <v>1.8902959386425193</v>
      </c>
    </row>
    <row r="28" spans="1:38" ht="20.100000000000001" customHeight="1" thickTop="1" x14ac:dyDescent="0.2">
      <c r="A28" s="199" t="str">
        <f>'Dane po transformacji i odbieg'!C243</f>
        <v>Średnia</v>
      </c>
      <c r="B28" s="199">
        <f>'Dane po transformacji i odbieg'!D243</f>
        <v>0</v>
      </c>
      <c r="C28" s="154">
        <f>'Dane po transformacji i odbieg'!E243</f>
        <v>-9.7699626167013783E-16</v>
      </c>
      <c r="D28" s="154">
        <f>'Dane po transformacji i odbieg'!F243</f>
        <v>1.6653345369377347E-17</v>
      </c>
      <c r="E28" s="154">
        <f>'Dane po transformacji i odbieg'!G243</f>
        <v>0</v>
      </c>
      <c r="F28" s="154">
        <f>'Dane po transformacji i odbieg'!H243</f>
        <v>-1.1546319456101628E-16</v>
      </c>
      <c r="G28" s="154">
        <f>'Dane po transformacji i odbieg'!I243</f>
        <v>7.9936057773011268E-17</v>
      </c>
      <c r="H28" s="154">
        <f>'Dane po transformacji i odbieg'!J243</f>
        <v>2.7822188997106421E-15</v>
      </c>
      <c r="I28" s="154">
        <f>'Dane po transformacji i odbieg'!K243</f>
        <v>-1.1546319456101628E-16</v>
      </c>
      <c r="J28" s="154">
        <f>'Dane po transformacji i odbieg'!L243</f>
        <v>-2.5579538487363606E-15</v>
      </c>
      <c r="L28" s="2">
        <v>25</v>
      </c>
      <c r="M28" s="169" t="s">
        <v>66</v>
      </c>
      <c r="N28" s="8">
        <f t="shared" si="0"/>
        <v>3.898917375261211</v>
      </c>
      <c r="O28" s="8">
        <f t="shared" si="24"/>
        <v>2.6189247619303337</v>
      </c>
      <c r="P28" s="8">
        <f t="shared" si="1"/>
        <v>2.8474344333411641</v>
      </c>
      <c r="Q28" s="8">
        <f t="shared" si="2"/>
        <v>2.817129022577165</v>
      </c>
      <c r="R28" s="8">
        <f t="shared" si="3"/>
        <v>3.5182783017683015</v>
      </c>
      <c r="S28" s="8">
        <f t="shared" si="4"/>
        <v>4.1530798163768718</v>
      </c>
      <c r="T28" s="8">
        <f t="shared" si="5"/>
        <v>5.0488176393350601</v>
      </c>
      <c r="U28" s="8">
        <f t="shared" si="6"/>
        <v>5.8073130284351659</v>
      </c>
      <c r="V28" s="8">
        <f t="shared" si="7"/>
        <v>6.3699601879403867</v>
      </c>
      <c r="W28" s="8">
        <f t="shared" si="8"/>
        <v>2.6447631706312613</v>
      </c>
      <c r="X28" s="8">
        <f t="shared" si="9"/>
        <v>3.8358828048085489</v>
      </c>
      <c r="Y28" s="8">
        <f t="shared" si="10"/>
        <v>4.0601069416863274</v>
      </c>
      <c r="Z28" s="8">
        <f t="shared" si="11"/>
        <v>3.5988772831146196</v>
      </c>
      <c r="AA28" s="8">
        <f t="shared" si="12"/>
        <v>6.2067586454256691</v>
      </c>
      <c r="AB28" s="8">
        <f t="shared" si="13"/>
        <v>6.1130948988971792</v>
      </c>
      <c r="AC28" s="8">
        <f t="shared" si="14"/>
        <v>1.6833414381402965</v>
      </c>
      <c r="AD28" s="8">
        <f t="shared" si="15"/>
        <v>2.9691979977688532</v>
      </c>
      <c r="AE28" s="8">
        <f t="shared" si="16"/>
        <v>4.346748432946983</v>
      </c>
      <c r="AF28" s="8">
        <f t="shared" si="17"/>
        <v>2.3821085836401514</v>
      </c>
      <c r="AG28" s="8">
        <f t="shared" si="18"/>
        <v>0.94328377221982085</v>
      </c>
      <c r="AH28" s="8">
        <f t="shared" si="19"/>
        <v>2.0145451119805338</v>
      </c>
      <c r="AI28" s="8">
        <f t="shared" si="20"/>
        <v>1.2427887864132676</v>
      </c>
      <c r="AJ28" s="8">
        <f t="shared" si="21"/>
        <v>2.9691979994419735</v>
      </c>
      <c r="AK28" s="8">
        <f t="shared" si="22"/>
        <v>1.8902959386425193</v>
      </c>
      <c r="AL28" s="170">
        <v>0</v>
      </c>
    </row>
    <row r="29" spans="1:38" ht="20.100000000000001" customHeight="1" x14ac:dyDescent="0.2">
      <c r="A29" s="198" t="str">
        <f>'Dane po transformacji i odbieg'!C244</f>
        <v>Odch. stand.</v>
      </c>
      <c r="B29" s="198">
        <f>'Dane po transformacji i odbieg'!D244</f>
        <v>0</v>
      </c>
      <c r="C29" s="1">
        <f>'Dane po transformacji i odbieg'!E244</f>
        <v>1</v>
      </c>
      <c r="D29" s="1">
        <f>'Dane po transformacji i odbieg'!F244</f>
        <v>0.99999999999999978</v>
      </c>
      <c r="E29" s="1">
        <f>'Dane po transformacji i odbieg'!G244</f>
        <v>0.99999999999999978</v>
      </c>
      <c r="F29" s="1">
        <f>'Dane po transformacji i odbieg'!H244</f>
        <v>1</v>
      </c>
      <c r="G29" s="1">
        <f>'Dane po transformacji i odbieg'!I244</f>
        <v>0.99999999999999978</v>
      </c>
      <c r="H29" s="1">
        <f>'Dane po transformacji i odbieg'!J244</f>
        <v>1</v>
      </c>
      <c r="I29" s="1">
        <f>'Dane po transformacji i odbieg'!K244</f>
        <v>1</v>
      </c>
      <c r="J29" s="1">
        <f>'Dane po transformacji i odbieg'!L244</f>
        <v>1</v>
      </c>
    </row>
    <row r="31" spans="1:38" ht="20.100000000000001" customHeight="1" x14ac:dyDescent="0.2">
      <c r="A31" s="218" t="s">
        <v>164</v>
      </c>
      <c r="B31" s="218"/>
      <c r="C31" s="218"/>
      <c r="D31" s="218"/>
      <c r="E31" s="218"/>
      <c r="F31" s="218"/>
      <c r="G31" s="218"/>
      <c r="H31" s="218"/>
      <c r="I31" s="218"/>
      <c r="J31" s="218"/>
      <c r="K31" s="218"/>
      <c r="L31" s="218"/>
      <c r="M31" s="218"/>
      <c r="N31" s="218"/>
      <c r="O31" s="218"/>
      <c r="P31" s="218"/>
      <c r="Q31" s="218"/>
      <c r="R31" s="218"/>
      <c r="S31" s="218"/>
      <c r="T31" s="218"/>
      <c r="U31" s="218"/>
      <c r="V31" s="218"/>
      <c r="W31" s="218"/>
      <c r="X31" s="218"/>
      <c r="Y31" s="218"/>
      <c r="Z31" s="218"/>
      <c r="AA31" s="218"/>
    </row>
    <row r="32" spans="1:38" ht="20.100000000000001" customHeight="1" x14ac:dyDescent="0.2">
      <c r="A32" s="221"/>
      <c r="B32" s="167" t="s">
        <v>2</v>
      </c>
      <c r="C32" s="219">
        <v>1</v>
      </c>
      <c r="D32" s="219">
        <v>11</v>
      </c>
      <c r="E32" s="219">
        <v>3</v>
      </c>
      <c r="F32" s="219">
        <v>4</v>
      </c>
      <c r="G32" s="219">
        <v>24</v>
      </c>
      <c r="H32" s="219">
        <v>21</v>
      </c>
      <c r="I32" s="219">
        <v>2</v>
      </c>
      <c r="J32" s="219">
        <v>16</v>
      </c>
      <c r="K32" s="219">
        <v>22</v>
      </c>
      <c r="L32" s="219">
        <v>25</v>
      </c>
      <c r="M32" s="219">
        <v>20</v>
      </c>
      <c r="N32" s="219">
        <v>13</v>
      </c>
      <c r="O32" s="219">
        <v>6</v>
      </c>
      <c r="P32" s="219">
        <v>12</v>
      </c>
      <c r="Q32" s="219">
        <v>19</v>
      </c>
      <c r="R32" s="219">
        <v>10</v>
      </c>
      <c r="S32" s="219">
        <v>23</v>
      </c>
      <c r="T32" s="219">
        <v>17</v>
      </c>
      <c r="U32" s="219">
        <v>8</v>
      </c>
      <c r="V32" s="219">
        <v>14</v>
      </c>
      <c r="W32" s="219">
        <v>7</v>
      </c>
      <c r="X32" s="219">
        <v>15</v>
      </c>
      <c r="Y32" s="219">
        <v>5</v>
      </c>
      <c r="Z32" s="219">
        <v>18</v>
      </c>
      <c r="AA32" s="219">
        <v>9</v>
      </c>
    </row>
    <row r="33" spans="1:33" ht="20.100000000000001" customHeight="1" x14ac:dyDescent="0.2">
      <c r="A33" s="167" t="s">
        <v>2</v>
      </c>
      <c r="B33" s="72" t="s">
        <v>22</v>
      </c>
      <c r="C33" s="220" t="s">
        <v>28</v>
      </c>
      <c r="D33" s="220" t="s">
        <v>41</v>
      </c>
      <c r="E33" s="220" t="s">
        <v>30</v>
      </c>
      <c r="F33" s="220" t="s">
        <v>31</v>
      </c>
      <c r="G33" s="220" t="s">
        <v>65</v>
      </c>
      <c r="H33" s="220" t="s">
        <v>61</v>
      </c>
      <c r="I33" s="220" t="s">
        <v>29</v>
      </c>
      <c r="J33" s="220" t="s">
        <v>52</v>
      </c>
      <c r="K33" s="220" t="s">
        <v>63</v>
      </c>
      <c r="L33" s="220" t="s">
        <v>66</v>
      </c>
      <c r="M33" s="220" t="s">
        <v>59</v>
      </c>
      <c r="N33" s="220" t="s">
        <v>43</v>
      </c>
      <c r="O33" s="220" t="s">
        <v>33</v>
      </c>
      <c r="P33" s="220" t="s">
        <v>42</v>
      </c>
      <c r="Q33" s="220" t="s">
        <v>50</v>
      </c>
      <c r="R33" s="220" t="s">
        <v>40</v>
      </c>
      <c r="S33" s="220" t="s">
        <v>219</v>
      </c>
      <c r="T33" s="220" t="s">
        <v>53</v>
      </c>
      <c r="U33" s="220" t="s">
        <v>35</v>
      </c>
      <c r="V33" s="220" t="s">
        <v>48</v>
      </c>
      <c r="W33" s="220" t="s">
        <v>34</v>
      </c>
      <c r="X33" s="220" t="s">
        <v>158</v>
      </c>
      <c r="Y33" s="220" t="s">
        <v>32</v>
      </c>
      <c r="Z33" s="220" t="s">
        <v>54</v>
      </c>
      <c r="AA33" s="220" t="s">
        <v>36</v>
      </c>
    </row>
    <row r="34" spans="1:33" ht="20.100000000000001" customHeight="1" x14ac:dyDescent="0.2">
      <c r="A34" s="219">
        <v>1</v>
      </c>
      <c r="B34" s="220" t="s">
        <v>28</v>
      </c>
      <c r="C34" s="222">
        <v>0</v>
      </c>
      <c r="D34" s="223">
        <v>1.0066498423256809</v>
      </c>
      <c r="E34" s="223">
        <v>3.3681988124826323</v>
      </c>
      <c r="F34" s="223">
        <v>2.832124320458858</v>
      </c>
      <c r="G34" s="223">
        <v>2.6208634553519752</v>
      </c>
      <c r="H34" s="223">
        <v>2.6038149560243595</v>
      </c>
      <c r="I34" s="223">
        <v>2.4944138940193166</v>
      </c>
      <c r="J34" s="223">
        <v>2.9108110732770278</v>
      </c>
      <c r="K34" s="223">
        <v>3.1998642130009625</v>
      </c>
      <c r="L34" s="223">
        <v>3.898917375261211</v>
      </c>
      <c r="M34" s="223">
        <v>3.9638002390379561</v>
      </c>
      <c r="N34" s="223">
        <v>3.1970376180511146</v>
      </c>
      <c r="O34" s="223">
        <v>3.918851063216378</v>
      </c>
      <c r="P34" s="223">
        <v>3.7682302846485149</v>
      </c>
      <c r="Q34" s="223">
        <v>2.9158949960125709</v>
      </c>
      <c r="R34" s="223">
        <v>3.7157950825577273</v>
      </c>
      <c r="S34" s="223">
        <v>2.9659983934474203</v>
      </c>
      <c r="T34" s="223">
        <v>2.9659984342107273</v>
      </c>
      <c r="U34" s="223">
        <v>5.4216062291943192</v>
      </c>
      <c r="V34" s="223">
        <v>5.1675823663842477</v>
      </c>
      <c r="W34" s="223">
        <v>3.9129860374688601</v>
      </c>
      <c r="X34" s="223">
        <v>4.2145207299107046</v>
      </c>
      <c r="Y34" s="223">
        <v>5.609475576220718</v>
      </c>
      <c r="Z34" s="223">
        <v>4.2456193537440274</v>
      </c>
      <c r="AA34" s="228">
        <v>4.6326426182237297</v>
      </c>
      <c r="AG34" s="184"/>
    </row>
    <row r="35" spans="1:33" ht="20.100000000000001" customHeight="1" x14ac:dyDescent="0.2">
      <c r="A35" s="219">
        <v>11</v>
      </c>
      <c r="B35" s="220" t="s">
        <v>41</v>
      </c>
      <c r="C35" s="224">
        <v>1.0066498423256809</v>
      </c>
      <c r="D35" s="225">
        <v>0</v>
      </c>
      <c r="E35" s="225">
        <v>2.8511521207807897</v>
      </c>
      <c r="F35" s="225">
        <v>2.2358212354444889</v>
      </c>
      <c r="G35" s="225">
        <v>2.2985112573665147</v>
      </c>
      <c r="H35" s="225">
        <v>2.2689121186141543</v>
      </c>
      <c r="I35" s="225">
        <v>1.9613656727462485</v>
      </c>
      <c r="J35" s="225">
        <v>2.6640831938735881</v>
      </c>
      <c r="K35" s="225">
        <v>2.9736151872041852</v>
      </c>
      <c r="L35" s="225">
        <v>3.8358828048085489</v>
      </c>
      <c r="M35" s="225">
        <v>4.002990950592916</v>
      </c>
      <c r="N35" s="225">
        <v>2.4639788233686333</v>
      </c>
      <c r="O35" s="225">
        <v>3.0744750172041995</v>
      </c>
      <c r="P35" s="225">
        <v>3.1099294741045518</v>
      </c>
      <c r="Q35" s="225">
        <v>3.3751651805002032</v>
      </c>
      <c r="R35" s="225">
        <v>4.1713787884651028</v>
      </c>
      <c r="S35" s="225">
        <v>3.0594683776979426</v>
      </c>
      <c r="T35" s="225">
        <v>3.059470007402449</v>
      </c>
      <c r="U35" s="225">
        <v>4.8799484752937072</v>
      </c>
      <c r="V35" s="225">
        <v>4.429183593741703</v>
      </c>
      <c r="W35" s="225">
        <v>3.0255031242800614</v>
      </c>
      <c r="X35" s="225">
        <v>3.4268868388552423</v>
      </c>
      <c r="Y35" s="225">
        <v>5.9988517147832514</v>
      </c>
      <c r="Z35" s="225">
        <v>3.5697518603354892</v>
      </c>
      <c r="AA35" s="229">
        <v>4.0049820559721958</v>
      </c>
      <c r="AG35" s="174"/>
    </row>
    <row r="36" spans="1:33" ht="20.100000000000001" customHeight="1" x14ac:dyDescent="0.2">
      <c r="A36" s="219">
        <v>3</v>
      </c>
      <c r="B36" s="220" t="s">
        <v>30</v>
      </c>
      <c r="C36" s="224">
        <v>3.3681988124826323</v>
      </c>
      <c r="D36" s="225">
        <v>2.8511521207807897</v>
      </c>
      <c r="E36" s="225">
        <v>0</v>
      </c>
      <c r="F36" s="225">
        <v>0.92036243019321318</v>
      </c>
      <c r="G36" s="225">
        <v>1.3661304749356347</v>
      </c>
      <c r="H36" s="225">
        <v>1.5307915159672929</v>
      </c>
      <c r="I36" s="225">
        <v>1.4631455646123561</v>
      </c>
      <c r="J36" s="225">
        <v>1.5102891721888374</v>
      </c>
      <c r="K36" s="225">
        <v>1.9465947653883331</v>
      </c>
      <c r="L36" s="225">
        <v>2.8474344333411641</v>
      </c>
      <c r="M36" s="225">
        <v>3.59047609222258</v>
      </c>
      <c r="N36" s="225">
        <v>2.0434679359079002</v>
      </c>
      <c r="O36" s="225">
        <v>1.9626090246294232</v>
      </c>
      <c r="P36" s="225">
        <v>1.7540936106638079</v>
      </c>
      <c r="Q36" s="225">
        <v>3.7186226077924274</v>
      </c>
      <c r="R36" s="225">
        <v>4.4809272312805764</v>
      </c>
      <c r="S36" s="225">
        <v>2.8838418211167638</v>
      </c>
      <c r="T36" s="225">
        <v>2.8838419256765788</v>
      </c>
      <c r="U36" s="225">
        <v>5.1752003820988248</v>
      </c>
      <c r="V36" s="225">
        <v>4.8821443347404037</v>
      </c>
      <c r="W36" s="225">
        <v>3.1887772728003125</v>
      </c>
      <c r="X36" s="225">
        <v>4.1203194496190632</v>
      </c>
      <c r="Y36" s="225">
        <v>5.8846954332834223</v>
      </c>
      <c r="Z36" s="225">
        <v>3.7319317985052067</v>
      </c>
      <c r="AA36" s="229">
        <v>4.7571081499278227</v>
      </c>
    </row>
    <row r="37" spans="1:33" ht="20.100000000000001" customHeight="1" x14ac:dyDescent="0.2">
      <c r="A37" s="219">
        <v>4</v>
      </c>
      <c r="B37" s="220" t="s">
        <v>31</v>
      </c>
      <c r="C37" s="224">
        <v>2.832124320458858</v>
      </c>
      <c r="D37" s="225">
        <v>2.2358212354444889</v>
      </c>
      <c r="E37" s="225">
        <v>0.92036243019321318</v>
      </c>
      <c r="F37" s="225">
        <v>0</v>
      </c>
      <c r="G37" s="225">
        <v>1.1405080917651187</v>
      </c>
      <c r="H37" s="225">
        <v>1.0138322499167529</v>
      </c>
      <c r="I37" s="225">
        <v>0.63874724961887852</v>
      </c>
      <c r="J37" s="225">
        <v>1.301037175225386</v>
      </c>
      <c r="K37" s="225">
        <v>1.7651225046371695</v>
      </c>
      <c r="L37" s="225">
        <v>2.817129022577165</v>
      </c>
      <c r="M37" s="225">
        <v>3.4189505143493353</v>
      </c>
      <c r="N37" s="225">
        <v>1.8355007203425537</v>
      </c>
      <c r="O37" s="225">
        <v>1.7142076988178085</v>
      </c>
      <c r="P37" s="225">
        <v>1.6852239070377502</v>
      </c>
      <c r="Q37" s="225">
        <v>3.6531254446518746</v>
      </c>
      <c r="R37" s="225">
        <v>4.4257104454926184</v>
      </c>
      <c r="S37" s="225">
        <v>2.9488909994632029</v>
      </c>
      <c r="T37" s="225">
        <v>2.9488909537757668</v>
      </c>
      <c r="U37" s="225">
        <v>4.966972514300112</v>
      </c>
      <c r="V37" s="225">
        <v>4.5488492649674548</v>
      </c>
      <c r="W37" s="225">
        <v>2.8624276937952486</v>
      </c>
      <c r="X37" s="225">
        <v>3.7695000292536944</v>
      </c>
      <c r="Y37" s="225">
        <v>5.9451892128917487</v>
      </c>
      <c r="Z37" s="225">
        <v>3.438202012099854</v>
      </c>
      <c r="AA37" s="229">
        <v>4.4154332009249462</v>
      </c>
    </row>
    <row r="38" spans="1:33" ht="20.100000000000001" customHeight="1" x14ac:dyDescent="0.2">
      <c r="A38" s="219">
        <v>24</v>
      </c>
      <c r="B38" s="220" t="s">
        <v>65</v>
      </c>
      <c r="C38" s="224">
        <v>2.6208634553519752</v>
      </c>
      <c r="D38" s="225">
        <v>2.2985112573665147</v>
      </c>
      <c r="E38" s="225">
        <v>1.3661304749356347</v>
      </c>
      <c r="F38" s="225">
        <v>1.1405080917651187</v>
      </c>
      <c r="G38" s="225">
        <v>0</v>
      </c>
      <c r="H38" s="225">
        <v>0.68434433980383602</v>
      </c>
      <c r="I38" s="225">
        <v>1.0758797453219557</v>
      </c>
      <c r="J38" s="225">
        <v>0.7747264696298557</v>
      </c>
      <c r="K38" s="225">
        <v>0.86266904392903621</v>
      </c>
      <c r="L38" s="225">
        <v>1.8902959386425193</v>
      </c>
      <c r="M38" s="225">
        <v>2.4241490726573272</v>
      </c>
      <c r="N38" s="225">
        <v>2.1022384850526077</v>
      </c>
      <c r="O38" s="225">
        <v>2.5890706125872063</v>
      </c>
      <c r="P38" s="225">
        <v>2.5122347218256595</v>
      </c>
      <c r="Q38" s="225">
        <v>2.6537860024191904</v>
      </c>
      <c r="R38" s="225">
        <v>3.3625992293665372</v>
      </c>
      <c r="S38" s="225">
        <v>2.1506444682186223</v>
      </c>
      <c r="T38" s="225">
        <v>2.1506465857825057</v>
      </c>
      <c r="U38" s="225">
        <v>4.9748302294940423</v>
      </c>
      <c r="V38" s="225">
        <v>4.922353110921736</v>
      </c>
      <c r="W38" s="225">
        <v>3.42176868701402</v>
      </c>
      <c r="X38" s="225">
        <v>4.3778820629239785</v>
      </c>
      <c r="Y38" s="225">
        <v>4.8505968308763023</v>
      </c>
      <c r="Z38" s="225">
        <v>3.3915845197642382</v>
      </c>
      <c r="AA38" s="229">
        <v>4.8752695619081541</v>
      </c>
    </row>
    <row r="39" spans="1:33" ht="20.100000000000001" customHeight="1" x14ac:dyDescent="0.2">
      <c r="A39" s="219">
        <v>21</v>
      </c>
      <c r="B39" s="220" t="s">
        <v>61</v>
      </c>
      <c r="C39" s="224">
        <v>2.6038149560243595</v>
      </c>
      <c r="D39" s="225">
        <v>2.2689121186141543</v>
      </c>
      <c r="E39" s="225">
        <v>1.5307915159672929</v>
      </c>
      <c r="F39" s="225">
        <v>1.0138322499167529</v>
      </c>
      <c r="G39" s="225">
        <v>0.68434433980383602</v>
      </c>
      <c r="H39" s="225">
        <v>0</v>
      </c>
      <c r="I39" s="225">
        <v>0.65601576105973591</v>
      </c>
      <c r="J39" s="225">
        <v>0.55574390848425681</v>
      </c>
      <c r="K39" s="225">
        <v>1.0719846936300421</v>
      </c>
      <c r="L39" s="225">
        <v>2.0145451119805338</v>
      </c>
      <c r="M39" s="225">
        <v>2.5337114433585763</v>
      </c>
      <c r="N39" s="225">
        <v>2.4144816870960009</v>
      </c>
      <c r="O39" s="225">
        <v>2.5745936712366104</v>
      </c>
      <c r="P39" s="225">
        <v>2.3667912921059546</v>
      </c>
      <c r="Q39" s="225">
        <v>2.8978785935342004</v>
      </c>
      <c r="R39" s="225">
        <v>3.6555887818807564</v>
      </c>
      <c r="S39" s="225">
        <v>2.7178557273997082</v>
      </c>
      <c r="T39" s="225">
        <v>2.7178555693845659</v>
      </c>
      <c r="U39" s="225">
        <v>5.2421993194381962</v>
      </c>
      <c r="V39" s="225">
        <v>5.0688035286304958</v>
      </c>
      <c r="W39" s="225">
        <v>3.5609425120848579</v>
      </c>
      <c r="X39" s="225">
        <v>4.4623355874913937</v>
      </c>
      <c r="Y39" s="225">
        <v>5.1378698162092054</v>
      </c>
      <c r="Z39" s="225">
        <v>3.661458612265307</v>
      </c>
      <c r="AA39" s="229">
        <v>4.9164600016003304</v>
      </c>
    </row>
    <row r="40" spans="1:33" ht="20.100000000000001" customHeight="1" x14ac:dyDescent="0.2">
      <c r="A40" s="219">
        <v>2</v>
      </c>
      <c r="B40" s="220" t="s">
        <v>29</v>
      </c>
      <c r="C40" s="224">
        <v>2.4944138940193166</v>
      </c>
      <c r="D40" s="225">
        <v>1.9613656727462485</v>
      </c>
      <c r="E40" s="225">
        <v>1.4631455646123561</v>
      </c>
      <c r="F40" s="225">
        <v>0.63874724961887852</v>
      </c>
      <c r="G40" s="225">
        <v>1.0758797453219557</v>
      </c>
      <c r="H40" s="225">
        <v>0.65601576105973591</v>
      </c>
      <c r="I40" s="225">
        <v>0</v>
      </c>
      <c r="J40" s="225">
        <v>1.1104372681637247</v>
      </c>
      <c r="K40" s="225">
        <v>1.6250936952455943</v>
      </c>
      <c r="L40" s="225">
        <v>2.6189247619303337</v>
      </c>
      <c r="M40" s="225">
        <v>3.111993572525241</v>
      </c>
      <c r="N40" s="225">
        <v>2.1264783961215956</v>
      </c>
      <c r="O40" s="225">
        <v>2.1201596061836505</v>
      </c>
      <c r="P40" s="225">
        <v>2.023925904713634</v>
      </c>
      <c r="Q40" s="225">
        <v>3.3724731036678861</v>
      </c>
      <c r="R40" s="225">
        <v>4.1564031884041182</v>
      </c>
      <c r="S40" s="225">
        <v>3.0052807170127509</v>
      </c>
      <c r="T40" s="225">
        <v>3.0052803736873894</v>
      </c>
      <c r="U40" s="225">
        <v>5.0632806030037356</v>
      </c>
      <c r="V40" s="225">
        <v>4.6903198655045006</v>
      </c>
      <c r="W40" s="225">
        <v>3.1061452264513854</v>
      </c>
      <c r="X40" s="225">
        <v>3.9638342070265109</v>
      </c>
      <c r="Y40" s="225">
        <v>5.7070901170662864</v>
      </c>
      <c r="Z40" s="225">
        <v>3.5030448420249023</v>
      </c>
      <c r="AA40" s="229">
        <v>4.5076103058490053</v>
      </c>
    </row>
    <row r="41" spans="1:33" ht="20.100000000000001" customHeight="1" x14ac:dyDescent="0.2">
      <c r="A41" s="219">
        <v>16</v>
      </c>
      <c r="B41" s="220" t="s">
        <v>52</v>
      </c>
      <c r="C41" s="224">
        <v>2.9108110732770278</v>
      </c>
      <c r="D41" s="225">
        <v>2.6640831938735881</v>
      </c>
      <c r="E41" s="225">
        <v>1.5102891721888374</v>
      </c>
      <c r="F41" s="225">
        <v>1.301037175225386</v>
      </c>
      <c r="G41" s="225">
        <v>0.7747264696298557</v>
      </c>
      <c r="H41" s="225">
        <v>0.55574390848425681</v>
      </c>
      <c r="I41" s="225">
        <v>1.1104372681637247</v>
      </c>
      <c r="J41" s="225">
        <v>0</v>
      </c>
      <c r="K41" s="225">
        <v>0.9774079225030885</v>
      </c>
      <c r="L41" s="225">
        <v>1.6833414381402965</v>
      </c>
      <c r="M41" s="225">
        <v>2.3474754282468884</v>
      </c>
      <c r="N41" s="225">
        <v>2.6459883027107272</v>
      </c>
      <c r="O41" s="225">
        <v>2.8792568378601251</v>
      </c>
      <c r="P41" s="225">
        <v>2.6074249654617607</v>
      </c>
      <c r="Q41" s="225">
        <v>2.7070537119660316</v>
      </c>
      <c r="R41" s="225">
        <v>3.4571370834779342</v>
      </c>
      <c r="S41" s="225">
        <v>2.7335718931485187</v>
      </c>
      <c r="T41" s="225">
        <v>2.7335716498485865</v>
      </c>
      <c r="U41" s="225">
        <v>5.4702835039813928</v>
      </c>
      <c r="V41" s="225">
        <v>5.4106987981236889</v>
      </c>
      <c r="W41" s="225">
        <v>3.9442579719288502</v>
      </c>
      <c r="X41" s="225">
        <v>4.8746164857603356</v>
      </c>
      <c r="Y41" s="225">
        <v>4.8394963336200894</v>
      </c>
      <c r="Z41" s="225">
        <v>3.9276447280772055</v>
      </c>
      <c r="AA41" s="229">
        <v>5.2611041820013815</v>
      </c>
    </row>
    <row r="42" spans="1:33" ht="20.100000000000001" customHeight="1" x14ac:dyDescent="0.2">
      <c r="A42" s="219">
        <v>22</v>
      </c>
      <c r="B42" s="220" t="s">
        <v>63</v>
      </c>
      <c r="C42" s="224">
        <v>3.1998642130009625</v>
      </c>
      <c r="D42" s="225">
        <v>2.9736151872041852</v>
      </c>
      <c r="E42" s="225">
        <v>1.9465947653883331</v>
      </c>
      <c r="F42" s="225">
        <v>1.7651225046371695</v>
      </c>
      <c r="G42" s="225">
        <v>0.86266904392903621</v>
      </c>
      <c r="H42" s="225">
        <v>1.0719846936300421</v>
      </c>
      <c r="I42" s="225">
        <v>1.6250936952455943</v>
      </c>
      <c r="J42" s="225">
        <v>0.9774079225030885</v>
      </c>
      <c r="K42" s="225">
        <v>0</v>
      </c>
      <c r="L42" s="225">
        <v>1.2427887864132676</v>
      </c>
      <c r="M42" s="225">
        <v>1.7725244095409689</v>
      </c>
      <c r="N42" s="225">
        <v>2.6072866421226619</v>
      </c>
      <c r="O42" s="225">
        <v>3.0436175249751258</v>
      </c>
      <c r="P42" s="225">
        <v>3.0353783262097802</v>
      </c>
      <c r="Q42" s="225">
        <v>2.6677583933310927</v>
      </c>
      <c r="R42" s="225">
        <v>3.190339508316745</v>
      </c>
      <c r="S42" s="225">
        <v>2.3352797919239134</v>
      </c>
      <c r="T42" s="225">
        <v>2.3352812415000201</v>
      </c>
      <c r="U42" s="225">
        <v>5.1547096078757022</v>
      </c>
      <c r="V42" s="225">
        <v>5.2576671714310796</v>
      </c>
      <c r="W42" s="225">
        <v>3.9286193233688738</v>
      </c>
      <c r="X42" s="225">
        <v>4.9659590383501246</v>
      </c>
      <c r="Y42" s="225">
        <v>4.4510404613294421</v>
      </c>
      <c r="Z42" s="225">
        <v>3.5630028798452145</v>
      </c>
      <c r="AA42" s="229">
        <v>5.3965643795030385</v>
      </c>
    </row>
    <row r="43" spans="1:33" ht="20.100000000000001" customHeight="1" x14ac:dyDescent="0.2">
      <c r="A43" s="219">
        <v>25</v>
      </c>
      <c r="B43" s="220" t="s">
        <v>66</v>
      </c>
      <c r="C43" s="224">
        <v>3.898917375261211</v>
      </c>
      <c r="D43" s="225">
        <v>3.8358828048085489</v>
      </c>
      <c r="E43" s="225">
        <v>2.8474344333411641</v>
      </c>
      <c r="F43" s="225">
        <v>2.817129022577165</v>
      </c>
      <c r="G43" s="225">
        <v>1.8902959386425193</v>
      </c>
      <c r="H43" s="225">
        <v>2.0145451119805338</v>
      </c>
      <c r="I43" s="225">
        <v>2.6189247619303337</v>
      </c>
      <c r="J43" s="225">
        <v>1.6833414381402965</v>
      </c>
      <c r="K43" s="225">
        <v>1.2427887864132676</v>
      </c>
      <c r="L43" s="225">
        <v>0</v>
      </c>
      <c r="M43" s="225">
        <v>0.94328377221982085</v>
      </c>
      <c r="N43" s="225">
        <v>3.5988772831146196</v>
      </c>
      <c r="O43" s="225">
        <v>4.1530798163768718</v>
      </c>
      <c r="P43" s="225">
        <v>4.0601069416863274</v>
      </c>
      <c r="Q43" s="225">
        <v>2.3821085836401514</v>
      </c>
      <c r="R43" s="225">
        <v>2.6447631706312613</v>
      </c>
      <c r="S43" s="225">
        <v>2.9691979994419735</v>
      </c>
      <c r="T43" s="225">
        <v>2.9691979977688532</v>
      </c>
      <c r="U43" s="225">
        <v>5.8073130284351659</v>
      </c>
      <c r="V43" s="225">
        <v>6.2067586454256691</v>
      </c>
      <c r="W43" s="225">
        <v>5.0488176393350601</v>
      </c>
      <c r="X43" s="225">
        <v>6.1130948988971792</v>
      </c>
      <c r="Y43" s="225">
        <v>3.5182783017683015</v>
      </c>
      <c r="Z43" s="225">
        <v>4.346748432946983</v>
      </c>
      <c r="AA43" s="229">
        <v>6.3699601879403867</v>
      </c>
    </row>
    <row r="44" spans="1:33" ht="20.100000000000001" customHeight="1" x14ac:dyDescent="0.2">
      <c r="A44" s="219">
        <v>20</v>
      </c>
      <c r="B44" s="220" t="s">
        <v>59</v>
      </c>
      <c r="C44" s="224">
        <v>3.9638002390379561</v>
      </c>
      <c r="D44" s="225">
        <v>4.002990950592916</v>
      </c>
      <c r="E44" s="225">
        <v>3.59047609222258</v>
      </c>
      <c r="F44" s="225">
        <v>3.4189505143493353</v>
      </c>
      <c r="G44" s="225">
        <v>2.4241490726573272</v>
      </c>
      <c r="H44" s="225">
        <v>2.5337114433585763</v>
      </c>
      <c r="I44" s="225">
        <v>3.111993572525241</v>
      </c>
      <c r="J44" s="225">
        <v>2.3474754282468884</v>
      </c>
      <c r="K44" s="225">
        <v>1.7725244095409689</v>
      </c>
      <c r="L44" s="225">
        <v>0.94328377221982085</v>
      </c>
      <c r="M44" s="225">
        <v>0</v>
      </c>
      <c r="N44" s="225">
        <v>4.0292707177689051</v>
      </c>
      <c r="O44" s="225">
        <v>4.6904630516323946</v>
      </c>
      <c r="P44" s="225">
        <v>4.6553343422041742</v>
      </c>
      <c r="Q44" s="225">
        <v>2.2892353687144396</v>
      </c>
      <c r="R44" s="225">
        <v>2.3076286605772718</v>
      </c>
      <c r="S44" s="225">
        <v>3.1468047641903274</v>
      </c>
      <c r="T44" s="225">
        <v>3.146805387525486</v>
      </c>
      <c r="U44" s="225">
        <v>5.8770696468793515</v>
      </c>
      <c r="V44" s="225">
        <v>6.3838872261812707</v>
      </c>
      <c r="W44" s="225">
        <v>5.3712151343919121</v>
      </c>
      <c r="X44" s="225">
        <v>6.4042138855049711</v>
      </c>
      <c r="Y44" s="225">
        <v>3.0700274908637182</v>
      </c>
      <c r="Z44" s="225">
        <v>4.4471096681655551</v>
      </c>
      <c r="AA44" s="229">
        <v>6.6186036606652099</v>
      </c>
    </row>
    <row r="45" spans="1:33" ht="20.100000000000001" customHeight="1" x14ac:dyDescent="0.2">
      <c r="A45" s="219">
        <v>13</v>
      </c>
      <c r="B45" s="220" t="s">
        <v>43</v>
      </c>
      <c r="C45" s="224">
        <v>3.1970376180511146</v>
      </c>
      <c r="D45" s="225">
        <v>2.4639788233686333</v>
      </c>
      <c r="E45" s="225">
        <v>2.0434679359079002</v>
      </c>
      <c r="F45" s="225">
        <v>1.8355007203425537</v>
      </c>
      <c r="G45" s="225">
        <v>2.1022384850526077</v>
      </c>
      <c r="H45" s="225">
        <v>2.4144816870960009</v>
      </c>
      <c r="I45" s="225">
        <v>2.1264783961215956</v>
      </c>
      <c r="J45" s="225">
        <v>2.6459883027107272</v>
      </c>
      <c r="K45" s="225">
        <v>2.6072866421226619</v>
      </c>
      <c r="L45" s="225">
        <v>3.5988772831146196</v>
      </c>
      <c r="M45" s="225">
        <v>4.0292707177689051</v>
      </c>
      <c r="N45" s="225">
        <v>0</v>
      </c>
      <c r="O45" s="225">
        <v>1.8506615653683332</v>
      </c>
      <c r="P45" s="225">
        <v>2.8381630491757925</v>
      </c>
      <c r="Q45" s="225">
        <v>4.155558408814775</v>
      </c>
      <c r="R45" s="225">
        <v>4.7065851907292728</v>
      </c>
      <c r="S45" s="225">
        <v>2.8144418878672535</v>
      </c>
      <c r="T45" s="225">
        <v>2.8144480278916508</v>
      </c>
      <c r="U45" s="225">
        <v>3.8551572803048648</v>
      </c>
      <c r="V45" s="225">
        <v>3.4137356542901602</v>
      </c>
      <c r="W45" s="225">
        <v>1.9375864770410611</v>
      </c>
      <c r="X45" s="225">
        <v>3.0254985932963763</v>
      </c>
      <c r="Y45" s="225">
        <v>6.1934378246369457</v>
      </c>
      <c r="Z45" s="225">
        <v>2.3581159135109422</v>
      </c>
      <c r="AA45" s="229">
        <v>3.8969632574840603</v>
      </c>
    </row>
    <row r="46" spans="1:33" ht="20.100000000000001" customHeight="1" x14ac:dyDescent="0.2">
      <c r="A46" s="219">
        <v>6</v>
      </c>
      <c r="B46" s="220" t="s">
        <v>33</v>
      </c>
      <c r="C46" s="224">
        <v>3.918851063216378</v>
      </c>
      <c r="D46" s="225">
        <v>3.0744750172041995</v>
      </c>
      <c r="E46" s="225">
        <v>1.9626090246294232</v>
      </c>
      <c r="F46" s="225">
        <v>1.7142076988178085</v>
      </c>
      <c r="G46" s="225">
        <v>2.5890706125872063</v>
      </c>
      <c r="H46" s="225">
        <v>2.5745936712366104</v>
      </c>
      <c r="I46" s="225">
        <v>2.1201596061836505</v>
      </c>
      <c r="J46" s="225">
        <v>2.8792568378601251</v>
      </c>
      <c r="K46" s="225">
        <v>3.0436175249751258</v>
      </c>
      <c r="L46" s="225">
        <v>4.1530798163768718</v>
      </c>
      <c r="M46" s="225">
        <v>4.6904630516323946</v>
      </c>
      <c r="N46" s="225">
        <v>1.8506615653683332</v>
      </c>
      <c r="O46" s="225">
        <v>0</v>
      </c>
      <c r="P46" s="225">
        <v>1.5220458252835802</v>
      </c>
      <c r="Q46" s="225">
        <v>5.1363287399253021</v>
      </c>
      <c r="R46" s="225">
        <v>5.860660325888305</v>
      </c>
      <c r="S46" s="225">
        <v>3.8658358517233542</v>
      </c>
      <c r="T46" s="225">
        <v>3.8658365156528864</v>
      </c>
      <c r="U46" s="225">
        <v>4.5431585756318293</v>
      </c>
      <c r="V46" s="225">
        <v>3.5753848162821358</v>
      </c>
      <c r="W46" s="225">
        <v>1.7149992185199896</v>
      </c>
      <c r="X46" s="225">
        <v>2.7499234599739157</v>
      </c>
      <c r="Y46" s="225">
        <v>7.29981581222843</v>
      </c>
      <c r="Z46" s="225">
        <v>3.1191362102248323</v>
      </c>
      <c r="AA46" s="229">
        <v>3.8722062649526054</v>
      </c>
    </row>
    <row r="47" spans="1:33" ht="20.100000000000001" customHeight="1" x14ac:dyDescent="0.2">
      <c r="A47" s="219">
        <v>12</v>
      </c>
      <c r="B47" s="220" t="s">
        <v>42</v>
      </c>
      <c r="C47" s="224">
        <v>3.7682302846485149</v>
      </c>
      <c r="D47" s="225">
        <v>3.1099294741045518</v>
      </c>
      <c r="E47" s="225">
        <v>1.7540936106638079</v>
      </c>
      <c r="F47" s="225">
        <v>1.6852239070377502</v>
      </c>
      <c r="G47" s="225">
        <v>2.5122347218256595</v>
      </c>
      <c r="H47" s="225">
        <v>2.3667912921059546</v>
      </c>
      <c r="I47" s="225">
        <v>2.023925904713634</v>
      </c>
      <c r="J47" s="225">
        <v>2.6074249654617607</v>
      </c>
      <c r="K47" s="225">
        <v>3.0353783262097802</v>
      </c>
      <c r="L47" s="225">
        <v>4.0601069416863274</v>
      </c>
      <c r="M47" s="225">
        <v>4.6553343422041742</v>
      </c>
      <c r="N47" s="225">
        <v>2.8381630491757925</v>
      </c>
      <c r="O47" s="225">
        <v>1.5220458252835802</v>
      </c>
      <c r="P47" s="225">
        <v>0</v>
      </c>
      <c r="Q47" s="225">
        <v>4.8651034108580324</v>
      </c>
      <c r="R47" s="225">
        <v>5.7468439124032713</v>
      </c>
      <c r="S47" s="225">
        <v>3.9275995659489507</v>
      </c>
      <c r="T47" s="225">
        <v>3.9275995749506958</v>
      </c>
      <c r="U47" s="225">
        <v>5.547749835844404</v>
      </c>
      <c r="V47" s="225">
        <v>4.7253113789564836</v>
      </c>
      <c r="W47" s="225">
        <v>2.8209447801512666</v>
      </c>
      <c r="X47" s="225">
        <v>3.475317886741438</v>
      </c>
      <c r="Y47" s="225">
        <v>7.2054480728745709</v>
      </c>
      <c r="Z47" s="225">
        <v>4.0831363497030129</v>
      </c>
      <c r="AA47" s="229">
        <v>4.335220009336723</v>
      </c>
    </row>
    <row r="48" spans="1:33" ht="20.100000000000001" customHeight="1" x14ac:dyDescent="0.2">
      <c r="A48" s="219">
        <v>19</v>
      </c>
      <c r="B48" s="220" t="s">
        <v>50</v>
      </c>
      <c r="C48" s="224">
        <v>2.9158949960125709</v>
      </c>
      <c r="D48" s="225">
        <v>3.3751651805002032</v>
      </c>
      <c r="E48" s="225">
        <v>3.7186226077924274</v>
      </c>
      <c r="F48" s="225">
        <v>3.6531254446518746</v>
      </c>
      <c r="G48" s="225">
        <v>2.6537860024191904</v>
      </c>
      <c r="H48" s="225">
        <v>2.8978785935342004</v>
      </c>
      <c r="I48" s="225">
        <v>3.3724731036678861</v>
      </c>
      <c r="J48" s="225">
        <v>2.7070537119660316</v>
      </c>
      <c r="K48" s="225">
        <v>2.6677583933310927</v>
      </c>
      <c r="L48" s="225">
        <v>2.3821085836401514</v>
      </c>
      <c r="M48" s="225">
        <v>2.2892353687144396</v>
      </c>
      <c r="N48" s="225">
        <v>4.155558408814775</v>
      </c>
      <c r="O48" s="225">
        <v>5.1363287399253021</v>
      </c>
      <c r="P48" s="225">
        <v>4.8651034108580324</v>
      </c>
      <c r="Q48" s="225">
        <v>0</v>
      </c>
      <c r="R48" s="225">
        <v>1.1157458157063405</v>
      </c>
      <c r="S48" s="225">
        <v>2.5530083104272001</v>
      </c>
      <c r="T48" s="225">
        <v>2.5530085562426832</v>
      </c>
      <c r="U48" s="225">
        <v>6.1869324013680718</v>
      </c>
      <c r="V48" s="225">
        <v>6.6574848040301919</v>
      </c>
      <c r="W48" s="225">
        <v>5.556032445435612</v>
      </c>
      <c r="X48" s="225">
        <v>6.2977856536295311</v>
      </c>
      <c r="Y48" s="225">
        <v>2.833877390793885</v>
      </c>
      <c r="Z48" s="225">
        <v>4.9912113069770321</v>
      </c>
      <c r="AA48" s="229">
        <v>6.4674721481493389</v>
      </c>
    </row>
    <row r="49" spans="1:27" ht="20.100000000000001" customHeight="1" x14ac:dyDescent="0.2">
      <c r="A49" s="219">
        <v>10</v>
      </c>
      <c r="B49" s="220" t="s">
        <v>40</v>
      </c>
      <c r="C49" s="224">
        <v>3.7157950825577273</v>
      </c>
      <c r="D49" s="225">
        <v>4.1713787884651028</v>
      </c>
      <c r="E49" s="225">
        <v>4.4809272312805764</v>
      </c>
      <c r="F49" s="225">
        <v>4.4257104454926184</v>
      </c>
      <c r="G49" s="225">
        <v>3.3625992293665372</v>
      </c>
      <c r="H49" s="225">
        <v>3.6555887818807564</v>
      </c>
      <c r="I49" s="225">
        <v>4.1564031884041182</v>
      </c>
      <c r="J49" s="225">
        <v>3.4571370834779342</v>
      </c>
      <c r="K49" s="225">
        <v>3.190339508316745</v>
      </c>
      <c r="L49" s="225">
        <v>2.6447631706312613</v>
      </c>
      <c r="M49" s="225">
        <v>2.3076286605772718</v>
      </c>
      <c r="N49" s="225">
        <v>4.7065851907292728</v>
      </c>
      <c r="O49" s="225">
        <v>5.860660325888305</v>
      </c>
      <c r="P49" s="225">
        <v>5.7468439124032713</v>
      </c>
      <c r="Q49" s="225">
        <v>1.1157458157063405</v>
      </c>
      <c r="R49" s="225">
        <v>0</v>
      </c>
      <c r="S49" s="225">
        <v>2.9827331314134913</v>
      </c>
      <c r="T49" s="225">
        <v>2.9827341377083001</v>
      </c>
      <c r="U49" s="225">
        <v>6.4136212142421041</v>
      </c>
      <c r="V49" s="225">
        <v>7.1292237260442306</v>
      </c>
      <c r="W49" s="225">
        <v>6.2024148498463854</v>
      </c>
      <c r="X49" s="225">
        <v>7.007453433317349</v>
      </c>
      <c r="Y49" s="225">
        <v>1.940430100992071</v>
      </c>
      <c r="Z49" s="225">
        <v>5.3236622479256281</v>
      </c>
      <c r="AA49" s="229">
        <v>7.1294477068521163</v>
      </c>
    </row>
    <row r="50" spans="1:27" ht="20.100000000000001" customHeight="1" x14ac:dyDescent="0.2">
      <c r="A50" s="219">
        <v>23</v>
      </c>
      <c r="B50" s="220" t="s">
        <v>219</v>
      </c>
      <c r="C50" s="224">
        <v>2.9659983934474203</v>
      </c>
      <c r="D50" s="225">
        <v>3.0594683776979426</v>
      </c>
      <c r="E50" s="225">
        <v>2.8838418211167638</v>
      </c>
      <c r="F50" s="225">
        <v>2.9488909994632029</v>
      </c>
      <c r="G50" s="225">
        <v>2.1506444682186223</v>
      </c>
      <c r="H50" s="225">
        <v>2.7178557273997082</v>
      </c>
      <c r="I50" s="225">
        <v>3.0052807170127509</v>
      </c>
      <c r="J50" s="225">
        <v>2.7335718931485187</v>
      </c>
      <c r="K50" s="225">
        <v>2.3352797919239134</v>
      </c>
      <c r="L50" s="225">
        <v>2.9691979994419735</v>
      </c>
      <c r="M50" s="225">
        <v>3.1468047641903274</v>
      </c>
      <c r="N50" s="225">
        <v>2.8144418878672535</v>
      </c>
      <c r="O50" s="225">
        <v>3.8658358517233542</v>
      </c>
      <c r="P50" s="225">
        <v>3.9275995659489507</v>
      </c>
      <c r="Q50" s="225">
        <v>2.5530083104272001</v>
      </c>
      <c r="R50" s="225">
        <v>2.9827331314134913</v>
      </c>
      <c r="S50" s="225">
        <v>0</v>
      </c>
      <c r="T50" s="225">
        <v>9.9677742310150252E-5</v>
      </c>
      <c r="U50" s="225">
        <v>4.9166793354590697</v>
      </c>
      <c r="V50" s="225">
        <v>5.1657727485262672</v>
      </c>
      <c r="W50" s="225">
        <v>4.0246728728658088</v>
      </c>
      <c r="X50" s="225">
        <v>4.7844676706988816</v>
      </c>
      <c r="Y50" s="225">
        <v>4.4541492137046239</v>
      </c>
      <c r="Z50" s="225">
        <v>3.8112210434695806</v>
      </c>
      <c r="AA50" s="229">
        <v>5.3961749528376375</v>
      </c>
    </row>
    <row r="51" spans="1:27" ht="20.100000000000001" customHeight="1" x14ac:dyDescent="0.2">
      <c r="A51" s="219">
        <v>17</v>
      </c>
      <c r="B51" s="220" t="s">
        <v>53</v>
      </c>
      <c r="C51" s="224">
        <v>2.9659984342107273</v>
      </c>
      <c r="D51" s="225">
        <v>3.059470007402449</v>
      </c>
      <c r="E51" s="225">
        <v>2.8838419256765788</v>
      </c>
      <c r="F51" s="225">
        <v>2.9488909537757668</v>
      </c>
      <c r="G51" s="225">
        <v>2.1506465857825057</v>
      </c>
      <c r="H51" s="225">
        <v>2.7178555693845659</v>
      </c>
      <c r="I51" s="225">
        <v>3.0052803736873894</v>
      </c>
      <c r="J51" s="225">
        <v>2.7335716498485865</v>
      </c>
      <c r="K51" s="225">
        <v>2.3352812415000201</v>
      </c>
      <c r="L51" s="225">
        <v>2.9691979977688532</v>
      </c>
      <c r="M51" s="225">
        <v>3.146805387525486</v>
      </c>
      <c r="N51" s="225">
        <v>2.8144480278916508</v>
      </c>
      <c r="O51" s="225">
        <v>3.8658365156528864</v>
      </c>
      <c r="P51" s="225">
        <v>3.9275995749506958</v>
      </c>
      <c r="Q51" s="225">
        <v>2.5530085562426832</v>
      </c>
      <c r="R51" s="225">
        <v>2.9827341377083001</v>
      </c>
      <c r="S51" s="225">
        <v>9.9677742310150252E-5</v>
      </c>
      <c r="T51" s="225">
        <v>0</v>
      </c>
      <c r="U51" s="225">
        <v>4.9166237968444797</v>
      </c>
      <c r="V51" s="225">
        <v>5.1657400645061795</v>
      </c>
      <c r="W51" s="225">
        <v>4.0246803967679412</v>
      </c>
      <c r="X51" s="225">
        <v>4.7844878329203233</v>
      </c>
      <c r="Y51" s="225">
        <v>4.4541494410498963</v>
      </c>
      <c r="Z51" s="225">
        <v>3.8112679004518526</v>
      </c>
      <c r="AA51" s="229">
        <v>5.3962319606099136</v>
      </c>
    </row>
    <row r="52" spans="1:27" ht="20.100000000000001" customHeight="1" x14ac:dyDescent="0.2">
      <c r="A52" s="219">
        <v>8</v>
      </c>
      <c r="B52" s="220" t="s">
        <v>35</v>
      </c>
      <c r="C52" s="224">
        <v>5.4216062291943192</v>
      </c>
      <c r="D52" s="225">
        <v>4.8799484752937072</v>
      </c>
      <c r="E52" s="225">
        <v>5.1752003820988248</v>
      </c>
      <c r="F52" s="225">
        <v>4.966972514300112</v>
      </c>
      <c r="G52" s="225">
        <v>4.9748302294940423</v>
      </c>
      <c r="H52" s="225">
        <v>5.2421993194381962</v>
      </c>
      <c r="I52" s="225">
        <v>5.0632806030037356</v>
      </c>
      <c r="J52" s="225">
        <v>5.4702835039813928</v>
      </c>
      <c r="K52" s="225">
        <v>5.1547096078757022</v>
      </c>
      <c r="L52" s="225">
        <v>5.8073130284351659</v>
      </c>
      <c r="M52" s="225">
        <v>5.8770696468793515</v>
      </c>
      <c r="N52" s="225">
        <v>3.8551572803048648</v>
      </c>
      <c r="O52" s="225">
        <v>4.5431585756318293</v>
      </c>
      <c r="P52" s="225">
        <v>5.547749835844404</v>
      </c>
      <c r="Q52" s="225">
        <v>6.1869324013680718</v>
      </c>
      <c r="R52" s="225">
        <v>6.4136212142421041</v>
      </c>
      <c r="S52" s="225">
        <v>4.9166793354590697</v>
      </c>
      <c r="T52" s="225">
        <v>4.9166237968444797</v>
      </c>
      <c r="U52" s="225">
        <v>0</v>
      </c>
      <c r="V52" s="225">
        <v>2.1125519070109595</v>
      </c>
      <c r="W52" s="225">
        <v>3.9612648066339347</v>
      </c>
      <c r="X52" s="225">
        <v>5.0116932745542568</v>
      </c>
      <c r="Y52" s="225">
        <v>7.5117948357679207</v>
      </c>
      <c r="Z52" s="225">
        <v>4.7477016285467348</v>
      </c>
      <c r="AA52" s="229">
        <v>6.7412347509011177</v>
      </c>
    </row>
    <row r="53" spans="1:27" ht="20.100000000000001" customHeight="1" x14ac:dyDescent="0.2">
      <c r="A53" s="219">
        <v>14</v>
      </c>
      <c r="B53" s="220" t="s">
        <v>48</v>
      </c>
      <c r="C53" s="224">
        <v>5.1675823663842477</v>
      </c>
      <c r="D53" s="225">
        <v>4.429183593741703</v>
      </c>
      <c r="E53" s="225">
        <v>4.8821443347404037</v>
      </c>
      <c r="F53" s="225">
        <v>4.5488492649674548</v>
      </c>
      <c r="G53" s="225">
        <v>4.922353110921736</v>
      </c>
      <c r="H53" s="225">
        <v>5.0688035286304958</v>
      </c>
      <c r="I53" s="225">
        <v>4.6903198655045006</v>
      </c>
      <c r="J53" s="225">
        <v>5.4106987981236889</v>
      </c>
      <c r="K53" s="225">
        <v>5.2576671714310796</v>
      </c>
      <c r="L53" s="225">
        <v>6.2067586454256691</v>
      </c>
      <c r="M53" s="225">
        <v>6.3838872261812707</v>
      </c>
      <c r="N53" s="225">
        <v>3.4137356542901602</v>
      </c>
      <c r="O53" s="225">
        <v>3.5753848162821358</v>
      </c>
      <c r="P53" s="225">
        <v>4.7253113789564836</v>
      </c>
      <c r="Q53" s="225">
        <v>6.6574848040301919</v>
      </c>
      <c r="R53" s="225">
        <v>7.1292237260442306</v>
      </c>
      <c r="S53" s="225">
        <v>5.1657727485262672</v>
      </c>
      <c r="T53" s="225">
        <v>5.1657400645061795</v>
      </c>
      <c r="U53" s="225">
        <v>2.1125519070109595</v>
      </c>
      <c r="V53" s="225">
        <v>0</v>
      </c>
      <c r="W53" s="225">
        <v>2.6125315061460976</v>
      </c>
      <c r="X53" s="225">
        <v>3.3903910583290506</v>
      </c>
      <c r="Y53" s="225">
        <v>8.4801017547212361</v>
      </c>
      <c r="Z53" s="225">
        <v>4.1192280947060427</v>
      </c>
      <c r="AA53" s="229">
        <v>5.3216237884278295</v>
      </c>
    </row>
    <row r="54" spans="1:27" ht="20.100000000000001" customHeight="1" x14ac:dyDescent="0.2">
      <c r="A54" s="219">
        <v>7</v>
      </c>
      <c r="B54" s="220" t="s">
        <v>34</v>
      </c>
      <c r="C54" s="224">
        <v>3.9129860374688601</v>
      </c>
      <c r="D54" s="225">
        <v>3.0255031242800614</v>
      </c>
      <c r="E54" s="225">
        <v>3.1887772728003125</v>
      </c>
      <c r="F54" s="225">
        <v>2.8624276937952486</v>
      </c>
      <c r="G54" s="225">
        <v>3.42176868701402</v>
      </c>
      <c r="H54" s="225">
        <v>3.5609425120848579</v>
      </c>
      <c r="I54" s="225">
        <v>3.1061452264513854</v>
      </c>
      <c r="J54" s="225">
        <v>3.9442579719288502</v>
      </c>
      <c r="K54" s="225">
        <v>3.9286193233688738</v>
      </c>
      <c r="L54" s="225">
        <v>5.0488176393350601</v>
      </c>
      <c r="M54" s="225">
        <v>5.3712151343919121</v>
      </c>
      <c r="N54" s="225">
        <v>1.9375864770410611</v>
      </c>
      <c r="O54" s="225">
        <v>1.7149992185199896</v>
      </c>
      <c r="P54" s="225">
        <v>2.8209447801512666</v>
      </c>
      <c r="Q54" s="225">
        <v>5.556032445435612</v>
      </c>
      <c r="R54" s="225">
        <v>6.2024148498463854</v>
      </c>
      <c r="S54" s="225">
        <v>4.0246728728658088</v>
      </c>
      <c r="T54" s="225">
        <v>4.0246803967679412</v>
      </c>
      <c r="U54" s="225">
        <v>3.9612648066339347</v>
      </c>
      <c r="V54" s="225">
        <v>2.6125315061460976</v>
      </c>
      <c r="W54" s="225">
        <v>0</v>
      </c>
      <c r="X54" s="225">
        <v>1.437987134356717</v>
      </c>
      <c r="Y54" s="225">
        <v>7.7244908793451703</v>
      </c>
      <c r="Z54" s="225">
        <v>2.4863259767314494</v>
      </c>
      <c r="AA54" s="229">
        <v>3.0830516757538686</v>
      </c>
    </row>
    <row r="55" spans="1:27" ht="20.100000000000001" customHeight="1" x14ac:dyDescent="0.2">
      <c r="A55" s="219">
        <v>15</v>
      </c>
      <c r="B55" s="220" t="s">
        <v>158</v>
      </c>
      <c r="C55" s="224">
        <v>4.2145207299107046</v>
      </c>
      <c r="D55" s="225">
        <v>3.4268868388552423</v>
      </c>
      <c r="E55" s="225">
        <v>4.1203194496190632</v>
      </c>
      <c r="F55" s="225">
        <v>3.7695000292536944</v>
      </c>
      <c r="G55" s="225">
        <v>4.3778820629239785</v>
      </c>
      <c r="H55" s="225">
        <v>4.4623355874913937</v>
      </c>
      <c r="I55" s="225">
        <v>3.9638342070265109</v>
      </c>
      <c r="J55" s="225">
        <v>4.8746164857603356</v>
      </c>
      <c r="K55" s="225">
        <v>4.9659590383501246</v>
      </c>
      <c r="L55" s="225">
        <v>6.1130948988971792</v>
      </c>
      <c r="M55" s="225">
        <v>6.4042138855049711</v>
      </c>
      <c r="N55" s="225">
        <v>3.0254985932963763</v>
      </c>
      <c r="O55" s="225">
        <v>2.7499234599739157</v>
      </c>
      <c r="P55" s="225">
        <v>3.475317886741438</v>
      </c>
      <c r="Q55" s="225">
        <v>6.2977856536295311</v>
      </c>
      <c r="R55" s="225">
        <v>7.007453433317349</v>
      </c>
      <c r="S55" s="225">
        <v>4.7844676706988816</v>
      </c>
      <c r="T55" s="225">
        <v>4.7844878329203233</v>
      </c>
      <c r="U55" s="225">
        <v>5.0116932745542568</v>
      </c>
      <c r="V55" s="225">
        <v>3.3903910583290506</v>
      </c>
      <c r="W55" s="225">
        <v>1.437987134356717</v>
      </c>
      <c r="X55" s="225">
        <v>0</v>
      </c>
      <c r="Y55" s="225">
        <v>8.646428487439298</v>
      </c>
      <c r="Z55" s="225">
        <v>3.2109158927639978</v>
      </c>
      <c r="AA55" s="229">
        <v>2.2735386626355125</v>
      </c>
    </row>
    <row r="56" spans="1:27" ht="20.100000000000001" customHeight="1" x14ac:dyDescent="0.2">
      <c r="A56" s="219">
        <v>5</v>
      </c>
      <c r="B56" s="220" t="s">
        <v>32</v>
      </c>
      <c r="C56" s="224">
        <v>5.609475576220718</v>
      </c>
      <c r="D56" s="225">
        <v>5.9988517147832514</v>
      </c>
      <c r="E56" s="225">
        <v>5.8846954332834223</v>
      </c>
      <c r="F56" s="225">
        <v>5.9451892128917487</v>
      </c>
      <c r="G56" s="225">
        <v>4.8505968308763023</v>
      </c>
      <c r="H56" s="225">
        <v>5.1378698162092054</v>
      </c>
      <c r="I56" s="225">
        <v>5.7070901170662864</v>
      </c>
      <c r="J56" s="225">
        <v>4.8394963336200894</v>
      </c>
      <c r="K56" s="225">
        <v>4.4510404613294421</v>
      </c>
      <c r="L56" s="225">
        <v>3.5182783017683015</v>
      </c>
      <c r="M56" s="225">
        <v>3.0700274908637182</v>
      </c>
      <c r="N56" s="225">
        <v>6.1934378246369457</v>
      </c>
      <c r="O56" s="225">
        <v>7.29981581222843</v>
      </c>
      <c r="P56" s="225">
        <v>7.2054480728745709</v>
      </c>
      <c r="Q56" s="225">
        <v>2.833877390793885</v>
      </c>
      <c r="R56" s="225">
        <v>1.940430100992071</v>
      </c>
      <c r="S56" s="225">
        <v>4.4541492137046239</v>
      </c>
      <c r="T56" s="225">
        <v>4.4541494410498963</v>
      </c>
      <c r="U56" s="225">
        <v>7.5117948357679207</v>
      </c>
      <c r="V56" s="225">
        <v>8.4801017547212361</v>
      </c>
      <c r="W56" s="225">
        <v>7.7244908793451703</v>
      </c>
      <c r="X56" s="225">
        <v>8.646428487439298</v>
      </c>
      <c r="Y56" s="225">
        <v>0</v>
      </c>
      <c r="Z56" s="225">
        <v>6.5534279977483934</v>
      </c>
      <c r="AA56" s="229">
        <v>8.6950906529757361</v>
      </c>
    </row>
    <row r="57" spans="1:27" ht="20.100000000000001" customHeight="1" x14ac:dyDescent="0.2">
      <c r="A57" s="219">
        <v>18</v>
      </c>
      <c r="B57" s="220" t="s">
        <v>54</v>
      </c>
      <c r="C57" s="224">
        <v>4.2456193537440274</v>
      </c>
      <c r="D57" s="225">
        <v>3.5697518603354892</v>
      </c>
      <c r="E57" s="225">
        <v>3.7319317985052067</v>
      </c>
      <c r="F57" s="225">
        <v>3.438202012099854</v>
      </c>
      <c r="G57" s="225">
        <v>3.3915845197642382</v>
      </c>
      <c r="H57" s="225">
        <v>3.661458612265307</v>
      </c>
      <c r="I57" s="225">
        <v>3.5030448420249023</v>
      </c>
      <c r="J57" s="225">
        <v>3.9276447280772055</v>
      </c>
      <c r="K57" s="225">
        <v>3.5630028798452145</v>
      </c>
      <c r="L57" s="225">
        <v>4.346748432946983</v>
      </c>
      <c r="M57" s="225">
        <v>4.4471096681655551</v>
      </c>
      <c r="N57" s="225">
        <v>2.3581159135109422</v>
      </c>
      <c r="O57" s="225">
        <v>3.1191362102248323</v>
      </c>
      <c r="P57" s="225">
        <v>4.0831363497030129</v>
      </c>
      <c r="Q57" s="225">
        <v>4.9912113069770321</v>
      </c>
      <c r="R57" s="225">
        <v>5.3236622479256281</v>
      </c>
      <c r="S57" s="225">
        <v>3.8112210434695806</v>
      </c>
      <c r="T57" s="225">
        <v>3.8112679004518526</v>
      </c>
      <c r="U57" s="225">
        <v>4.7477016285467348</v>
      </c>
      <c r="V57" s="225">
        <v>4.1192280947060427</v>
      </c>
      <c r="W57" s="225">
        <v>2.4863259767314494</v>
      </c>
      <c r="X57" s="225">
        <v>3.2109158927639978</v>
      </c>
      <c r="Y57" s="225">
        <v>6.5534279977483934</v>
      </c>
      <c r="Z57" s="225">
        <v>0</v>
      </c>
      <c r="AA57" s="229">
        <v>3.209526371982069</v>
      </c>
    </row>
    <row r="58" spans="1:27" ht="20.100000000000001" customHeight="1" x14ac:dyDescent="0.2">
      <c r="A58" s="219">
        <v>9</v>
      </c>
      <c r="B58" s="220" t="s">
        <v>36</v>
      </c>
      <c r="C58" s="226">
        <v>4.6326426182237297</v>
      </c>
      <c r="D58" s="227">
        <v>4.0049820559721958</v>
      </c>
      <c r="E58" s="227">
        <v>4.7571081499278227</v>
      </c>
      <c r="F58" s="227">
        <v>4.4154332009249462</v>
      </c>
      <c r="G58" s="227">
        <v>4.8752695619081541</v>
      </c>
      <c r="H58" s="227">
        <v>4.9164600016003304</v>
      </c>
      <c r="I58" s="227">
        <v>4.5076103058490053</v>
      </c>
      <c r="J58" s="227">
        <v>5.2611041820013815</v>
      </c>
      <c r="K58" s="227">
        <v>5.3965643795030385</v>
      </c>
      <c r="L58" s="227">
        <v>6.3699601879403867</v>
      </c>
      <c r="M58" s="227">
        <v>6.6186036606652099</v>
      </c>
      <c r="N58" s="227">
        <v>3.8969632574840603</v>
      </c>
      <c r="O58" s="227">
        <v>3.8722062649526054</v>
      </c>
      <c r="P58" s="227">
        <v>4.335220009336723</v>
      </c>
      <c r="Q58" s="227">
        <v>6.4674721481493389</v>
      </c>
      <c r="R58" s="227">
        <v>7.1294477068521163</v>
      </c>
      <c r="S58" s="227">
        <v>5.3961749528376375</v>
      </c>
      <c r="T58" s="227">
        <v>5.3962319606099136</v>
      </c>
      <c r="U58" s="227">
        <v>6.7412347509011177</v>
      </c>
      <c r="V58" s="227">
        <v>5.3216237884278295</v>
      </c>
      <c r="W58" s="227">
        <v>3.0830516757538686</v>
      </c>
      <c r="X58" s="227">
        <v>2.2735386626355125</v>
      </c>
      <c r="Y58" s="227">
        <v>8.6950906529757361</v>
      </c>
      <c r="Z58" s="227">
        <v>3.209526371982069</v>
      </c>
      <c r="AA58" s="230">
        <v>0</v>
      </c>
    </row>
    <row r="59" spans="1:27" ht="20.100000000000001" customHeight="1" x14ac:dyDescent="0.2">
      <c r="A59" s="231"/>
      <c r="B59" s="231"/>
      <c r="C59" s="231"/>
      <c r="D59" s="231"/>
      <c r="E59" s="231"/>
      <c r="F59" s="231"/>
      <c r="G59" s="231"/>
      <c r="H59" s="231"/>
      <c r="I59" s="231"/>
      <c r="J59" s="231"/>
      <c r="K59" s="231"/>
      <c r="L59" s="231"/>
      <c r="M59" s="231"/>
      <c r="N59" s="231"/>
      <c r="O59" s="231"/>
      <c r="P59" s="231"/>
      <c r="Q59" s="231"/>
      <c r="R59" s="231"/>
      <c r="S59" s="231"/>
      <c r="T59" s="231"/>
      <c r="U59" s="231"/>
      <c r="V59" s="231"/>
      <c r="W59" s="231"/>
      <c r="X59" s="231"/>
      <c r="Y59" s="231"/>
      <c r="Z59" s="231"/>
      <c r="AA59" s="231"/>
    </row>
    <row r="60" spans="1:27" ht="20.100000000000001" customHeight="1" x14ac:dyDescent="0.2">
      <c r="A60" s="231"/>
      <c r="B60" s="231"/>
      <c r="C60" s="231"/>
      <c r="D60" s="231"/>
      <c r="E60" s="231"/>
      <c r="F60" s="231"/>
      <c r="G60" s="231"/>
      <c r="H60" s="231"/>
      <c r="I60" s="231"/>
      <c r="J60" s="231"/>
      <c r="K60" s="231"/>
      <c r="L60" s="231"/>
      <c r="M60" s="238" t="s">
        <v>155</v>
      </c>
      <c r="N60" s="238"/>
      <c r="O60" s="238"/>
      <c r="P60" s="238"/>
      <c r="Q60" s="231"/>
      <c r="R60" s="231"/>
      <c r="S60" s="231"/>
      <c r="T60" s="231"/>
      <c r="U60" s="231"/>
      <c r="V60" s="231"/>
      <c r="W60" s="231"/>
      <c r="X60" s="231"/>
      <c r="Y60" s="231"/>
      <c r="Z60" s="231"/>
      <c r="AA60" s="231"/>
    </row>
    <row r="61" spans="1:27" ht="20.100000000000001" customHeight="1" x14ac:dyDescent="0.2">
      <c r="A61" s="231"/>
      <c r="B61" s="231"/>
      <c r="C61" s="231"/>
      <c r="D61" s="231"/>
      <c r="E61" s="231"/>
      <c r="F61" s="231"/>
      <c r="G61" s="231"/>
      <c r="H61" s="231"/>
      <c r="I61" s="231"/>
      <c r="J61" s="231"/>
      <c r="K61" s="231"/>
      <c r="L61" s="231"/>
      <c r="M61" s="150" t="s">
        <v>126</v>
      </c>
      <c r="N61" s="233" t="str">
        <f>_xlfn.CONCAT("&lt;",O61)</f>
        <v>&lt;1,7</v>
      </c>
      <c r="O61" s="234">
        <v>1.7</v>
      </c>
      <c r="P61" s="1"/>
      <c r="Q61" s="231"/>
      <c r="R61" s="231"/>
      <c r="S61" s="231"/>
      <c r="T61" s="231"/>
      <c r="U61" s="231"/>
      <c r="V61" s="231"/>
      <c r="W61" s="231"/>
      <c r="X61" s="231"/>
      <c r="Y61" s="231"/>
      <c r="Z61" s="231"/>
      <c r="AA61" s="231"/>
    </row>
    <row r="62" spans="1:27" ht="20.100000000000001" customHeight="1" x14ac:dyDescent="0.2">
      <c r="A62" s="231"/>
      <c r="B62" s="231"/>
      <c r="C62" s="231"/>
      <c r="D62" s="231"/>
      <c r="E62" s="231"/>
      <c r="F62" s="231"/>
      <c r="G62" s="231"/>
      <c r="H62" s="231"/>
      <c r="I62" s="231"/>
      <c r="J62" s="231"/>
      <c r="K62" s="231"/>
      <c r="L62" s="231"/>
      <c r="M62" s="72" t="s">
        <v>127</v>
      </c>
      <c r="N62" s="235" t="str">
        <f>_xlfn.CONCAT(O61,"...",O62)</f>
        <v>1,7...2,2</v>
      </c>
      <c r="O62" s="221">
        <v>2.2000000000000002</v>
      </c>
      <c r="P62" s="1"/>
      <c r="Q62" s="231"/>
      <c r="R62" s="231"/>
      <c r="S62" s="231"/>
      <c r="T62" s="231"/>
      <c r="U62" s="231"/>
      <c r="V62" s="231"/>
      <c r="W62" s="231"/>
      <c r="X62" s="231"/>
      <c r="Y62" s="231"/>
      <c r="Z62" s="231"/>
      <c r="AA62" s="231"/>
    </row>
    <row r="63" spans="1:27" ht="20.100000000000001" customHeight="1" x14ac:dyDescent="0.2">
      <c r="A63" s="231"/>
      <c r="B63" s="231"/>
      <c r="C63" s="231"/>
      <c r="D63" s="231"/>
      <c r="E63" s="231"/>
      <c r="F63" s="231"/>
      <c r="G63" s="231"/>
      <c r="H63" s="231"/>
      <c r="I63" s="232"/>
      <c r="J63" s="231"/>
      <c r="K63" s="231"/>
      <c r="L63" s="231"/>
      <c r="M63" s="72" t="s">
        <v>128</v>
      </c>
      <c r="N63" s="235" t="str">
        <f>_xlfn.CONCAT(O62,"…",O63)</f>
        <v>2,2…2,7</v>
      </c>
      <c r="O63" s="221">
        <v>2.7</v>
      </c>
      <c r="P63" s="1"/>
      <c r="Q63" s="231"/>
      <c r="R63" s="231"/>
      <c r="S63" s="231"/>
      <c r="T63" s="231"/>
      <c r="U63" s="231"/>
      <c r="V63" s="231"/>
      <c r="W63" s="231"/>
      <c r="X63" s="231"/>
      <c r="Y63" s="231"/>
      <c r="Z63" s="231"/>
      <c r="AA63" s="231"/>
    </row>
    <row r="64" spans="1:27" ht="20.100000000000001" customHeight="1" x14ac:dyDescent="0.2">
      <c r="A64" s="231"/>
      <c r="B64" s="231"/>
      <c r="C64" s="231"/>
      <c r="D64" s="231"/>
      <c r="E64" s="231"/>
      <c r="F64" s="231"/>
      <c r="G64" s="231"/>
      <c r="H64" s="231"/>
      <c r="I64" s="231"/>
      <c r="J64" s="231"/>
      <c r="K64" s="231"/>
      <c r="L64" s="231"/>
      <c r="M64" s="72"/>
      <c r="N64" s="236" t="str">
        <f>_xlfn.CONCAT("&lt;",O63)</f>
        <v>&lt;2,7</v>
      </c>
      <c r="O64" s="237">
        <v>9</v>
      </c>
      <c r="P64" s="1"/>
      <c r="Q64" s="231"/>
      <c r="R64" s="231"/>
      <c r="S64" s="231"/>
      <c r="T64" s="231"/>
      <c r="U64" s="231"/>
      <c r="V64" s="231"/>
      <c r="W64" s="231"/>
      <c r="X64" s="231"/>
      <c r="Y64" s="231"/>
      <c r="Z64" s="231"/>
      <c r="AA64" s="231"/>
    </row>
    <row r="65" spans="1:27" ht="20.100000000000001" customHeight="1" x14ac:dyDescent="0.2">
      <c r="A65" s="231"/>
      <c r="B65" s="231"/>
      <c r="C65" s="231"/>
      <c r="D65" s="231"/>
      <c r="E65" s="231"/>
      <c r="F65" s="231"/>
      <c r="G65" s="231"/>
      <c r="H65" s="231"/>
      <c r="I65" s="231"/>
      <c r="J65" s="231"/>
      <c r="K65" s="231"/>
      <c r="L65" s="231"/>
      <c r="M65" s="231"/>
      <c r="N65" s="231"/>
      <c r="O65" s="231"/>
      <c r="P65" s="231"/>
      <c r="Q65" s="231"/>
      <c r="R65" s="231"/>
      <c r="S65" s="231"/>
      <c r="T65" s="231"/>
      <c r="U65" s="231"/>
      <c r="V65" s="231"/>
      <c r="W65" s="231"/>
      <c r="X65" s="231"/>
      <c r="Y65" s="231"/>
      <c r="Z65" s="231"/>
      <c r="AA65" s="231"/>
    </row>
  </sheetData>
  <mergeCells count="6">
    <mergeCell ref="A31:AA31"/>
    <mergeCell ref="M60:P60"/>
    <mergeCell ref="A1:J1"/>
    <mergeCell ref="A28:B28"/>
    <mergeCell ref="A29:B29"/>
    <mergeCell ref="L1:AL1"/>
  </mergeCells>
  <conditionalFormatting sqref="P61 C34:AA58">
    <cfRule type="cellIs" dxfId="3" priority="1" operator="lessThanOrEqual">
      <formula>$O$61</formula>
    </cfRule>
  </conditionalFormatting>
  <conditionalFormatting sqref="P62 C34:AA58">
    <cfRule type="cellIs" dxfId="2" priority="2" operator="lessThanOrEqual">
      <formula>$O$62</formula>
    </cfRule>
  </conditionalFormatting>
  <conditionalFormatting sqref="P63 C34:AA58">
    <cfRule type="cellIs" dxfId="1" priority="3" operator="lessThanOrEqual">
      <formula>$O$63</formula>
    </cfRule>
  </conditionalFormatting>
  <conditionalFormatting sqref="P64 C34:AA58">
    <cfRule type="cellIs" dxfId="0" priority="4" operator="lessThanOrEqual">
      <formula>$O$64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3567D-B46A-4A57-92E0-9AB92B1A03F5}">
  <dimension ref="A1:W68"/>
  <sheetViews>
    <sheetView topLeftCell="A41" zoomScale="85" zoomScaleNormal="85" workbookViewId="0">
      <selection activeCell="H76" sqref="H76"/>
    </sheetView>
  </sheetViews>
  <sheetFormatPr defaultColWidth="12.7109375" defaultRowHeight="20.100000000000001" customHeight="1" x14ac:dyDescent="0.2"/>
  <cols>
    <col min="1" max="3" width="12.7109375" style="155"/>
    <col min="4" max="4" width="12.7109375" style="155" customWidth="1"/>
    <col min="5" max="5" width="21.85546875" style="155" bestFit="1" customWidth="1"/>
    <col min="6" max="8" width="12.7109375" style="155"/>
    <col min="9" max="9" width="12.7109375" style="155" customWidth="1"/>
    <col min="10" max="18" width="12.7109375" style="155"/>
    <col min="19" max="19" width="53" style="155" bestFit="1" customWidth="1"/>
    <col min="20" max="16384" width="12.7109375" style="155"/>
  </cols>
  <sheetData>
    <row r="1" spans="1:23" ht="20.100000000000001" customHeight="1" x14ac:dyDescent="0.2">
      <c r="B1" s="216" t="s">
        <v>187</v>
      </c>
      <c r="C1" s="216"/>
      <c r="D1" s="216"/>
      <c r="E1" s="216"/>
      <c r="G1" s="217" t="s">
        <v>191</v>
      </c>
      <c r="H1" s="213"/>
      <c r="I1" s="213"/>
      <c r="J1" s="213"/>
      <c r="K1" s="213"/>
      <c r="L1" s="213"/>
      <c r="M1" s="213"/>
      <c r="N1" s="213"/>
      <c r="O1" s="213"/>
      <c r="P1" s="213"/>
    </row>
    <row r="2" spans="1:23" ht="20.100000000000001" customHeight="1" x14ac:dyDescent="0.2">
      <c r="B2" s="198" t="s">
        <v>188</v>
      </c>
      <c r="C2" s="198"/>
      <c r="D2" s="198"/>
      <c r="E2" s="1" t="s">
        <v>189</v>
      </c>
      <c r="G2" s="1" t="s">
        <v>192</v>
      </c>
      <c r="H2" s="1" t="s">
        <v>193</v>
      </c>
      <c r="I2" s="1" t="s">
        <v>195</v>
      </c>
      <c r="J2" s="1" t="s">
        <v>196</v>
      </c>
    </row>
    <row r="3" spans="1:23" ht="20.100000000000001" customHeight="1" x14ac:dyDescent="0.2">
      <c r="A3" s="72" t="s">
        <v>106</v>
      </c>
      <c r="B3" s="171">
        <v>0.87380000000000002</v>
      </c>
      <c r="C3" s="171">
        <v>-0.2369</v>
      </c>
      <c r="D3" s="171">
        <v>-0.26100000000000001</v>
      </c>
      <c r="E3" s="171">
        <v>0.94230000000000003</v>
      </c>
      <c r="F3" s="72" t="s">
        <v>106</v>
      </c>
      <c r="G3" s="171">
        <f>B3-0.5*D3</f>
        <v>1.0043</v>
      </c>
      <c r="H3" s="171">
        <f>C3-0.5*D3</f>
        <v>-0.10639999999999999</v>
      </c>
      <c r="I3" s="171">
        <f>G3</f>
        <v>1.0043</v>
      </c>
      <c r="J3" s="171">
        <f>-0.5*D3</f>
        <v>0.1305</v>
      </c>
      <c r="R3" s="28" t="s">
        <v>86</v>
      </c>
      <c r="S3" s="17" t="s">
        <v>10</v>
      </c>
    </row>
    <row r="4" spans="1:23" ht="20.100000000000001" customHeight="1" x14ac:dyDescent="0.2">
      <c r="A4" s="72" t="s">
        <v>107</v>
      </c>
      <c r="B4" s="171">
        <v>-9.7900000000000001E-2</v>
      </c>
      <c r="C4" s="171">
        <v>0.88280000000000003</v>
      </c>
      <c r="D4" s="171">
        <v>2.1700000000000001E-2</v>
      </c>
      <c r="E4" s="171">
        <v>0.88839999999999997</v>
      </c>
      <c r="F4" s="72" t="s">
        <v>107</v>
      </c>
      <c r="G4" s="171">
        <f t="shared" ref="G4:G10" si="0">B4-0.5*D4</f>
        <v>-0.10875</v>
      </c>
      <c r="H4" s="171">
        <f t="shared" ref="H4:H10" si="1">C4-0.5*D4</f>
        <v>0.87195</v>
      </c>
      <c r="I4" s="171">
        <f t="shared" ref="I4:I10" si="2">G4</f>
        <v>-0.10875</v>
      </c>
      <c r="J4" s="171">
        <f t="shared" ref="J4:J10" si="3">-0.5*D4</f>
        <v>-1.085E-2</v>
      </c>
      <c r="R4" s="28" t="s">
        <v>87</v>
      </c>
      <c r="S4" s="17" t="s">
        <v>19</v>
      </c>
    </row>
    <row r="5" spans="1:23" ht="20.100000000000001" customHeight="1" x14ac:dyDescent="0.2">
      <c r="A5" s="72" t="s">
        <v>88</v>
      </c>
      <c r="B5" s="171">
        <v>-0.74199999999999999</v>
      </c>
      <c r="C5" s="171">
        <v>-0.33079999999999998</v>
      </c>
      <c r="D5" s="171">
        <v>-0.21890000000000001</v>
      </c>
      <c r="E5" s="171">
        <v>0.84140000000000004</v>
      </c>
      <c r="F5" s="72" t="s">
        <v>88</v>
      </c>
      <c r="G5" s="171">
        <f t="shared" si="0"/>
        <v>-0.63254999999999995</v>
      </c>
      <c r="H5" s="171">
        <f t="shared" si="1"/>
        <v>-0.22134999999999999</v>
      </c>
      <c r="I5" s="171">
        <f t="shared" si="2"/>
        <v>-0.63254999999999995</v>
      </c>
      <c r="J5" s="171">
        <f t="shared" si="3"/>
        <v>0.10945000000000001</v>
      </c>
      <c r="R5" s="17" t="s">
        <v>88</v>
      </c>
      <c r="S5" s="12" t="s">
        <v>20</v>
      </c>
    </row>
    <row r="6" spans="1:23" ht="20.100000000000001" customHeight="1" x14ac:dyDescent="0.2">
      <c r="A6" s="72" t="s">
        <v>108</v>
      </c>
      <c r="B6" s="171">
        <v>-5.2999999999999999E-2</v>
      </c>
      <c r="C6" s="171">
        <v>2.93E-2</v>
      </c>
      <c r="D6" s="171">
        <v>0.96319999999999995</v>
      </c>
      <c r="E6" s="171">
        <v>0.96509999999999996</v>
      </c>
      <c r="F6" s="72" t="s">
        <v>108</v>
      </c>
      <c r="G6" s="171">
        <f t="shared" si="0"/>
        <v>-0.53459999999999996</v>
      </c>
      <c r="H6" s="171">
        <f t="shared" si="1"/>
        <v>-0.45229999999999998</v>
      </c>
      <c r="I6" s="171">
        <f t="shared" si="2"/>
        <v>-0.53459999999999996</v>
      </c>
      <c r="J6" s="171">
        <f t="shared" si="3"/>
        <v>-0.48159999999999997</v>
      </c>
      <c r="R6" s="28" t="s">
        <v>89</v>
      </c>
      <c r="S6" s="17" t="s">
        <v>21</v>
      </c>
    </row>
    <row r="7" spans="1:23" ht="20.100000000000001" customHeight="1" x14ac:dyDescent="0.2">
      <c r="A7" s="72" t="s">
        <v>90</v>
      </c>
      <c r="B7" s="171">
        <v>0.81340000000000001</v>
      </c>
      <c r="C7" s="171">
        <v>-0.3301</v>
      </c>
      <c r="D7" s="171">
        <v>-0.16309999999999999</v>
      </c>
      <c r="E7" s="171">
        <v>0.89280000000000004</v>
      </c>
      <c r="F7" s="72" t="s">
        <v>90</v>
      </c>
      <c r="G7" s="171">
        <f t="shared" si="0"/>
        <v>0.89495000000000002</v>
      </c>
      <c r="H7" s="171">
        <f t="shared" si="1"/>
        <v>-0.24854999999999999</v>
      </c>
      <c r="I7" s="171">
        <f t="shared" si="2"/>
        <v>0.89495000000000002</v>
      </c>
      <c r="J7" s="171">
        <f t="shared" si="3"/>
        <v>8.1549999999999997E-2</v>
      </c>
      <c r="R7" s="28" t="s">
        <v>90</v>
      </c>
      <c r="S7" s="12" t="s">
        <v>11</v>
      </c>
    </row>
    <row r="8" spans="1:23" ht="20.100000000000001" customHeight="1" x14ac:dyDescent="0.2">
      <c r="A8" s="72" t="s">
        <v>109</v>
      </c>
      <c r="B8" s="171">
        <v>0.7954</v>
      </c>
      <c r="C8" s="171">
        <v>0.36370000000000002</v>
      </c>
      <c r="D8" s="171">
        <v>3.6499999999999998E-2</v>
      </c>
      <c r="E8" s="171">
        <v>0.87529999999999997</v>
      </c>
      <c r="F8" s="72" t="s">
        <v>109</v>
      </c>
      <c r="G8" s="171">
        <f t="shared" si="0"/>
        <v>0.77715000000000001</v>
      </c>
      <c r="H8" s="171">
        <f t="shared" si="1"/>
        <v>0.34545000000000003</v>
      </c>
      <c r="I8" s="171">
        <f t="shared" si="2"/>
        <v>0.77715000000000001</v>
      </c>
      <c r="J8" s="171">
        <f t="shared" si="3"/>
        <v>-1.8249999999999999E-2</v>
      </c>
      <c r="R8" s="12" t="s">
        <v>91</v>
      </c>
      <c r="S8" s="12" t="s">
        <v>13</v>
      </c>
    </row>
    <row r="9" spans="1:23" ht="20.100000000000001" customHeight="1" x14ac:dyDescent="0.2">
      <c r="A9" s="72" t="s">
        <v>110</v>
      </c>
      <c r="B9" s="171">
        <v>0.93879999999999997</v>
      </c>
      <c r="C9" s="171">
        <v>-9.5299999999999996E-2</v>
      </c>
      <c r="D9" s="171">
        <v>0.1036</v>
      </c>
      <c r="E9" s="171">
        <v>0.94930000000000003</v>
      </c>
      <c r="F9" s="72" t="s">
        <v>110</v>
      </c>
      <c r="G9" s="171">
        <f t="shared" si="0"/>
        <v>0.88700000000000001</v>
      </c>
      <c r="H9" s="171">
        <f t="shared" si="1"/>
        <v>-0.14710000000000001</v>
      </c>
      <c r="I9" s="171">
        <f t="shared" si="2"/>
        <v>0.88700000000000001</v>
      </c>
      <c r="J9" s="171">
        <f t="shared" si="3"/>
        <v>-5.1799999999999999E-2</v>
      </c>
      <c r="R9" s="28" t="s">
        <v>92</v>
      </c>
      <c r="S9" s="12" t="s">
        <v>12</v>
      </c>
    </row>
    <row r="10" spans="1:23" ht="20.100000000000001" customHeight="1" x14ac:dyDescent="0.2">
      <c r="A10" s="172" t="s">
        <v>111</v>
      </c>
      <c r="B10" s="171">
        <v>0.95660000000000001</v>
      </c>
      <c r="C10" s="171">
        <v>6.9400000000000003E-2</v>
      </c>
      <c r="D10" s="171">
        <v>6.7000000000000002E-3</v>
      </c>
      <c r="E10" s="173">
        <v>0.95909999999999995</v>
      </c>
      <c r="F10" s="172" t="s">
        <v>111</v>
      </c>
      <c r="G10" s="171">
        <f t="shared" si="0"/>
        <v>0.95325000000000004</v>
      </c>
      <c r="H10" s="171">
        <f t="shared" si="1"/>
        <v>6.6049999999999998E-2</v>
      </c>
      <c r="I10" s="171">
        <f t="shared" si="2"/>
        <v>0.95325000000000004</v>
      </c>
      <c r="J10" s="171">
        <f t="shared" si="3"/>
        <v>-3.3500000000000001E-3</v>
      </c>
      <c r="R10" s="28" t="s">
        <v>93</v>
      </c>
      <c r="S10" s="30" t="s">
        <v>14</v>
      </c>
    </row>
    <row r="11" spans="1:23" ht="20.100000000000001" customHeight="1" x14ac:dyDescent="0.2">
      <c r="B11" s="1" t="s">
        <v>197</v>
      </c>
      <c r="C11" s="1" t="s">
        <v>198</v>
      </c>
      <c r="D11" s="1" t="s">
        <v>194</v>
      </c>
    </row>
    <row r="12" spans="1:23" ht="20.100000000000001" customHeight="1" x14ac:dyDescent="0.2">
      <c r="B12" s="1" t="s">
        <v>199</v>
      </c>
      <c r="C12" s="1" t="s">
        <v>200</v>
      </c>
      <c r="D12" s="1" t="s">
        <v>201</v>
      </c>
    </row>
    <row r="14" spans="1:23" ht="20.100000000000001" customHeight="1" x14ac:dyDescent="0.2">
      <c r="A14" s="216" t="s">
        <v>190</v>
      </c>
      <c r="B14" s="216"/>
      <c r="C14" s="216"/>
      <c r="D14" s="216"/>
      <c r="F14" s="174"/>
      <c r="S14" s="155" t="s">
        <v>218</v>
      </c>
    </row>
    <row r="15" spans="1:23" ht="20.100000000000001" customHeight="1" x14ac:dyDescent="0.2">
      <c r="B15" s="1">
        <v>1</v>
      </c>
      <c r="C15" s="1">
        <v>2</v>
      </c>
      <c r="D15" s="1">
        <v>3</v>
      </c>
      <c r="F15" s="1" t="s">
        <v>192</v>
      </c>
      <c r="G15" s="1" t="s">
        <v>193</v>
      </c>
      <c r="H15" s="1" t="s">
        <v>195</v>
      </c>
      <c r="I15" s="1" t="s">
        <v>196</v>
      </c>
    </row>
    <row r="16" spans="1:23" ht="20.100000000000001" customHeight="1" x14ac:dyDescent="0.2">
      <c r="A16" s="176" t="s">
        <v>28</v>
      </c>
      <c r="B16" s="8">
        <v>0.50700000000000001</v>
      </c>
      <c r="C16" s="8">
        <v>1.1379999999999999</v>
      </c>
      <c r="D16" s="8">
        <v>-0.621</v>
      </c>
      <c r="E16" s="176" t="s">
        <v>28</v>
      </c>
      <c r="F16" s="171">
        <f>B16-0.5*D16</f>
        <v>0.8175</v>
      </c>
      <c r="G16" s="171">
        <f>C16-0.5*D16</f>
        <v>1.4484999999999999</v>
      </c>
      <c r="H16" s="171">
        <f>F16</f>
        <v>0.8175</v>
      </c>
      <c r="I16" s="171">
        <f>-0.5*C17</f>
        <v>-0.18099999999999999</v>
      </c>
      <c r="J16" s="155">
        <v>1</v>
      </c>
      <c r="W16" s="155" t="s">
        <v>76</v>
      </c>
    </row>
    <row r="17" spans="1:16" ht="20.100000000000001" customHeight="1" x14ac:dyDescent="0.2">
      <c r="A17" s="176" t="s">
        <v>29</v>
      </c>
      <c r="B17" s="8">
        <v>-0.124</v>
      </c>
      <c r="C17" s="8">
        <v>0.36199999999999999</v>
      </c>
      <c r="D17" s="8">
        <v>1.1339999999999999</v>
      </c>
      <c r="E17" s="176" t="s">
        <v>29</v>
      </c>
      <c r="F17" s="171">
        <f t="shared" ref="F17:F40" si="4">B17-0.5*D17</f>
        <v>-0.69099999999999995</v>
      </c>
      <c r="G17" s="171">
        <f t="shared" ref="G17:G40" si="5">C17-0.5*D17</f>
        <v>-0.20499999999999996</v>
      </c>
      <c r="H17" s="171">
        <f t="shared" ref="H17:H40" si="6">F17</f>
        <v>-0.69099999999999995</v>
      </c>
      <c r="I17" s="171">
        <f t="shared" ref="I17:I40" si="7">-0.5*C18</f>
        <v>-7.5999999999999998E-2</v>
      </c>
      <c r="J17" s="155">
        <v>2</v>
      </c>
    </row>
    <row r="18" spans="1:16" ht="20.100000000000001" customHeight="1" x14ac:dyDescent="0.2">
      <c r="A18" s="176" t="s">
        <v>30</v>
      </c>
      <c r="B18" s="8">
        <v>-0.29099999999999998</v>
      </c>
      <c r="C18" s="8">
        <v>0.152</v>
      </c>
      <c r="D18" s="8">
        <v>1.48</v>
      </c>
      <c r="E18" s="176" t="s">
        <v>30</v>
      </c>
      <c r="F18" s="171">
        <f t="shared" si="4"/>
        <v>-1.0309999999999999</v>
      </c>
      <c r="G18" s="171">
        <f t="shared" si="5"/>
        <v>-0.58799999999999997</v>
      </c>
      <c r="H18" s="171">
        <f t="shared" si="6"/>
        <v>-1.0309999999999999</v>
      </c>
      <c r="I18" s="171">
        <f t="shared" si="7"/>
        <v>-0.1295</v>
      </c>
      <c r="J18" s="155">
        <v>3</v>
      </c>
    </row>
    <row r="19" spans="1:16" ht="20.100000000000001" customHeight="1" x14ac:dyDescent="0.2">
      <c r="A19" s="176" t="s">
        <v>31</v>
      </c>
      <c r="B19" s="8">
        <v>-0.68600000000000005</v>
      </c>
      <c r="C19" s="8">
        <v>0.25900000000000001</v>
      </c>
      <c r="D19" s="8">
        <v>1.2769999999999999</v>
      </c>
      <c r="E19" s="176" t="s">
        <v>31</v>
      </c>
      <c r="F19" s="171">
        <f t="shared" si="4"/>
        <v>-1.3245</v>
      </c>
      <c r="G19" s="171">
        <f t="shared" si="5"/>
        <v>-0.37949999999999995</v>
      </c>
      <c r="H19" s="171">
        <f t="shared" si="6"/>
        <v>-1.3245</v>
      </c>
      <c r="I19" s="171">
        <f t="shared" si="7"/>
        <v>0.34899999999999998</v>
      </c>
      <c r="J19" s="155">
        <v>4</v>
      </c>
    </row>
    <row r="20" spans="1:16" ht="20.100000000000001" customHeight="1" x14ac:dyDescent="0.2">
      <c r="A20" s="176" t="s">
        <v>32</v>
      </c>
      <c r="B20" s="8">
        <v>10.332000000000001</v>
      </c>
      <c r="C20" s="8">
        <v>-0.69799999999999995</v>
      </c>
      <c r="D20" s="8">
        <v>-1.7010000000000001</v>
      </c>
      <c r="E20" s="176" t="s">
        <v>32</v>
      </c>
      <c r="F20" s="171">
        <f t="shared" si="4"/>
        <v>11.182500000000001</v>
      </c>
      <c r="G20" s="171">
        <f t="shared" si="5"/>
        <v>0.15250000000000008</v>
      </c>
      <c r="H20" s="171">
        <f t="shared" si="6"/>
        <v>11.182500000000001</v>
      </c>
      <c r="I20" s="171">
        <f t="shared" si="7"/>
        <v>5.5E-2</v>
      </c>
      <c r="J20" s="155">
        <v>5</v>
      </c>
    </row>
    <row r="21" spans="1:16" ht="20.100000000000001" customHeight="1" x14ac:dyDescent="0.2">
      <c r="A21" s="176" t="s">
        <v>33</v>
      </c>
      <c r="B21" s="8">
        <v>-3.948</v>
      </c>
      <c r="C21" s="8">
        <v>-0.11</v>
      </c>
      <c r="D21" s="8">
        <v>1.377</v>
      </c>
      <c r="E21" s="176" t="s">
        <v>33</v>
      </c>
      <c r="F21" s="171">
        <f t="shared" si="4"/>
        <v>-4.6364999999999998</v>
      </c>
      <c r="G21" s="171">
        <f t="shared" si="5"/>
        <v>-0.79849999999999999</v>
      </c>
      <c r="H21" s="171">
        <f t="shared" si="6"/>
        <v>-4.6364999999999998</v>
      </c>
      <c r="I21" s="171">
        <f t="shared" si="7"/>
        <v>2.1999999999999999E-2</v>
      </c>
      <c r="J21" s="155">
        <v>6</v>
      </c>
    </row>
    <row r="22" spans="1:16" ht="20.100000000000001" customHeight="1" x14ac:dyDescent="0.2">
      <c r="A22" s="176" t="s">
        <v>34</v>
      </c>
      <c r="B22" s="8">
        <v>-5.6669999999999998</v>
      </c>
      <c r="C22" s="8">
        <v>-4.3999999999999997E-2</v>
      </c>
      <c r="D22" s="8">
        <v>-7.9000000000000001E-2</v>
      </c>
      <c r="E22" s="176" t="s">
        <v>34</v>
      </c>
      <c r="F22" s="171">
        <f t="shared" si="4"/>
        <v>-5.6274999999999995</v>
      </c>
      <c r="G22" s="171">
        <f t="shared" si="5"/>
        <v>-4.4999999999999971E-3</v>
      </c>
      <c r="H22" s="171">
        <f t="shared" si="6"/>
        <v>-5.6274999999999995</v>
      </c>
      <c r="I22" s="171">
        <f t="shared" si="7"/>
        <v>1.9870000000000001</v>
      </c>
      <c r="J22" s="155">
        <v>7</v>
      </c>
    </row>
    <row r="23" spans="1:16" ht="20.100000000000001" customHeight="1" x14ac:dyDescent="0.2">
      <c r="A23" s="176" t="s">
        <v>35</v>
      </c>
      <c r="B23" s="8">
        <v>-3.8130000000000002</v>
      </c>
      <c r="C23" s="8">
        <v>-3.9740000000000002</v>
      </c>
      <c r="D23" s="8">
        <v>-2.1949999999999998</v>
      </c>
      <c r="E23" s="176" t="s">
        <v>35</v>
      </c>
      <c r="F23" s="171">
        <f t="shared" si="4"/>
        <v>-2.7155000000000005</v>
      </c>
      <c r="G23" s="171">
        <f t="shared" si="5"/>
        <v>-2.8765000000000001</v>
      </c>
      <c r="H23" s="171">
        <f t="shared" si="6"/>
        <v>-2.7155000000000005</v>
      </c>
      <c r="I23" s="171">
        <f t="shared" si="7"/>
        <v>-1.5760000000000001</v>
      </c>
      <c r="J23" s="155">
        <v>8</v>
      </c>
      <c r="L23" s="155" t="s">
        <v>210</v>
      </c>
      <c r="M23" s="185" t="s">
        <v>215</v>
      </c>
      <c r="N23" s="185"/>
      <c r="O23" s="185"/>
    </row>
    <row r="24" spans="1:16" ht="20.100000000000001" customHeight="1" x14ac:dyDescent="0.2">
      <c r="A24" s="176" t="s">
        <v>36</v>
      </c>
      <c r="B24" s="8">
        <v>-6.4930000000000003</v>
      </c>
      <c r="C24" s="8">
        <v>3.1520000000000001</v>
      </c>
      <c r="D24" s="8">
        <v>-3.5999999999999997E-2</v>
      </c>
      <c r="E24" s="176" t="s">
        <v>36</v>
      </c>
      <c r="F24" s="171">
        <f t="shared" si="4"/>
        <v>-6.4750000000000005</v>
      </c>
      <c r="G24" s="171">
        <f t="shared" si="5"/>
        <v>3.17</v>
      </c>
      <c r="H24" s="171">
        <f t="shared" si="6"/>
        <v>-6.4750000000000005</v>
      </c>
      <c r="I24" s="171">
        <f t="shared" si="7"/>
        <v>2.5000000000000001E-3</v>
      </c>
      <c r="J24" s="155">
        <v>9</v>
      </c>
      <c r="L24" s="155" t="s">
        <v>211</v>
      </c>
      <c r="M24" s="185" t="s">
        <v>214</v>
      </c>
      <c r="N24" s="185"/>
      <c r="O24" s="185"/>
    </row>
    <row r="25" spans="1:16" ht="20.100000000000001" customHeight="1" x14ac:dyDescent="0.2">
      <c r="A25" s="176" t="s">
        <v>40</v>
      </c>
      <c r="B25" s="8">
        <v>7.1159999999999997</v>
      </c>
      <c r="C25" s="8">
        <v>-5.0000000000000001E-3</v>
      </c>
      <c r="D25" s="8">
        <v>-1.3979999999999999</v>
      </c>
      <c r="E25" s="176" t="s">
        <v>40</v>
      </c>
      <c r="F25" s="171">
        <f t="shared" si="4"/>
        <v>7.8149999999999995</v>
      </c>
      <c r="G25" s="171">
        <f t="shared" si="5"/>
        <v>0.69399999999999995</v>
      </c>
      <c r="H25" s="171">
        <f t="shared" si="6"/>
        <v>7.8149999999999995</v>
      </c>
      <c r="I25" s="171">
        <f t="shared" si="7"/>
        <v>-0.4335</v>
      </c>
      <c r="J25" s="155">
        <v>10</v>
      </c>
      <c r="L25" s="155" t="s">
        <v>212</v>
      </c>
      <c r="M25" s="185" t="s">
        <v>213</v>
      </c>
      <c r="N25" s="185"/>
      <c r="O25" s="185"/>
    </row>
    <row r="26" spans="1:16" ht="20.100000000000001" customHeight="1" x14ac:dyDescent="0.2">
      <c r="A26" s="176" t="s">
        <v>41</v>
      </c>
      <c r="B26" s="8">
        <v>-0.98599999999999999</v>
      </c>
      <c r="C26" s="8">
        <v>0.86699999999999999</v>
      </c>
      <c r="D26" s="8">
        <v>-0.32</v>
      </c>
      <c r="E26" s="176" t="s">
        <v>41</v>
      </c>
      <c r="F26" s="171">
        <f t="shared" si="4"/>
        <v>-0.82599999999999996</v>
      </c>
      <c r="G26" s="171">
        <f t="shared" si="5"/>
        <v>1.0269999999999999</v>
      </c>
      <c r="H26" s="171">
        <f t="shared" si="6"/>
        <v>-0.82599999999999996</v>
      </c>
      <c r="I26" s="171">
        <f t="shared" si="7"/>
        <v>-0.30049999999999999</v>
      </c>
      <c r="J26" s="155">
        <v>11</v>
      </c>
    </row>
    <row r="27" spans="1:16" ht="20.100000000000001" customHeight="1" x14ac:dyDescent="0.2">
      <c r="A27" s="176" t="s">
        <v>42</v>
      </c>
      <c r="B27" s="8">
        <v>-2.6859999999999999</v>
      </c>
      <c r="C27" s="8">
        <v>0.60099999999999998</v>
      </c>
      <c r="D27" s="8">
        <v>2.1949999999999998</v>
      </c>
      <c r="E27" s="176" t="s">
        <v>42</v>
      </c>
      <c r="F27" s="171">
        <f t="shared" si="4"/>
        <v>-3.7835000000000001</v>
      </c>
      <c r="G27" s="171">
        <f t="shared" si="5"/>
        <v>-0.49649999999999994</v>
      </c>
      <c r="H27" s="171">
        <f t="shared" si="6"/>
        <v>-3.7835000000000001</v>
      </c>
      <c r="I27" s="171">
        <f t="shared" si="7"/>
        <v>0.1565</v>
      </c>
      <c r="J27" s="155">
        <v>12</v>
      </c>
    </row>
    <row r="28" spans="1:16" ht="20.100000000000001" customHeight="1" x14ac:dyDescent="0.2">
      <c r="A28" s="176" t="s">
        <v>43</v>
      </c>
      <c r="B28" s="8">
        <v>-2.2730000000000001</v>
      </c>
      <c r="C28" s="8">
        <v>-0.313</v>
      </c>
      <c r="D28" s="8">
        <v>-0.159</v>
      </c>
      <c r="E28" s="176" t="s">
        <v>43</v>
      </c>
      <c r="F28" s="171">
        <f t="shared" si="4"/>
        <v>-2.1935000000000002</v>
      </c>
      <c r="G28" s="171">
        <f t="shared" si="5"/>
        <v>-0.23349999999999999</v>
      </c>
      <c r="H28" s="171">
        <f t="shared" si="6"/>
        <v>-2.1935000000000002</v>
      </c>
      <c r="I28" s="171">
        <f t="shared" si="7"/>
        <v>1.2609999999999999</v>
      </c>
      <c r="J28" s="155">
        <v>13</v>
      </c>
    </row>
    <row r="29" spans="1:16" ht="20.100000000000001" customHeight="1" x14ac:dyDescent="0.2">
      <c r="A29" s="176" t="s">
        <v>48</v>
      </c>
      <c r="B29" s="8">
        <v>-6.8840000000000003</v>
      </c>
      <c r="C29" s="8">
        <v>-2.5219999999999998</v>
      </c>
      <c r="D29" s="8">
        <v>-1.335</v>
      </c>
      <c r="E29" s="176" t="s">
        <v>48</v>
      </c>
      <c r="F29" s="171">
        <f t="shared" si="4"/>
        <v>-6.2164999999999999</v>
      </c>
      <c r="G29" s="171">
        <f t="shared" si="5"/>
        <v>-1.8544999999999998</v>
      </c>
      <c r="H29" s="171">
        <f t="shared" si="6"/>
        <v>-6.2164999999999999</v>
      </c>
      <c r="I29" s="171">
        <f t="shared" si="7"/>
        <v>-0.54200000000000004</v>
      </c>
      <c r="J29" s="155">
        <v>14</v>
      </c>
      <c r="M29" s="185" t="s">
        <v>205</v>
      </c>
      <c r="N29" s="185"/>
      <c r="O29" s="185"/>
      <c r="P29" s="185"/>
    </row>
    <row r="30" spans="1:16" ht="20.100000000000001" customHeight="1" x14ac:dyDescent="0.2">
      <c r="A30" s="176" t="s">
        <v>158</v>
      </c>
      <c r="B30" s="8">
        <v>-7.3949999999999996</v>
      </c>
      <c r="C30" s="8">
        <v>1.0840000000000001</v>
      </c>
      <c r="D30" s="8">
        <v>-0.19700000000000001</v>
      </c>
      <c r="E30" s="176" t="s">
        <v>158</v>
      </c>
      <c r="F30" s="171">
        <f t="shared" si="4"/>
        <v>-7.2965</v>
      </c>
      <c r="G30" s="171">
        <f t="shared" si="5"/>
        <v>1.1825000000000001</v>
      </c>
      <c r="H30" s="171">
        <f t="shared" si="6"/>
        <v>-7.2965</v>
      </c>
      <c r="I30" s="171">
        <f t="shared" si="7"/>
        <v>-0.1065</v>
      </c>
      <c r="J30" s="155">
        <v>15</v>
      </c>
      <c r="N30" s="155" t="s">
        <v>206</v>
      </c>
      <c r="O30" s="155" t="s">
        <v>207</v>
      </c>
      <c r="P30" s="155" t="s">
        <v>208</v>
      </c>
    </row>
    <row r="31" spans="1:16" ht="20.100000000000001" customHeight="1" x14ac:dyDescent="0.2">
      <c r="A31" s="176" t="s">
        <v>52</v>
      </c>
      <c r="B31" s="8">
        <v>1.9450000000000001</v>
      </c>
      <c r="C31" s="8">
        <v>0.21299999999999999</v>
      </c>
      <c r="D31" s="8">
        <v>1.2030000000000001</v>
      </c>
      <c r="E31" s="176" t="s">
        <v>52</v>
      </c>
      <c r="F31" s="171">
        <f t="shared" si="4"/>
        <v>1.3435000000000001</v>
      </c>
      <c r="G31" s="171">
        <f t="shared" si="5"/>
        <v>-0.38850000000000007</v>
      </c>
      <c r="H31" s="171">
        <f t="shared" si="6"/>
        <v>1.3435000000000001</v>
      </c>
      <c r="I31" s="171">
        <f t="shared" si="7"/>
        <v>6.5500000000000003E-2</v>
      </c>
      <c r="J31" s="155">
        <v>16</v>
      </c>
      <c r="M31" s="155" t="s">
        <v>106</v>
      </c>
      <c r="N31" s="155" t="s">
        <v>166</v>
      </c>
      <c r="O31" s="155" t="s">
        <v>167</v>
      </c>
      <c r="P31" s="155" t="s">
        <v>202</v>
      </c>
    </row>
    <row r="32" spans="1:16" ht="20.100000000000001" customHeight="1" x14ac:dyDescent="0.2">
      <c r="A32" s="176" t="s">
        <v>53</v>
      </c>
      <c r="B32" s="8">
        <v>2.02</v>
      </c>
      <c r="C32" s="8">
        <v>-0.13100000000000001</v>
      </c>
      <c r="D32" s="8">
        <v>-0.97399999999999998</v>
      </c>
      <c r="E32" s="176" t="s">
        <v>53</v>
      </c>
      <c r="F32" s="171">
        <f t="shared" si="4"/>
        <v>2.5070000000000001</v>
      </c>
      <c r="G32" s="171">
        <f t="shared" si="5"/>
        <v>0.35599999999999998</v>
      </c>
      <c r="H32" s="171">
        <f t="shared" si="6"/>
        <v>2.5070000000000001</v>
      </c>
      <c r="I32" s="171">
        <f t="shared" si="7"/>
        <v>-0.24299999999999999</v>
      </c>
      <c r="J32" s="155">
        <v>17</v>
      </c>
      <c r="M32" s="155" t="s">
        <v>107</v>
      </c>
      <c r="N32" s="155" t="s">
        <v>168</v>
      </c>
      <c r="O32" s="155" t="s">
        <v>169</v>
      </c>
      <c r="P32" s="155" t="s">
        <v>170</v>
      </c>
    </row>
    <row r="33" spans="1:16" ht="20.100000000000001" customHeight="1" x14ac:dyDescent="0.2">
      <c r="A33" s="176" t="s">
        <v>54</v>
      </c>
      <c r="B33" s="8">
        <v>-2.9260000000000002</v>
      </c>
      <c r="C33" s="8">
        <v>0.48599999999999999</v>
      </c>
      <c r="D33" s="8">
        <v>-0.97199999999999998</v>
      </c>
      <c r="E33" s="176" t="s">
        <v>54</v>
      </c>
      <c r="F33" s="171">
        <f t="shared" si="4"/>
        <v>-2.4400000000000004</v>
      </c>
      <c r="G33" s="171">
        <f t="shared" si="5"/>
        <v>0.97199999999999998</v>
      </c>
      <c r="H33" s="171">
        <f t="shared" si="6"/>
        <v>-2.4400000000000004</v>
      </c>
      <c r="I33" s="171">
        <f t="shared" si="7"/>
        <v>-0.2</v>
      </c>
      <c r="J33" s="155">
        <v>18</v>
      </c>
      <c r="M33" s="155" t="s">
        <v>88</v>
      </c>
      <c r="N33" s="155" t="s">
        <v>203</v>
      </c>
      <c r="O33" s="155" t="s">
        <v>171</v>
      </c>
      <c r="P33" s="155" t="s">
        <v>172</v>
      </c>
    </row>
    <row r="34" spans="1:16" ht="20.100000000000001" customHeight="1" x14ac:dyDescent="0.2">
      <c r="A34" s="176" t="s">
        <v>50</v>
      </c>
      <c r="B34" s="8">
        <v>5.6980000000000004</v>
      </c>
      <c r="C34" s="8">
        <v>0.4</v>
      </c>
      <c r="D34" s="8">
        <v>-0.751</v>
      </c>
      <c r="E34" s="176" t="s">
        <v>50</v>
      </c>
      <c r="F34" s="171">
        <f t="shared" si="4"/>
        <v>6.0735000000000001</v>
      </c>
      <c r="G34" s="171">
        <f t="shared" si="5"/>
        <v>0.77550000000000008</v>
      </c>
      <c r="H34" s="171">
        <f t="shared" si="6"/>
        <v>6.0735000000000001</v>
      </c>
      <c r="I34" s="171">
        <f t="shared" si="7"/>
        <v>0.25700000000000001</v>
      </c>
      <c r="J34" s="155">
        <v>19</v>
      </c>
      <c r="M34" s="155" t="s">
        <v>108</v>
      </c>
      <c r="N34" s="155" t="s">
        <v>204</v>
      </c>
      <c r="O34" s="155" t="s">
        <v>173</v>
      </c>
      <c r="P34" s="155" t="s">
        <v>174</v>
      </c>
    </row>
    <row r="35" spans="1:16" ht="20.100000000000001" customHeight="1" x14ac:dyDescent="0.2">
      <c r="A35" s="176" t="s">
        <v>59</v>
      </c>
      <c r="B35" s="8">
        <v>5.3040000000000003</v>
      </c>
      <c r="C35" s="8">
        <v>-0.51400000000000001</v>
      </c>
      <c r="D35" s="8">
        <v>2.3E-2</v>
      </c>
      <c r="E35" s="176" t="s">
        <v>59</v>
      </c>
      <c r="F35" s="171">
        <f t="shared" si="4"/>
        <v>5.2925000000000004</v>
      </c>
      <c r="G35" s="171">
        <f t="shared" si="5"/>
        <v>-0.52549999999999997</v>
      </c>
      <c r="H35" s="171">
        <f t="shared" si="6"/>
        <v>5.2925000000000004</v>
      </c>
      <c r="I35" s="171">
        <f t="shared" si="7"/>
        <v>-0.13800000000000001</v>
      </c>
      <c r="J35" s="155">
        <v>20</v>
      </c>
      <c r="M35" s="155" t="s">
        <v>90</v>
      </c>
      <c r="N35" s="155" t="s">
        <v>175</v>
      </c>
      <c r="O35" s="155" t="s">
        <v>176</v>
      </c>
      <c r="P35" s="155" t="s">
        <v>177</v>
      </c>
    </row>
    <row r="36" spans="1:16" ht="20.100000000000001" customHeight="1" x14ac:dyDescent="0.2">
      <c r="A36" s="176" t="s">
        <v>61</v>
      </c>
      <c r="B36" s="8">
        <v>1.131</v>
      </c>
      <c r="C36" s="8">
        <v>0.27600000000000002</v>
      </c>
      <c r="D36" s="8">
        <v>1.0680000000000001</v>
      </c>
      <c r="E36" s="176" t="s">
        <v>61</v>
      </c>
      <c r="F36" s="171">
        <f t="shared" si="4"/>
        <v>0.59699999999999998</v>
      </c>
      <c r="G36" s="171">
        <f t="shared" si="5"/>
        <v>-0.25800000000000001</v>
      </c>
      <c r="H36" s="171">
        <f t="shared" si="6"/>
        <v>0.59699999999999998</v>
      </c>
      <c r="I36" s="171">
        <f t="shared" si="7"/>
        <v>0.1095</v>
      </c>
      <c r="J36" s="155">
        <v>21</v>
      </c>
      <c r="M36" s="155" t="s">
        <v>109</v>
      </c>
      <c r="N36" s="155" t="s">
        <v>178</v>
      </c>
      <c r="O36" s="155" t="s">
        <v>179</v>
      </c>
      <c r="P36" s="155" t="s">
        <v>180</v>
      </c>
    </row>
    <row r="37" spans="1:16" ht="20.100000000000001" customHeight="1" x14ac:dyDescent="0.2">
      <c r="A37" s="176" t="s">
        <v>63</v>
      </c>
      <c r="B37" s="8">
        <v>2.254</v>
      </c>
      <c r="C37" s="8">
        <v>-0.219</v>
      </c>
      <c r="D37" s="8">
        <v>0.66800000000000004</v>
      </c>
      <c r="E37" s="176" t="s">
        <v>63</v>
      </c>
      <c r="F37" s="171">
        <f t="shared" si="4"/>
        <v>1.92</v>
      </c>
      <c r="G37" s="171">
        <f t="shared" si="5"/>
        <v>-0.55300000000000005</v>
      </c>
      <c r="H37" s="171">
        <f t="shared" si="6"/>
        <v>1.92</v>
      </c>
      <c r="I37" s="171">
        <f t="shared" si="7"/>
        <v>6.5500000000000003E-2</v>
      </c>
      <c r="J37" s="155">
        <v>22</v>
      </c>
      <c r="M37" s="155" t="s">
        <v>110</v>
      </c>
      <c r="N37" s="155" t="s">
        <v>181</v>
      </c>
      <c r="O37" s="155" t="s">
        <v>182</v>
      </c>
      <c r="P37" s="155" t="s">
        <v>183</v>
      </c>
    </row>
    <row r="38" spans="1:16" ht="20.100000000000001" customHeight="1" x14ac:dyDescent="0.2">
      <c r="A38" s="176" t="s">
        <v>219</v>
      </c>
      <c r="B38" s="8">
        <v>2.02</v>
      </c>
      <c r="C38" s="8">
        <v>-0.13100000000000001</v>
      </c>
      <c r="D38" s="8">
        <v>-0.97399999999999998</v>
      </c>
      <c r="E38" s="176" t="s">
        <v>219</v>
      </c>
      <c r="F38" s="171">
        <f t="shared" si="4"/>
        <v>2.5070000000000001</v>
      </c>
      <c r="G38" s="171">
        <f t="shared" si="5"/>
        <v>0.35599999999999998</v>
      </c>
      <c r="H38" s="171">
        <f t="shared" si="6"/>
        <v>2.5070000000000001</v>
      </c>
      <c r="I38" s="171">
        <f t="shared" si="7"/>
        <v>-5.1999999999999998E-2</v>
      </c>
      <c r="J38" s="155">
        <v>23</v>
      </c>
      <c r="M38" s="155" t="s">
        <v>111</v>
      </c>
      <c r="N38" s="155" t="s">
        <v>184</v>
      </c>
      <c r="O38" s="155" t="s">
        <v>185</v>
      </c>
      <c r="P38" s="155" t="s">
        <v>186</v>
      </c>
    </row>
    <row r="39" spans="1:16" ht="20.100000000000001" customHeight="1" x14ac:dyDescent="0.2">
      <c r="A39" s="176" t="s">
        <v>65</v>
      </c>
      <c r="B39" s="8">
        <v>1.2450000000000001</v>
      </c>
      <c r="C39" s="8">
        <v>0.104</v>
      </c>
      <c r="D39" s="8">
        <v>0.63100000000000001</v>
      </c>
      <c r="E39" s="176" t="s">
        <v>65</v>
      </c>
      <c r="F39" s="171">
        <f t="shared" si="4"/>
        <v>0.9295000000000001</v>
      </c>
      <c r="G39" s="171">
        <f t="shared" si="5"/>
        <v>-0.21150000000000002</v>
      </c>
      <c r="H39" s="171">
        <f t="shared" si="6"/>
        <v>0.9295000000000001</v>
      </c>
      <c r="I39" s="171">
        <f t="shared" si="7"/>
        <v>0.2155</v>
      </c>
      <c r="J39" s="155">
        <v>24</v>
      </c>
    </row>
    <row r="40" spans="1:16" ht="20.100000000000001" customHeight="1" x14ac:dyDescent="0.2">
      <c r="A40" s="176" t="s">
        <v>66</v>
      </c>
      <c r="B40" s="8">
        <v>4.5979999999999999</v>
      </c>
      <c r="C40" s="8">
        <v>-0.43099999999999999</v>
      </c>
      <c r="D40" s="8">
        <v>0.65600000000000003</v>
      </c>
      <c r="E40" s="176" t="s">
        <v>66</v>
      </c>
      <c r="F40" s="171">
        <f t="shared" si="4"/>
        <v>4.2699999999999996</v>
      </c>
      <c r="G40" s="171">
        <f t="shared" si="5"/>
        <v>-0.75900000000000001</v>
      </c>
      <c r="H40" s="171">
        <f t="shared" si="6"/>
        <v>4.2699999999999996</v>
      </c>
      <c r="I40" s="171">
        <f t="shared" si="7"/>
        <v>0</v>
      </c>
      <c r="J40" s="155">
        <v>25</v>
      </c>
      <c r="M40" s="215" t="s">
        <v>209</v>
      </c>
      <c r="N40" s="215"/>
      <c r="O40" s="215"/>
    </row>
    <row r="42" spans="1:16" ht="20.100000000000001" customHeight="1" x14ac:dyDescent="0.2">
      <c r="F42" s="174"/>
      <c r="G42" s="174"/>
      <c r="H42" s="174"/>
      <c r="I42" s="174"/>
    </row>
    <row r="43" spans="1:16" ht="20.100000000000001" customHeight="1" x14ac:dyDescent="0.2">
      <c r="F43" s="174"/>
      <c r="G43" s="182" t="s">
        <v>217</v>
      </c>
      <c r="H43" s="183" t="s">
        <v>216</v>
      </c>
      <c r="I43" s="173" t="s">
        <v>197</v>
      </c>
    </row>
    <row r="44" spans="1:16" ht="20.100000000000001" customHeight="1" x14ac:dyDescent="0.2">
      <c r="G44" s="179" t="s">
        <v>158</v>
      </c>
      <c r="H44" s="155">
        <v>15</v>
      </c>
      <c r="I44" s="177">
        <v>-7.2965</v>
      </c>
    </row>
    <row r="45" spans="1:16" ht="20.100000000000001" customHeight="1" x14ac:dyDescent="0.2">
      <c r="G45" s="179" t="s">
        <v>36</v>
      </c>
      <c r="H45" s="155">
        <v>9</v>
      </c>
      <c r="I45" s="177">
        <v>-6.4750000000000005</v>
      </c>
    </row>
    <row r="46" spans="1:16" ht="20.100000000000001" customHeight="1" x14ac:dyDescent="0.2">
      <c r="G46" s="179" t="s">
        <v>48</v>
      </c>
      <c r="H46" s="155">
        <v>14</v>
      </c>
      <c r="I46" s="177">
        <v>-6.2164999999999999</v>
      </c>
    </row>
    <row r="47" spans="1:16" ht="20.100000000000001" customHeight="1" x14ac:dyDescent="0.2">
      <c r="G47" s="179" t="s">
        <v>34</v>
      </c>
      <c r="H47" s="155">
        <v>7</v>
      </c>
      <c r="I47" s="177">
        <v>-5.6274999999999995</v>
      </c>
    </row>
    <row r="48" spans="1:16" ht="20.100000000000001" customHeight="1" x14ac:dyDescent="0.2">
      <c r="G48" s="179" t="s">
        <v>33</v>
      </c>
      <c r="H48" s="155">
        <v>6</v>
      </c>
      <c r="I48" s="177">
        <v>-4.6364999999999998</v>
      </c>
    </row>
    <row r="49" spans="7:9" ht="20.100000000000001" customHeight="1" x14ac:dyDescent="0.2">
      <c r="G49" s="179" t="s">
        <v>42</v>
      </c>
      <c r="H49" s="155">
        <v>12</v>
      </c>
      <c r="I49" s="177">
        <v>-3.7835000000000001</v>
      </c>
    </row>
    <row r="50" spans="7:9" ht="20.100000000000001" customHeight="1" x14ac:dyDescent="0.2">
      <c r="G50" s="179" t="s">
        <v>35</v>
      </c>
      <c r="H50" s="155">
        <v>8</v>
      </c>
      <c r="I50" s="177">
        <v>-2.7155000000000005</v>
      </c>
    </row>
    <row r="51" spans="7:9" ht="20.100000000000001" customHeight="1" x14ac:dyDescent="0.2">
      <c r="G51" s="179" t="s">
        <v>54</v>
      </c>
      <c r="H51" s="155">
        <v>18</v>
      </c>
      <c r="I51" s="177">
        <v>-2.4400000000000004</v>
      </c>
    </row>
    <row r="52" spans="7:9" ht="20.100000000000001" customHeight="1" x14ac:dyDescent="0.2">
      <c r="G52" s="179" t="s">
        <v>43</v>
      </c>
      <c r="H52" s="155">
        <v>13</v>
      </c>
      <c r="I52" s="177">
        <v>-2.1935000000000002</v>
      </c>
    </row>
    <row r="53" spans="7:9" ht="20.100000000000001" customHeight="1" x14ac:dyDescent="0.2">
      <c r="G53" s="179" t="s">
        <v>31</v>
      </c>
      <c r="H53" s="155">
        <v>4</v>
      </c>
      <c r="I53" s="177">
        <v>-1.3245</v>
      </c>
    </row>
    <row r="54" spans="7:9" ht="20.100000000000001" customHeight="1" x14ac:dyDescent="0.2">
      <c r="G54" s="179" t="s">
        <v>30</v>
      </c>
      <c r="H54" s="155">
        <v>3</v>
      </c>
      <c r="I54" s="177">
        <v>-1.0309999999999999</v>
      </c>
    </row>
    <row r="55" spans="7:9" ht="20.100000000000001" customHeight="1" x14ac:dyDescent="0.2">
      <c r="G55" s="179" t="s">
        <v>41</v>
      </c>
      <c r="H55" s="155">
        <v>11</v>
      </c>
      <c r="I55" s="177">
        <v>-0.82599999999999996</v>
      </c>
    </row>
    <row r="56" spans="7:9" ht="20.100000000000001" customHeight="1" x14ac:dyDescent="0.2">
      <c r="G56" s="179" t="s">
        <v>29</v>
      </c>
      <c r="H56" s="155">
        <v>2</v>
      </c>
      <c r="I56" s="177">
        <v>-0.69099999999999995</v>
      </c>
    </row>
    <row r="57" spans="7:9" ht="20.100000000000001" customHeight="1" x14ac:dyDescent="0.2">
      <c r="G57" s="179" t="s">
        <v>61</v>
      </c>
      <c r="H57" s="155">
        <v>21</v>
      </c>
      <c r="I57" s="177">
        <v>0.59699999999999998</v>
      </c>
    </row>
    <row r="58" spans="7:9" ht="20.100000000000001" customHeight="1" x14ac:dyDescent="0.2">
      <c r="G58" s="179" t="s">
        <v>28</v>
      </c>
      <c r="H58" s="155">
        <v>1</v>
      </c>
      <c r="I58" s="177">
        <v>0.8175</v>
      </c>
    </row>
    <row r="59" spans="7:9" ht="20.100000000000001" customHeight="1" x14ac:dyDescent="0.2">
      <c r="G59" s="179" t="s">
        <v>65</v>
      </c>
      <c r="H59" s="155">
        <v>24</v>
      </c>
      <c r="I59" s="177">
        <v>0.9295000000000001</v>
      </c>
    </row>
    <row r="60" spans="7:9" ht="20.100000000000001" customHeight="1" x14ac:dyDescent="0.2">
      <c r="G60" s="179" t="s">
        <v>52</v>
      </c>
      <c r="H60" s="155">
        <v>16</v>
      </c>
      <c r="I60" s="177">
        <v>1.3435000000000001</v>
      </c>
    </row>
    <row r="61" spans="7:9" ht="20.100000000000001" customHeight="1" x14ac:dyDescent="0.2">
      <c r="G61" s="179" t="s">
        <v>63</v>
      </c>
      <c r="H61" s="155">
        <v>22</v>
      </c>
      <c r="I61" s="177">
        <v>1.92</v>
      </c>
    </row>
    <row r="62" spans="7:9" ht="20.100000000000001" customHeight="1" x14ac:dyDescent="0.2">
      <c r="G62" s="179" t="s">
        <v>53</v>
      </c>
      <c r="H62" s="155">
        <v>17</v>
      </c>
      <c r="I62" s="177">
        <v>2.5070000000000001</v>
      </c>
    </row>
    <row r="63" spans="7:9" ht="20.100000000000001" customHeight="1" x14ac:dyDescent="0.2">
      <c r="G63" s="179" t="s">
        <v>219</v>
      </c>
      <c r="H63" s="155">
        <v>23</v>
      </c>
      <c r="I63" s="177">
        <v>2.5070000000000001</v>
      </c>
    </row>
    <row r="64" spans="7:9" ht="20.100000000000001" customHeight="1" x14ac:dyDescent="0.2">
      <c r="G64" s="179" t="s">
        <v>66</v>
      </c>
      <c r="H64" s="155">
        <v>25</v>
      </c>
      <c r="I64" s="177">
        <v>4.2699999999999996</v>
      </c>
    </row>
    <row r="65" spans="2:9" ht="20.100000000000001" customHeight="1" x14ac:dyDescent="0.2">
      <c r="B65" s="155" t="s">
        <v>210</v>
      </c>
      <c r="C65" s="185" t="s">
        <v>215</v>
      </c>
      <c r="D65" s="185"/>
      <c r="E65" s="185"/>
      <c r="G65" s="179" t="s">
        <v>59</v>
      </c>
      <c r="H65" s="155">
        <v>20</v>
      </c>
      <c r="I65" s="177">
        <v>5.2925000000000004</v>
      </c>
    </row>
    <row r="66" spans="2:9" ht="20.100000000000001" customHeight="1" x14ac:dyDescent="0.2">
      <c r="B66" s="155" t="s">
        <v>211</v>
      </c>
      <c r="C66" s="185" t="s">
        <v>214</v>
      </c>
      <c r="D66" s="185"/>
      <c r="E66" s="185"/>
      <c r="G66" s="179" t="s">
        <v>50</v>
      </c>
      <c r="H66" s="155">
        <v>19</v>
      </c>
      <c r="I66" s="177">
        <v>6.0735000000000001</v>
      </c>
    </row>
    <row r="67" spans="2:9" ht="20.100000000000001" customHeight="1" x14ac:dyDescent="0.2">
      <c r="B67" s="155" t="s">
        <v>212</v>
      </c>
      <c r="C67" s="185" t="s">
        <v>213</v>
      </c>
      <c r="D67" s="185"/>
      <c r="E67" s="185"/>
      <c r="G67" s="179" t="s">
        <v>40</v>
      </c>
      <c r="H67" s="155">
        <v>10</v>
      </c>
      <c r="I67" s="177">
        <v>7.8149999999999995</v>
      </c>
    </row>
    <row r="68" spans="2:9" ht="20.100000000000001" customHeight="1" x14ac:dyDescent="0.2">
      <c r="G68" s="180" t="s">
        <v>32</v>
      </c>
      <c r="H68" s="181">
        <v>5</v>
      </c>
      <c r="I68" s="178">
        <v>11.182500000000001</v>
      </c>
    </row>
  </sheetData>
  <sortState xmlns:xlrd2="http://schemas.microsoft.com/office/spreadsheetml/2017/richdata2" ref="G44:I68">
    <sortCondition ref="I44:I68"/>
  </sortState>
  <mergeCells count="12">
    <mergeCell ref="B2:D2"/>
    <mergeCell ref="B1:E1"/>
    <mergeCell ref="A14:D14"/>
    <mergeCell ref="G1:P1"/>
    <mergeCell ref="M25:O25"/>
    <mergeCell ref="C67:E67"/>
    <mergeCell ref="C65:E65"/>
    <mergeCell ref="C66:E66"/>
    <mergeCell ref="M23:O23"/>
    <mergeCell ref="M24:O24"/>
    <mergeCell ref="M40:O40"/>
    <mergeCell ref="M29:P2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Dane</vt:lpstr>
      <vt:lpstr>Dane po transformacji i odbieg</vt:lpstr>
      <vt:lpstr>Diagram Czekanowskiego</vt:lpstr>
      <vt:lpstr>Diagram Wiązkowy</vt:lpstr>
      <vt:lpstr>Autoskalowanie.Regresja liniowa</vt:lpstr>
      <vt:lpstr>Diagram Czekanowskiego obiektów</vt:lpstr>
      <vt:lpstr>PCA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Latt</cp:lastModifiedBy>
  <dcterms:modified xsi:type="dcterms:W3CDTF">2024-06-08T22:38:00Z</dcterms:modified>
</cp:coreProperties>
</file>