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15"/>
  </bookViews>
  <sheets>
    <sheet name="启始页" sheetId="1" r:id="rId1"/>
    <sheet name="首页" sheetId="2" r:id="rId2"/>
    <sheet name="题目" sheetId="3" r:id="rId3"/>
    <sheet name="结果" sheetId="4" r:id="rId4"/>
    <sheet name="学科兴趣" sheetId="5" r:id="rId5"/>
    <sheet name="学科兴趣结果" sheetId="6" r:id="rId6"/>
    <sheet name="职业倾向数据" sheetId="7" r:id="rId7"/>
    <sheet name="学科兴趣数据" sheetId="8" r:id="rId8"/>
    <sheet name="类型详解" sheetId="9" state="hidden" r:id="rId9"/>
    <sheet name="职业代码" sheetId="10" state="hidden" r:id="rId10"/>
  </sheets>
  <definedNames>
    <definedName name="_GoBack" localSheetId="9">职业代码!$B$26</definedName>
    <definedName name="_xlnm.Print_Titles" localSheetId="4">学科兴趣!$1:$5</definedName>
  </definedNames>
  <calcPr calcId="144525"/>
</workbook>
</file>

<file path=xl/sharedStrings.xml><?xml version="1.0" encoding="utf-8"?>
<sst xmlns="http://schemas.openxmlformats.org/spreadsheetml/2006/main" count="709">
  <si>
    <t>欢迎使用</t>
  </si>
  <si>
    <t>Excel《霍兰德职业兴趣测试》系统</t>
  </si>
  <si>
    <r>
      <rPr>
        <sz val="11"/>
        <color theme="1"/>
        <rFont val="宋体"/>
        <charset val="134"/>
      </rPr>
      <t xml:space="preserve">    </t>
    </r>
    <r>
      <rPr>
        <sz val="11"/>
        <color theme="1"/>
        <rFont val="宋体"/>
        <charset val="134"/>
      </rPr>
      <t>约翰·霍兰德（</t>
    </r>
    <r>
      <rPr>
        <sz val="11"/>
        <color theme="1"/>
        <rFont val="宋体"/>
        <charset val="134"/>
      </rPr>
      <t>JohnHolland</t>
    </r>
    <r>
      <rPr>
        <sz val="11"/>
        <color theme="1"/>
        <rFont val="宋体"/>
        <charset val="134"/>
      </rPr>
      <t>）是美国约翰·霍普金斯大学心理学教授，美国著名的职业指导专家。他于</t>
    </r>
    <r>
      <rPr>
        <sz val="11"/>
        <color theme="1"/>
        <rFont val="宋体"/>
        <charset val="134"/>
      </rPr>
      <t>1959</t>
    </r>
    <r>
      <rPr>
        <sz val="11"/>
        <color theme="1"/>
        <rFont val="宋体"/>
        <charset val="134"/>
      </rPr>
      <t>年提出了具有广泛社会影响的职业兴趣理论。认为人的人格类型、兴趣与职业密切相关，兴趣是人们活动的巨大动力，凡是具有职业兴趣的职业，都可以提高人们的积极性，促使人们积极地、愉快地从事该职业，且职业兴趣与人格之间存在很高的相关性。</t>
    </r>
    <r>
      <rPr>
        <sz val="11"/>
        <color theme="1"/>
        <rFont val="宋体"/>
        <charset val="134"/>
      </rPr>
      <t>Holland</t>
    </r>
    <r>
      <rPr>
        <sz val="11"/>
        <color theme="1"/>
        <rFont val="宋体"/>
        <charset val="134"/>
      </rPr>
      <t>认为人格可分为现实型、研究型、艺术型、社会型、企业型和常规型六种类型。</t>
    </r>
  </si>
  <si>
    <r>
      <rPr>
        <sz val="10.5"/>
        <color theme="1"/>
        <rFont val="Times New Roman"/>
        <charset val="134"/>
      </rPr>
      <t xml:space="preserve">        </t>
    </r>
    <r>
      <rPr>
        <sz val="10.5"/>
        <color theme="1"/>
        <rFont val="宋体"/>
        <charset val="134"/>
      </rPr>
      <t>职业兴趣是职业选择中最重要的因素，是一种强大的精神力量职业兴趣测验可以帮助个体明确自己的主观性向，从而能得到最适宜的活动情境并给予最大的能力投入。根据霍兰德的理论，个体的职业兴趣可以影响其对职业的满意程度当个体所从事的职业和他的职业兴趣类型匹配时，个体的潜在能力可以得到最彻底的发挥，工作业绩也更加显著。在职业兴趣测试的帮助下，个体可以清晰地了解自己的职业兴趣类型和在职业选择中的主观倾向，从而在纷繁的职业机会中找寻到最适合自己的职业，避免职业选择中的盲目行为。尤其是对于大学生和缺乏职业经验的人，霍兰德的职业兴趣理论可以帮助做好职业选择和职业设计，成功地进行职业调整，从整体上认识和发展自己的职业能力，职业兴趣也是职业成功的重要因素。</t>
    </r>
  </si>
  <si>
    <t>进入测试&gt;&gt;&gt;&gt;&gt;</t>
  </si>
  <si>
    <t>更多测试题&gt;&gt;&gt;&gt;</t>
  </si>
  <si>
    <t>霍兰德职业兴趣测试题</t>
  </si>
  <si>
    <t xml:space="preserve">        这份量表旨在帮助了解你的职业生涯兴趣，预示你可能的职业发展方向，本量表不是在测试你的能力。 不必仔细推敲，答案没有好坏、对错之分，回答是或否即可。</t>
  </si>
  <si>
    <t xml:space="preserve">       注意：请按第一印象最快的选择。</t>
  </si>
  <si>
    <t>确认开始&gt;&gt;&gt;&gt;&gt;</t>
  </si>
  <si>
    <t>霍兰德职业兴趣测试</t>
  </si>
  <si>
    <r>
      <rPr>
        <b/>
        <sz val="12"/>
        <color rgb="FF00B050"/>
        <rFont val="Calibri"/>
        <charset val="134"/>
      </rPr>
      <t xml:space="preserve">        </t>
    </r>
    <r>
      <rPr>
        <b/>
        <sz val="12"/>
        <color rgb="FF00B050"/>
        <rFont val="宋体"/>
        <charset val="134"/>
      </rPr>
      <t>这份量表旨在帮助了解你的生涯兴趣，预示你可能的生涯发展方向，本量表不是在测试你的能力。</t>
    </r>
    <r>
      <rPr>
        <b/>
        <sz val="12"/>
        <color rgb="FF00B050"/>
        <rFont val="Calibri"/>
        <charset val="134"/>
      </rPr>
      <t xml:space="preserve"> </t>
    </r>
    <r>
      <rPr>
        <b/>
        <sz val="12"/>
        <color rgb="FF00B050"/>
        <rFont val="宋体"/>
        <charset val="134"/>
      </rPr>
      <t>不必仔细推敲，答案没有好坏、对错之分，回答是或否即可。</t>
    </r>
  </si>
  <si>
    <t>序号</t>
  </si>
  <si>
    <t>题目</t>
  </si>
  <si>
    <t>您的选择</t>
  </si>
  <si>
    <t>1、</t>
  </si>
  <si>
    <t>我喜欢把一件事情做完后再做另一件事。</t>
  </si>
  <si>
    <t>S</t>
  </si>
  <si>
    <t>2、</t>
  </si>
  <si>
    <t>在学习和生活中我喜欢独自筹划，不愿受别人干涉。</t>
  </si>
  <si>
    <t>R</t>
  </si>
  <si>
    <t>C</t>
  </si>
  <si>
    <t>3、</t>
  </si>
  <si>
    <t>在集体讨论中，我往往保持沉默。</t>
  </si>
  <si>
    <t>E</t>
  </si>
  <si>
    <t>4、</t>
  </si>
  <si>
    <t>我喜欢做戏剧、音乐、歌舞、新闻采访等方面的工作。</t>
  </si>
  <si>
    <t>A</t>
  </si>
  <si>
    <t>I</t>
  </si>
  <si>
    <t>5、</t>
  </si>
  <si>
    <t>每次写信我都一挥而就，不再重复。</t>
  </si>
  <si>
    <t>6、</t>
  </si>
  <si>
    <t>我经常不停地思考某一问题，直到想出正确的答案。</t>
  </si>
  <si>
    <t>7、</t>
  </si>
  <si>
    <t>对别人借我的和我借别人的东西，我都能记得很清楚。</t>
  </si>
  <si>
    <t>8、</t>
  </si>
  <si>
    <t>我喜欢抽象思维的工作，不喜欢动手的工作。</t>
  </si>
  <si>
    <t>9、</t>
  </si>
  <si>
    <t>我喜欢成为人们注意的焦点。</t>
  </si>
  <si>
    <t>10、</t>
  </si>
  <si>
    <t>我喜欢不时地夸耀一下自己取得的好成绩。</t>
  </si>
  <si>
    <t>11、</t>
  </si>
  <si>
    <t>我曾经渴望有机会参加探险活动。</t>
  </si>
  <si>
    <t>12、</t>
  </si>
  <si>
    <t>当我一个独处时，会感到更愉快。</t>
  </si>
  <si>
    <t>13、</t>
  </si>
  <si>
    <t>我喜欢在做事情前，对此事情做出细致的安排。</t>
  </si>
  <si>
    <t>14、</t>
  </si>
  <si>
    <t>我讨厌修理自行车、电器一类的工作。</t>
  </si>
  <si>
    <t>15、</t>
  </si>
  <si>
    <t>我喜欢参加各种各样的聚会。</t>
  </si>
  <si>
    <t>16、</t>
  </si>
  <si>
    <t>对于将来的职业，我愿意从事虽然工资少、但是比较稳定的职业。</t>
  </si>
  <si>
    <t>17、</t>
  </si>
  <si>
    <t>我常陶醉于音乐之中。</t>
  </si>
  <si>
    <t>18、</t>
  </si>
  <si>
    <t>我办事很少思前想后。</t>
  </si>
  <si>
    <t>19、</t>
  </si>
  <si>
    <t>我在处理学校事务时，经常请示老师。</t>
  </si>
  <si>
    <t>20、</t>
  </si>
  <si>
    <t>比较普通的游戏，我更喜欢需要动脑子的智力游戏。</t>
  </si>
  <si>
    <t>21、</t>
  </si>
  <si>
    <t>我很难做那种需要持续集中注意力的工作。</t>
  </si>
  <si>
    <t>22、</t>
  </si>
  <si>
    <t>我喜欢亲自动手制作一些东西，从中得到乐趣。</t>
  </si>
  <si>
    <t>23、</t>
  </si>
  <si>
    <t>我的动手能力很差。</t>
  </si>
  <si>
    <t>24、</t>
  </si>
  <si>
    <t>和不熟悉的人交谈对我来说毫不困难。</t>
  </si>
  <si>
    <t>25、</t>
  </si>
  <si>
    <t>和别人谈判时，我总是很容易放弃自己的观点。</t>
  </si>
  <si>
    <t>26、</t>
  </si>
  <si>
    <t>我很容易结识同性别的朋友。</t>
  </si>
  <si>
    <t>27、</t>
  </si>
  <si>
    <t>我做人做事，既不悲观，也不偏激，基本属于不偏不倚的温和型。</t>
  </si>
  <si>
    <t>28、</t>
  </si>
  <si>
    <t>当我开始做一件事情后，即使碰到再多的困难，我也要执著地干下去。</t>
  </si>
  <si>
    <t>29、</t>
  </si>
  <si>
    <t>我是一个沉静而不易动感情的人。</t>
  </si>
  <si>
    <t>30、</t>
  </si>
  <si>
    <t>做事情时，我喜欢避免干扰。</t>
  </si>
  <si>
    <t>31、</t>
  </si>
  <si>
    <t>我的理想是当一名科学家。</t>
  </si>
  <si>
    <t>32、</t>
  </si>
  <si>
    <t>与言情小说相比，我更喜欢推理小说。</t>
  </si>
  <si>
    <t>33、</t>
  </si>
  <si>
    <t>有些人太霸道，有时明明知道他们是对的，也要和他们对着干。</t>
  </si>
  <si>
    <t>34、</t>
  </si>
  <si>
    <t>我爱幻想。</t>
  </si>
  <si>
    <t>35、</t>
  </si>
  <si>
    <t>我总是主动地向别人提出自己的建议。</t>
  </si>
  <si>
    <t>36、</t>
  </si>
  <si>
    <t>我喜欢使用钳子、改锥、螺丝刀、万用表一类的工具。</t>
  </si>
  <si>
    <t>37、</t>
  </si>
  <si>
    <t>我乐于助人。</t>
  </si>
  <si>
    <t>38、</t>
  </si>
  <si>
    <t>我比赛或玩游戏，爱与别人打赌。</t>
  </si>
  <si>
    <t>39、</t>
  </si>
  <si>
    <t>我乐于按父母和老师的安排去做事。</t>
  </si>
  <si>
    <t>40、</t>
  </si>
  <si>
    <t>如果将来参加工作，我希望能经常换不同的工作来做。</t>
  </si>
  <si>
    <t>41、</t>
  </si>
  <si>
    <t>与朋友约好了见面，我总留有充裕的时间以免迟到。</t>
  </si>
  <si>
    <t>42、</t>
  </si>
  <si>
    <t>我喜欢阅读自然科学方面的书籍和杂志。</t>
  </si>
  <si>
    <t>43、</t>
  </si>
  <si>
    <t>如果掌握一门精湛的手艺并能以此赚到足够多的钱，我会感到满足。</t>
  </si>
  <si>
    <t>44、</t>
  </si>
  <si>
    <t>我对汽车司机、汽车修理工职业比较感兴趣。</t>
  </si>
  <si>
    <t>45、</t>
  </si>
  <si>
    <r>
      <rPr>
        <sz val="12"/>
        <color rgb="FF111111"/>
        <rFont val="宋体"/>
        <charset val="134"/>
      </rPr>
      <t>听别人谈</t>
    </r>
    <r>
      <rPr>
        <sz val="12"/>
        <color rgb="FF111111"/>
        <rFont val="Arial"/>
        <charset val="134"/>
      </rPr>
      <t>“</t>
    </r>
    <r>
      <rPr>
        <sz val="12"/>
        <color rgb="FF111111"/>
        <rFont val="宋体"/>
        <charset val="134"/>
      </rPr>
      <t>家中被盗</t>
    </r>
    <r>
      <rPr>
        <sz val="12"/>
        <color rgb="FF111111"/>
        <rFont val="Arial"/>
        <charset val="134"/>
      </rPr>
      <t>”</t>
    </r>
    <r>
      <rPr>
        <sz val="12"/>
        <color rgb="FF111111"/>
        <rFont val="宋体"/>
        <charset val="134"/>
      </rPr>
      <t>一类的事，很难引起我的同情。</t>
    </r>
  </si>
  <si>
    <t>46、</t>
  </si>
  <si>
    <t>如果待遇相同，我宁愿当商品推销员，而不愿当图书管理员。</t>
  </si>
  <si>
    <t>47、</t>
  </si>
  <si>
    <t>我讨厌跟各类机械打交道。</t>
  </si>
  <si>
    <t>48、</t>
  </si>
  <si>
    <t>我小时候经常把玩具拆开，把里面看个究竟。</t>
  </si>
  <si>
    <t>49、</t>
  </si>
  <si>
    <t>当接受新任务后，我喜欢以自己的独特方法去完成它。</t>
  </si>
  <si>
    <t>50、</t>
  </si>
  <si>
    <t>我有文艺方面的天赋。</t>
  </si>
  <si>
    <t>51、</t>
  </si>
  <si>
    <t>我喜欢把一切安排得整整齐齐、井井有条。</t>
  </si>
  <si>
    <t>52、</t>
  </si>
  <si>
    <t>我喜欢作一名教师。</t>
  </si>
  <si>
    <t>53、</t>
  </si>
  <si>
    <t>和一群人在一起的时候，我总想不出恰当的话来说。</t>
  </si>
  <si>
    <t>54、</t>
  </si>
  <si>
    <t>看情感影片时，我常禁不住眼圈红润。</t>
  </si>
  <si>
    <t>55、</t>
  </si>
  <si>
    <t>我讨厌学数学。</t>
  </si>
  <si>
    <t>56、</t>
  </si>
  <si>
    <t>假如将我单独一个人留着实验室做实验，我会感到非常无聊。</t>
  </si>
  <si>
    <t>57、</t>
  </si>
  <si>
    <t>对于急躁、爱发脾气的人，我仍能以礼相待。</t>
  </si>
  <si>
    <t>58、</t>
  </si>
  <si>
    <t>遇到难解答的题目时，我常常中途放弃，改做下一题。</t>
  </si>
  <si>
    <t>59、</t>
  </si>
  <si>
    <t>大家公认我是一名勤劳踏实的、愿为大家服务的人。</t>
  </si>
  <si>
    <t>60、</t>
  </si>
  <si>
    <t>我喜欢协助老师做班级管理类的工作。</t>
  </si>
  <si>
    <t>霍兰德职业测试结果</t>
  </si>
  <si>
    <t>传统型</t>
  </si>
  <si>
    <t>现实型</t>
  </si>
  <si>
    <t>研究型</t>
  </si>
  <si>
    <t>企业型</t>
  </si>
  <si>
    <t>社会型</t>
  </si>
  <si>
    <t>艺术型</t>
  </si>
  <si>
    <t>学科兴趣测验</t>
  </si>
  <si>
    <r>
      <rPr>
        <sz val="10"/>
        <color rgb="FF0000FF"/>
        <rFont val="Simsun"/>
        <charset val="134"/>
      </rPr>
      <t> </t>
    </r>
    <r>
      <rPr>
        <sz val="10"/>
        <color rgb="FF0000FF"/>
        <rFont val="宋体"/>
        <charset val="134"/>
      </rPr>
      <t>下面有</t>
    </r>
    <r>
      <rPr>
        <sz val="10"/>
        <color rgb="FF0000FF"/>
        <rFont val="Simsun"/>
        <charset val="134"/>
      </rPr>
      <t>108</t>
    </r>
    <r>
      <rPr>
        <sz val="10"/>
        <color rgb="FF0000FF"/>
        <rFont val="宋体"/>
        <charset val="134"/>
      </rPr>
      <t>道题，每道题都有</t>
    </r>
    <r>
      <rPr>
        <sz val="10"/>
        <color rgb="FF0000FF"/>
        <rFont val="Simsun"/>
        <charset val="134"/>
      </rPr>
      <t>5</t>
    </r>
    <r>
      <rPr>
        <sz val="10"/>
        <color rgb="FF0000FF"/>
        <rFont val="宋体"/>
        <charset val="134"/>
      </rPr>
      <t>个备选答案，请根据自己的实际情况，在题目后面选择相应字母，每题只能选择一个答案。</t>
    </r>
  </si>
  <si>
    <t>A——很符合自己的情况；B——比较符合自己的情况；C——很难说；D——较不符合自己的情况；E——很不符合自己的情况。</t>
  </si>
  <si>
    <t>学科</t>
  </si>
  <si>
    <t>研究地球各大洲的地理概况。</t>
  </si>
  <si>
    <t>地理</t>
  </si>
  <si>
    <t>经常查阅外文辞典。</t>
  </si>
  <si>
    <t>外语</t>
  </si>
  <si>
    <t>特别爱看历史题材的电影和戏剧。</t>
  </si>
  <si>
    <t>历史</t>
  </si>
  <si>
    <t>爱与数目字打交道。</t>
  </si>
  <si>
    <t>数学</t>
  </si>
  <si>
    <t>喜欢分析经济与政治的关系。</t>
  </si>
  <si>
    <t>政治</t>
  </si>
  <si>
    <t>认真看世界名画集。</t>
  </si>
  <si>
    <t>美术</t>
  </si>
  <si>
    <t>喜欢收集好的录音带或唱片。</t>
  </si>
  <si>
    <t>音乐</t>
  </si>
  <si>
    <t>自觉写日记。</t>
  </si>
  <si>
    <t>语文</t>
  </si>
  <si>
    <t>羡慕用动物做实验的生物学家们。</t>
  </si>
  <si>
    <t>生物</t>
  </si>
  <si>
    <t>阅读介绍牛顿、爱因斯坦、普朗克、薛定谔等物理学家的文章、书籍。</t>
  </si>
  <si>
    <t>物理</t>
  </si>
  <si>
    <t>熟悉国际体育比赛的成绩记录。</t>
  </si>
  <si>
    <t>体育</t>
  </si>
  <si>
    <t>设法在家里搞些化学小实验。</t>
  </si>
  <si>
    <t>化学</t>
  </si>
  <si>
    <t>阅读有关著名地理学家生活与活动的文章。</t>
  </si>
  <si>
    <t>注意看外文广告或说明书。</t>
  </si>
  <si>
    <t>如果组织历史兴趣小组，我一定积极报名。</t>
  </si>
  <si>
    <t>阅读趣味数学的书籍。</t>
  </si>
  <si>
    <t>关心社会时事新闻。</t>
  </si>
  <si>
    <t>了解各种美术流派的特点。</t>
  </si>
  <si>
    <t>会演奏乐器。</t>
  </si>
  <si>
    <t>对世界文学名著爱不释手。</t>
  </si>
  <si>
    <t>经常观察动、植物的生长变化。</t>
  </si>
  <si>
    <t>关心物理学方面的新发现。</t>
  </si>
  <si>
    <t>深夜的体育比赛实况转播也不愿放过。</t>
  </si>
  <si>
    <t>一上化学实验课就特别高兴。</t>
  </si>
  <si>
    <t>阅读有关世界各国的文化、经济、国家制度方面的书籍。</t>
  </si>
  <si>
    <t>喜欢收集一些外国的纪念品。</t>
  </si>
  <si>
    <t>常用历史上发生过的事情与现实做对照。</t>
  </si>
  <si>
    <t>很佩服那些数学上有造诣的人。</t>
  </si>
  <si>
    <t>阅读政治性的理论读物。</t>
  </si>
  <si>
    <t>知道不少世界著名作家的名字、作品和生平。</t>
  </si>
  <si>
    <t>很喜欢随音乐打节拍。</t>
  </si>
  <si>
    <t>善于查阅字典、辞典和文学资料索引。</t>
  </si>
  <si>
    <t>读有关著名生物学家生平的书籍。</t>
  </si>
  <si>
    <t>认为物理学对推动科学技术发展起重要作用。</t>
  </si>
  <si>
    <t>喜欢参加某些项目的体育活动和竞赛。</t>
  </si>
  <si>
    <t>常把化学知识用到日常生活中。</t>
  </si>
  <si>
    <t>对大自然和自己故乡的地理环境很感兴趣。</t>
  </si>
  <si>
    <t>读初级外文小说。</t>
  </si>
  <si>
    <t>爱收听广播中的历史故事。</t>
  </si>
  <si>
    <t>爱做数学图形、图表。</t>
  </si>
  <si>
    <t>愿与别人就不同价值观或他人的赞扬。</t>
  </si>
  <si>
    <t>自己画的图画常得到老师或他人的赞扬。</t>
  </si>
  <si>
    <t>能熟练地阅读乐谱。</t>
  </si>
  <si>
    <t>常校正别人讲话中的不正确语音和错别字。</t>
  </si>
  <si>
    <t>熟悉若干冲动、植物的生活、生长习性和特点。</t>
  </si>
  <si>
    <t>喜欢用力学知识去解释生活中的实际问题。</t>
  </si>
  <si>
    <t>喜欢能受到体育教师或教练的专门指导。</t>
  </si>
  <si>
    <t>想知道化学学科的发展史和发展趋势。</t>
  </si>
  <si>
    <t>常读地质勘探方面的文艺作品或科普读物。</t>
  </si>
  <si>
    <t>常购买外语课外读物。</t>
  </si>
  <si>
    <t>能正确说出重大历史事件发生的时间。</t>
  </si>
  <si>
    <t>当一项任务要用到数学知识时，马上就会产生兴趣。</t>
  </si>
  <si>
    <t>社会上发生的事件会引起自己的深思，有自己的见解。</t>
  </si>
  <si>
    <t>常在手边的本子上信手画一些漫画或其他小图案。</t>
  </si>
  <si>
    <t>有十分喜爱的歌曲和乐曲。</t>
  </si>
  <si>
    <t>尝试着写些故事或诗歌。</t>
  </si>
  <si>
    <t>爱做一些解剖生物的小实验。</t>
  </si>
  <si>
    <t>很重视物理实验课。</t>
  </si>
  <si>
    <t>熟悉我国的著名运动员的名字和专长。</t>
  </si>
  <si>
    <t>认为从事化学分析工作很有意思。</t>
  </si>
  <si>
    <t>61、</t>
  </si>
  <si>
    <t>在旅行中对地形地貌很感兴趣。</t>
  </si>
  <si>
    <t>62、</t>
  </si>
  <si>
    <t>爱看外国原版影片，认为对提高外语水平很有帮助。</t>
  </si>
  <si>
    <t>63、</t>
  </si>
  <si>
    <t>游览名胜古迹时，常仔细研究那些碑文、古诗而留连忘返。</t>
  </si>
  <si>
    <t>64、</t>
  </si>
  <si>
    <t>曾是或很想成为数学兴趣小组的成员。</t>
  </si>
  <si>
    <t>65、</t>
  </si>
  <si>
    <t>常看有关各国政治的评论文章。</t>
  </si>
  <si>
    <t>66、</t>
  </si>
  <si>
    <t>爱看美术展览。</t>
  </si>
  <si>
    <t>67、</t>
  </si>
  <si>
    <t>会定乐器的音调。</t>
  </si>
  <si>
    <t>68、</t>
  </si>
  <si>
    <t>能正确地分析同义词和反义词。</t>
  </si>
  <si>
    <t>69、</t>
  </si>
  <si>
    <t>喜欢采集一些昆虫和植物标本。</t>
  </si>
  <si>
    <t>70、</t>
  </si>
  <si>
    <t>很愿意参加物理知识竞赛。</t>
  </si>
  <si>
    <t>71、</t>
  </si>
  <si>
    <t>重视日常的体育锻炼。</t>
  </si>
  <si>
    <t>72、</t>
  </si>
  <si>
    <t>遇到化学难题，哪怕花很长时间也要把它解出来。</t>
  </si>
  <si>
    <t>73、</t>
  </si>
  <si>
    <t>能正确地说明地球的经纬度对时差的影响。</t>
  </si>
  <si>
    <t>74、</t>
  </si>
  <si>
    <t>常收听外语广播讲座。</t>
  </si>
  <si>
    <t>75、</t>
  </si>
  <si>
    <t>关心世界各国的历史。</t>
  </si>
  <si>
    <t>76、</t>
  </si>
  <si>
    <t>爱解复杂的动脑筋的数学题。</t>
  </si>
  <si>
    <t>77、</t>
  </si>
  <si>
    <t>对哲学问题感兴趣。</t>
  </si>
  <si>
    <t>78、</t>
  </si>
  <si>
    <t>爱化墙报和黑板报的插图和刊头。</t>
  </si>
  <si>
    <t>79、</t>
  </si>
  <si>
    <t>熟悉不少著名歌唱家的演唱风格。</t>
  </si>
  <si>
    <t>80、</t>
  </si>
  <si>
    <t>喜欢阅读诗集。</t>
  </si>
  <si>
    <t>81、</t>
  </si>
  <si>
    <t>曾参加或想参加生物兴趣小组。</t>
  </si>
  <si>
    <t>82、</t>
  </si>
  <si>
    <t>如果组织物理兴趣小组，一定积极报名。</t>
  </si>
  <si>
    <t>83、</t>
  </si>
  <si>
    <r>
      <rPr>
        <sz val="12"/>
        <color rgb="FF0000FF"/>
        <rFont val="Times New Roman"/>
        <charset val="134"/>
      </rPr>
      <t> </t>
    </r>
    <r>
      <rPr>
        <sz val="12"/>
        <color rgb="FF0000FF"/>
        <rFont val="宋体"/>
        <charset val="134"/>
      </rPr>
      <t>爱穿运动衫裤。</t>
    </r>
  </si>
  <si>
    <t>84、</t>
  </si>
  <si>
    <t>听说一个问题和化学知识有关，立刻增添了兴趣。</t>
  </si>
  <si>
    <t>85、</t>
  </si>
  <si>
    <t>熟知不少国家的地理位置。</t>
  </si>
  <si>
    <t>86、</t>
  </si>
  <si>
    <t>愿结识几位能用外语会话的朋友，相互学习。</t>
  </si>
  <si>
    <t>87、</t>
  </si>
  <si>
    <t>喜爱参观历史博物馆。</t>
  </si>
  <si>
    <t>88、</t>
  </si>
  <si>
    <t>运算速度比别人快。</t>
  </si>
  <si>
    <t>89、</t>
  </si>
  <si>
    <t>在讲话中，常会用到若干政治术语。</t>
  </si>
  <si>
    <t>90、</t>
  </si>
  <si>
    <t>注意别人的画图技法、技巧。</t>
  </si>
  <si>
    <t>91、</t>
  </si>
  <si>
    <t>积极参加文艺演出活动。</t>
  </si>
  <si>
    <t>92、</t>
  </si>
  <si>
    <t>对词语和成语的产生感兴趣。</t>
  </si>
  <si>
    <t>93、</t>
  </si>
  <si>
    <t>积极关心和支持生态保护。</t>
  </si>
  <si>
    <t>94、</t>
  </si>
  <si>
    <t>爱安装和修理收音机、电视机等电器。</t>
  </si>
  <si>
    <t>95、</t>
  </si>
  <si>
    <t>对自己的强健体魄感到自豪。</t>
  </si>
  <si>
    <t>96、</t>
  </si>
  <si>
    <t>如组织化学知识竞赛将积极报名参加。</t>
  </si>
  <si>
    <t>97、</t>
  </si>
  <si>
    <t>如果组织各种外出考察活动，其中如有地理考察，将积极报名参加。</t>
  </si>
  <si>
    <t>98、</t>
  </si>
  <si>
    <t>重视自己所学外语的语音和语调。</t>
  </si>
  <si>
    <t>99、</t>
  </si>
  <si>
    <t>爱读历史方面的书籍。</t>
  </si>
  <si>
    <t>100、</t>
  </si>
  <si>
    <t>很愿参加各种数学竞赛。</t>
  </si>
  <si>
    <t>101、</t>
  </si>
  <si>
    <t>积极参与社会或集体的活动。</t>
  </si>
  <si>
    <t>102、</t>
  </si>
  <si>
    <t>作郊游或旅行的写生画。</t>
  </si>
  <si>
    <t>103、</t>
  </si>
  <si>
    <t>注意收看电视、收听广播中的音乐节目。</t>
  </si>
  <si>
    <t>104、</t>
  </si>
  <si>
    <t>看有关文艺的评论文章。</t>
  </si>
  <si>
    <t>105、</t>
  </si>
  <si>
    <t>喜爱饲养小动物和栽培植物。</t>
  </si>
  <si>
    <t>106、</t>
  </si>
  <si>
    <t>在日常生活中，注意联系所学物理知识。</t>
  </si>
  <si>
    <t>107、</t>
  </si>
  <si>
    <t>经常看报纸上的体育专栏。</t>
  </si>
  <si>
    <t>108、</t>
  </si>
  <si>
    <t>关心化学方面的新成就。</t>
  </si>
  <si>
    <t>学科测验结果</t>
  </si>
  <si>
    <t>提交时间</t>
  </si>
  <si>
    <t>微信昵称</t>
  </si>
  <si>
    <t>微信性别</t>
  </si>
  <si>
    <t>微信地址</t>
  </si>
  <si>
    <t>1.我喜欢把一件事情做完后再做另一件事。</t>
  </si>
  <si>
    <t>2.在学习和生活中我喜欢独自筹划，不愿受别人干涉。</t>
  </si>
  <si>
    <t>3.在集体讨论中，我往往保持沉默。</t>
  </si>
  <si>
    <t>4.我喜欢做戏剧、音乐、歌舞、新闻采访等方面的工作。</t>
  </si>
  <si>
    <t>5.每次写信我都一挥而就，不再重复。</t>
  </si>
  <si>
    <t>6.我经常不停地思考某一问题，直到想出正确的答案。</t>
  </si>
  <si>
    <t>7.对别人借我的和我借别人的东西，我都能记得很清楚。</t>
  </si>
  <si>
    <t>8.我喜欢抽象思维的工作，不喜欢动手的工作。</t>
  </si>
  <si>
    <t>9.我喜欢成为人们注意的焦点。</t>
  </si>
  <si>
    <t>10.我喜欢不时地夸耀一下自己取得的好成绩。</t>
  </si>
  <si>
    <t>11.我曾经渴望有机会参加探险活动。</t>
  </si>
  <si>
    <t>12.当我一个独处时，会感到更愉快。</t>
  </si>
  <si>
    <t>13.我喜欢在做事情前，对此事情做出细致的安排。</t>
  </si>
  <si>
    <t>14.我讨厌修理自行车、电器一类的工作。</t>
  </si>
  <si>
    <t>15.我喜欢参加各种各样的聚会。</t>
  </si>
  <si>
    <t>16.对于将来的职业，我愿意从事虽然工资少、但是比较稳定的职业。</t>
  </si>
  <si>
    <t>17.我常陶醉于音乐之中。</t>
  </si>
  <si>
    <t>18.我办事很少思前想后。</t>
  </si>
  <si>
    <t>19.我在处理学校事务时，经常请示老师。</t>
  </si>
  <si>
    <t>20.比较普通的游戏，我更喜欢需要动脑子的智力游戏。</t>
  </si>
  <si>
    <t>21.我很难做那种需要持续集中注意力的工作。</t>
  </si>
  <si>
    <t>22.我喜欢亲自动手制作一些东西，从中得到乐趣。</t>
  </si>
  <si>
    <t>23.我的动手能力很差。</t>
  </si>
  <si>
    <t>24.和不熟悉的人交谈对我来说毫不困难。</t>
  </si>
  <si>
    <t>25.和别人谈判时，我总是很容易放弃自己的观点。</t>
  </si>
  <si>
    <t>26.我很容易结识同性别的朋友。</t>
  </si>
  <si>
    <t>27.我做人做事，既不悲观，也不偏激，基本属于不偏不倚的温和型。</t>
  </si>
  <si>
    <t>28.当我开始做一件事情后，即使碰到再多的困难，我也要执著地干下去。</t>
  </si>
  <si>
    <t>29.我是一个沉静而不易动感情的人。</t>
  </si>
  <si>
    <t>30.做事情时，我喜欢避免干扰。</t>
  </si>
  <si>
    <t>31.我的理想是当一名科学家。</t>
  </si>
  <si>
    <t>32.与言情小说相比，我更喜欢推理小说。</t>
  </si>
  <si>
    <t>33.有些人太霸道，有时明明知道他们是对的，也要和他们对着干。</t>
  </si>
  <si>
    <t>34.我爱幻想。</t>
  </si>
  <si>
    <t>35.我总是主动地向别人提出自己的建议。</t>
  </si>
  <si>
    <t>36.我喜欢使用钳子、改锥、螺丝刀、万用表一类的工具。</t>
  </si>
  <si>
    <t>37.我乐于助人。</t>
  </si>
  <si>
    <t>38.我比赛或玩游戏，爱与别人打赌。</t>
  </si>
  <si>
    <t>39.我乐于按父母和老师的安排去做事。</t>
  </si>
  <si>
    <t>40.如果将来参加工作，我希望能经常换不同的工作来做。</t>
  </si>
  <si>
    <t>41.与朋友约好了见面，我总留有充裕的时间以免迟到。</t>
  </si>
  <si>
    <t>42.我喜欢阅读自然科学方面的书籍和杂志。</t>
  </si>
  <si>
    <t>43.如果掌握一门精湛的手艺并能以此赚到足够多的钱，我会感到满足。</t>
  </si>
  <si>
    <t>44.我对汽车司机、汽车修理工职业比较感兴趣。</t>
  </si>
  <si>
    <t>45.听别人谈“家中被盗”一类的事，很难引起我的同情。</t>
  </si>
  <si>
    <t>46.如果待遇相同，我宁愿当商品推销员，而不愿当图书管理员。</t>
  </si>
  <si>
    <t>47.我讨厌跟各类机械打交道。</t>
  </si>
  <si>
    <t>48.我小时候经常把玩具拆开，把里面看个究竟。</t>
  </si>
  <si>
    <t>49.当接受新任务后，我喜欢以自己的独特方法去完成它。</t>
  </si>
  <si>
    <t>50.我有文艺方面的天赋。</t>
  </si>
  <si>
    <t>51.我喜欢把一切安排得整整齐齐、井井有条。</t>
  </si>
  <si>
    <t>52.我喜欢作一名教师。</t>
  </si>
  <si>
    <t>53.和一群人在一起的时候，我总想不出恰当的话来说。</t>
  </si>
  <si>
    <t>54.看情感影片时，我常禁不住眼圈红润。</t>
  </si>
  <si>
    <t>55.我讨厌学数学。</t>
  </si>
  <si>
    <t>56.假如将我单独一个人留着实验室做实验，我会感到非常无聊。</t>
  </si>
  <si>
    <t>57.对于急躁、爱发脾气的人，我仍能以礼相待。</t>
  </si>
  <si>
    <t>58.遇到难解答的题目时，我常常中途放弃，改做下一题。</t>
  </si>
  <si>
    <t>59.大家公认我是一名勤劳踏实的、愿为大家服务的人。</t>
  </si>
  <si>
    <t>60.我喜欢协助老师做班级管理类的工作。</t>
  </si>
  <si>
    <t>姓名</t>
  </si>
  <si>
    <t>省份</t>
  </si>
  <si>
    <t>年级</t>
  </si>
  <si>
    <t>目前分数</t>
  </si>
  <si>
    <t>单科排名降序（如：数学物理化学生物语文英语）</t>
  </si>
  <si>
    <t>联系方式</t>
  </si>
  <si>
    <t>17-12-15 23:20</t>
  </si>
  <si>
    <t>清雅</t>
  </si>
  <si>
    <t/>
  </si>
  <si>
    <t xml:space="preserve">  </t>
  </si>
  <si>
    <t>是</t>
  </si>
  <si>
    <t>否</t>
  </si>
  <si>
    <t>鲁浩然</t>
  </si>
  <si>
    <t>辽宁</t>
  </si>
  <si>
    <t>高三年</t>
  </si>
  <si>
    <t>570</t>
  </si>
  <si>
    <t>语文＞政治＞历史＞地理＞数学＞英语</t>
  </si>
  <si>
    <t>15941437887</t>
  </si>
  <si>
    <t>1.研究地球各大洲的地理概况。</t>
  </si>
  <si>
    <t>2.经常查阅外文辞典。</t>
  </si>
  <si>
    <t>3.特别爱看历史题材的电影和戏剧。</t>
  </si>
  <si>
    <t>4.爱与数字打交道。</t>
  </si>
  <si>
    <t>5.喜欢分析经济与政治的关系。</t>
  </si>
  <si>
    <t>6.认真看世界名画集。</t>
  </si>
  <si>
    <t>7.喜欢收集好的录音带或唱片。</t>
  </si>
  <si>
    <t>8.自觉写日记。</t>
  </si>
  <si>
    <t>9.羡慕用动物做实验的生物学家们。</t>
  </si>
  <si>
    <t>10.阅读介绍牛顿、爱因斯坦、普朗克、薛定谔等物理学家的文章、书籍。</t>
  </si>
  <si>
    <t>11.熟悉国际体育比赛的成绩记录。</t>
  </si>
  <si>
    <t>12.设法在家里搞些化学小实验。</t>
  </si>
  <si>
    <t>13.阅读有关著名地理学家生活与活动的文章。</t>
  </si>
  <si>
    <t>14.注意看外文广告或说明书。</t>
  </si>
  <si>
    <t>15.如果组织历史兴趣小组，我一定积极报名。</t>
  </si>
  <si>
    <t>16.阅读趣味数学的书籍。</t>
  </si>
  <si>
    <t>17.关心社会时事新闻。</t>
  </si>
  <si>
    <t>18.了解各种美术流派的特点。</t>
  </si>
  <si>
    <t>19.会演奏乐器。</t>
  </si>
  <si>
    <t>20.对世界文学名著爱不释手。</t>
  </si>
  <si>
    <t>21.经常观察动、植物的生长变化。</t>
  </si>
  <si>
    <t>22.关心物理学方面的新发现。</t>
  </si>
  <si>
    <t>23.深夜的体育比赛实况转播也不愿放过。</t>
  </si>
  <si>
    <t>24.一上化学实验课就特别高兴。</t>
  </si>
  <si>
    <t>25.阅读有关世界各国的文化、经济、国家制度方面的书籍。</t>
  </si>
  <si>
    <t>26.喜欢收集一些外国的纪念品。</t>
  </si>
  <si>
    <t>27.常用历史上发生过的事情与现实做对照。</t>
  </si>
  <si>
    <t>28.很佩服那些数学上有造诣的人。</t>
  </si>
  <si>
    <t>29.阅读政治性的理论读物。</t>
  </si>
  <si>
    <t>30.知道不少世界著名作家的名字、作品和生平。</t>
  </si>
  <si>
    <t>31.很喜欢随音乐打节拍。</t>
  </si>
  <si>
    <t>32.善于查阅字典、辞典和文学资料索引。</t>
  </si>
  <si>
    <t>33.读有关著名生物学家生平的书籍。</t>
  </si>
  <si>
    <t>34.认为物理学对推动科学技术发展起重要作用。</t>
  </si>
  <si>
    <t>35.喜欢参加某些项目的体育活动和竞赛。</t>
  </si>
  <si>
    <t>36.常把化学知识用到日常生活中。</t>
  </si>
  <si>
    <t>37.对大自然和自己故乡的地理环境很感兴趣。</t>
  </si>
  <si>
    <t>38.读初级外文小说。</t>
  </si>
  <si>
    <t>39.爱收听广播中的历史故事。</t>
  </si>
  <si>
    <t>40.爱做数学图形、图表。</t>
  </si>
  <si>
    <t>41.愿与别人就不同价值观或他人的赞扬。</t>
  </si>
  <si>
    <t>42.自己画的图画常得到老师或他人的赞扬。</t>
  </si>
  <si>
    <t>43.能熟练地阅读乐谱。</t>
  </si>
  <si>
    <t>44.常校正别人讲话中的不正确语音和错别字。</t>
  </si>
  <si>
    <t>45.熟悉若干冲动、植物的生活、生长习性和特点。</t>
  </si>
  <si>
    <t>46.喜欢用力学知识去解释生活中的实际问题。</t>
  </si>
  <si>
    <t>47.喜欢能受到体育教师或教练的专门指导。</t>
  </si>
  <si>
    <t>48.想知道化学学科的发展史和发展趋势。</t>
  </si>
  <si>
    <t>49.常读地质勘探方面的文艺作品或科普读物。</t>
  </si>
  <si>
    <t>50.常购买外语课外读物。</t>
  </si>
  <si>
    <t>51.能正确说出重大历史事件发生的时间。</t>
  </si>
  <si>
    <t>52.当一项任务要用到数学知识时，马上就会产生兴趣。</t>
  </si>
  <si>
    <t>53.社会上发生的事件会引起自己的深思，有自己的见解。</t>
  </si>
  <si>
    <t>54.常在手边的本子上信手画一些漫画或其他小图案。</t>
  </si>
  <si>
    <t>55.有十分喜爱的歌曲和乐曲。</t>
  </si>
  <si>
    <t>56.尝试着写些故事或诗歌。</t>
  </si>
  <si>
    <t>57.爱做一些解剖生物的小实验。</t>
  </si>
  <si>
    <t>58.很重视物理实验课。</t>
  </si>
  <si>
    <t>59.熟悉我国的著名运动员的名字和专长。</t>
  </si>
  <si>
    <t>60.认为从事化学分析工作很有意思。</t>
  </si>
  <si>
    <t>61.在旅行中对地形地貌很感兴趣。</t>
  </si>
  <si>
    <t>62.爱看外国原版影片，认为对提高外语水平很有帮助。</t>
  </si>
  <si>
    <t>63.游览名胜古迹时，常仔细研究那些碑文、古诗而留连忘返。</t>
  </si>
  <si>
    <t>64.曾是或很想成为数学兴趣小组的成员。</t>
  </si>
  <si>
    <t>65.常看有关各国政治的评论文章。</t>
  </si>
  <si>
    <t>66.爱看美术展览。</t>
  </si>
  <si>
    <t>67.会定乐器的音调。</t>
  </si>
  <si>
    <t>68.能正确地分析同义词和反义词。</t>
  </si>
  <si>
    <t>69.喜欢采集一些昆虫和植物标本。</t>
  </si>
  <si>
    <t>70.很愿意参加物理知识竞赛。</t>
  </si>
  <si>
    <t>71.重视日常的体育锻炼。</t>
  </si>
  <si>
    <t>72.遇到化学难题，哪怕花很长时间也要把它解出来。</t>
  </si>
  <si>
    <t>73.能正确地说明地球的经纬度对时差的影响。</t>
  </si>
  <si>
    <t>74.常收听外语广播讲座。</t>
  </si>
  <si>
    <t>75.关心世界各国的历史。</t>
  </si>
  <si>
    <t>76.爱解复杂的动脑筋的数学题。</t>
  </si>
  <si>
    <t>77.对哲学问题感兴趣。</t>
  </si>
  <si>
    <t>78.爱化墙报和黑板报的插图和刊头。</t>
  </si>
  <si>
    <t>79.熟悉不少著名歌唱家的演唱风格。</t>
  </si>
  <si>
    <t>80.喜欢阅读诗集。</t>
  </si>
  <si>
    <t>81.曾参加或想参加生物兴趣小组。</t>
  </si>
  <si>
    <t>82.如果组织物理兴趣小组，一定积极报名。</t>
  </si>
  <si>
    <t>83. 爱穿运动衫裤。</t>
  </si>
  <si>
    <t>84.听说一个问题和化学知识有关，立刻增添了兴趣。</t>
  </si>
  <si>
    <t>85.熟知不少国家的地理位置。</t>
  </si>
  <si>
    <t>86.愿结识几位能用外语会话的朋友，相互学习。</t>
  </si>
  <si>
    <t>87.喜爱参观历史博物馆。</t>
  </si>
  <si>
    <t>88.运算速度比别人快。</t>
  </si>
  <si>
    <t>89.在讲话中，常会用到若干政治术语。</t>
  </si>
  <si>
    <t>90.注意别人的画图技法、技巧。</t>
  </si>
  <si>
    <t>91.积极参加文艺演出活动。</t>
  </si>
  <si>
    <t>92.对词语和成语的产生感兴趣。</t>
  </si>
  <si>
    <t>93.积极关心和支持生态保护。</t>
  </si>
  <si>
    <t>94.爱安装和修理收音机、电视机等电器。</t>
  </si>
  <si>
    <t>95.对自己的强健体魄感到自豪。</t>
  </si>
  <si>
    <t>96.如组织化学知识竞赛将积极报名参加。</t>
  </si>
  <si>
    <t>97.如果组织各种外出考察活动，其中如有地理考察，将积极报名参加。</t>
  </si>
  <si>
    <t>98.重视自己所学外语的语音和语调。</t>
  </si>
  <si>
    <t>99.爱读历史方面的书籍。</t>
  </si>
  <si>
    <t>100.很愿参加各种数学竞赛。</t>
  </si>
  <si>
    <t>101.积极参与社会或集体的活动。</t>
  </si>
  <si>
    <t>102.作郊游或旅行的写生画。</t>
  </si>
  <si>
    <t>103.注意收看电视、收听广播中的音乐节目。</t>
  </si>
  <si>
    <t>104.看有关文艺的评论文章。</t>
  </si>
  <si>
    <t>105.喜爱饲养小动物和栽培植物。</t>
  </si>
  <si>
    <t>106.在日常生活中，注意联系所学物理知识。</t>
  </si>
  <si>
    <t>107.经常看报纸上的体育专栏。</t>
  </si>
  <si>
    <t>108.关心化学方面的新成就。</t>
  </si>
  <si>
    <t>分数</t>
  </si>
  <si>
    <t>17-12-13 00:24</t>
  </si>
  <si>
    <t>D</t>
  </si>
  <si>
    <t>B</t>
  </si>
  <si>
    <t>王新鼎</t>
  </si>
  <si>
    <t>辽宁省</t>
  </si>
  <si>
    <t>高三</t>
  </si>
  <si>
    <t>580</t>
  </si>
  <si>
    <t>15304217788</t>
  </si>
  <si>
    <r>
      <rPr>
        <sz val="9"/>
        <color rgb="FF333333"/>
        <rFont val="Arial"/>
        <charset val="134"/>
      </rPr>
      <t>R</t>
    </r>
    <r>
      <rPr>
        <sz val="9"/>
        <color rgb="FF333333"/>
        <rFont val="宋体"/>
        <charset val="134"/>
      </rPr>
      <t>：现实型（</t>
    </r>
    <r>
      <rPr>
        <sz val="9"/>
        <color rgb="FF333333"/>
        <rFont val="Arial"/>
        <charset val="134"/>
      </rPr>
      <t>Realistic</t>
    </r>
    <r>
      <rPr>
        <sz val="9"/>
        <color rgb="FF333333"/>
        <rFont val="宋体"/>
        <charset val="134"/>
      </rPr>
      <t>）（技能现实）</t>
    </r>
    <r>
      <rPr>
        <sz val="9"/>
        <color rgb="FF333333"/>
        <rFont val="Arial"/>
        <charset val="134"/>
      </rPr>
      <t xml:space="preserve"> </t>
    </r>
  </si>
  <si>
    <t>哲学 ：逻辑学;教育学 ：教育技术学、体育教育、运动训练、社会体育、运动人体科学、民族传统体育、汽车维修工程教育、应用电子技术教育、装潢设计与工艺教育;文学：传播学;管理学 信息管理与信息系统、电子商务;理学：理学类所有专业;工学： 工学类所有专业;农学：农学类所有专业;医学： 医学影像学、医学检验、眼视光学、康复医学、口腔医学、针灸推拿学、法医学、护理学、药学类所有专业</t>
  </si>
  <si>
    <r>
      <rPr>
        <sz val="9"/>
        <color rgb="FF333333"/>
        <rFont val="Arial"/>
        <charset val="134"/>
      </rPr>
      <t>【共同特点】</t>
    </r>
    <r>
      <rPr>
        <sz val="9"/>
        <color rgb="FF333333"/>
        <rFont val="Arial"/>
        <charset val="134"/>
      </rPr>
      <t xml:space="preserve"> </t>
    </r>
    <r>
      <rPr>
        <sz val="9"/>
        <color rgb="FF333333"/>
        <rFont val="宋体"/>
        <charset val="134"/>
      </rPr>
      <t>愿意使用工具从事操作性工作，动手能力强，做事手脚灵活，动作协调。偏好于具体任务，不善言辞，做事保守，较为谦虚。缺乏社交能力，通常喜欢独立做事。</t>
    </r>
    <r>
      <rPr>
        <sz val="9"/>
        <color rgb="FF333333"/>
        <rFont val="Arial"/>
        <charset val="134"/>
      </rPr>
      <t xml:space="preserve"> </t>
    </r>
  </si>
  <si>
    <r>
      <rPr>
        <sz val="9"/>
        <color rgb="FF333333"/>
        <rFont val="Arial"/>
        <charset val="134"/>
      </rPr>
      <t>【性格特点】</t>
    </r>
    <r>
      <rPr>
        <sz val="9"/>
        <color rgb="FF333333"/>
        <rFont val="Arial"/>
        <charset val="134"/>
      </rPr>
      <t xml:space="preserve"> </t>
    </r>
    <r>
      <rPr>
        <sz val="9"/>
        <color rgb="FF333333"/>
        <rFont val="宋体"/>
        <charset val="134"/>
      </rPr>
      <t>感觉迟钝、不讲究、谦逊的。踏实稳重、诚实可靠。</t>
    </r>
    <r>
      <rPr>
        <sz val="9"/>
        <color rgb="FF333333"/>
        <rFont val="Arial"/>
        <charset val="134"/>
      </rPr>
      <t xml:space="preserve"> </t>
    </r>
  </si>
  <si>
    <r>
      <rPr>
        <sz val="9"/>
        <color rgb="FF333333"/>
        <rFont val="Arial"/>
        <charset val="134"/>
      </rPr>
      <t>【职业建议】</t>
    </r>
    <r>
      <rPr>
        <sz val="9"/>
        <color rgb="FF333333"/>
        <rFont val="Arial"/>
        <charset val="134"/>
      </rPr>
      <t xml:space="preserve"> </t>
    </r>
    <r>
      <rPr>
        <sz val="9"/>
        <color rgb="FF333333"/>
        <rFont val="宋体"/>
        <charset val="134"/>
      </rPr>
      <t>喜欢使用工具、机器，需要基本操作技能的工作。要求具备机械方面才能、体力、或从事与物件、机器、工具、运动器材、植物、动物相关的职业有兴趣，并具备相应能力。</t>
    </r>
    <r>
      <rPr>
        <sz val="9"/>
        <color rgb="FF333333"/>
        <rFont val="Arial"/>
        <charset val="134"/>
      </rPr>
      <t xml:space="preserve"> </t>
    </r>
    <r>
      <rPr>
        <sz val="9"/>
        <color rgb="FF333333"/>
        <rFont val="宋体"/>
        <charset val="134"/>
      </rPr>
      <t>如：技术性职业（计算机硬件人员、摄影师、制图员、机械装配工），技能性职业（木匠、厨师、技工、修理工、农民、一般劳动）</t>
    </r>
  </si>
  <si>
    <r>
      <rPr>
        <sz val="9"/>
        <color rgb="FF333333"/>
        <rFont val="Arial"/>
        <charset val="134"/>
      </rPr>
      <t xml:space="preserve"> I</t>
    </r>
    <r>
      <rPr>
        <sz val="9"/>
        <color rgb="FF333333"/>
        <rFont val="宋体"/>
        <charset val="134"/>
      </rPr>
      <t>：研究型（</t>
    </r>
    <r>
      <rPr>
        <sz val="9"/>
        <color rgb="FF333333"/>
        <rFont val="Arial"/>
        <charset val="134"/>
      </rPr>
      <t>Investigative</t>
    </r>
    <r>
      <rPr>
        <sz val="9"/>
        <color rgb="FF333333"/>
        <rFont val="宋体"/>
        <charset val="134"/>
      </rPr>
      <t>）</t>
    </r>
    <r>
      <rPr>
        <sz val="9"/>
        <color rgb="FF333333"/>
        <rFont val="Arial"/>
        <charset val="134"/>
      </rPr>
      <t xml:space="preserve"> </t>
    </r>
  </si>
  <si>
    <t>哲学：哲学类所有专业;经济学：保险、金融工程、税务、网络经济学;法学：马克思主义理论类所有专业、社会学类所有专业、公安学类所有专业;教育学：教育学、学前教育、教育技术学、小学教育、艺术教育、人文教育、社会体育;文学 汉语言文学、古典文献、外国语言文学类;历史学：历史学、世界历史、考古学、博物馆学、文物保护技术;管理学：管理科学、信息管理与信息系统、工商管理、市场营销、会计学、财务管理、人力资源管理、物流管理、行政管理、劳动与社会保障、农林经济管理、农村区域发展、档案学;理学：理学类所有专业;工学：工学类所有专业;农学：农学类所有专业;医学：基础医学、临床医学、眼视光学、康复医学、精神医学、中医学类所有专业、药学类所有专业</t>
  </si>
  <si>
    <r>
      <rPr>
        <sz val="9"/>
        <color rgb="FF333333"/>
        <rFont val="Arial"/>
        <charset val="134"/>
      </rPr>
      <t>【共同特点】</t>
    </r>
    <r>
      <rPr>
        <sz val="9"/>
        <color rgb="FF333333"/>
        <rFont val="Arial"/>
        <charset val="134"/>
      </rPr>
      <t xml:space="preserve"> </t>
    </r>
    <r>
      <rPr>
        <sz val="9"/>
        <color rgb="FF333333"/>
        <rFont val="宋体"/>
        <charset val="134"/>
      </rPr>
      <t>思想家而非实干家，抽象思维能力强，求知欲强，肯动脑，善思考，不愿动手。喜欢独立的和富有创造性的工作。知识渊博，有学识才能，不善于领导他人。考虑问题理性，做事喜欢精确，喜欢逻辑分析和推理，不断探讨未知的领域。</t>
    </r>
    <r>
      <rPr>
        <sz val="9"/>
        <color rgb="FF333333"/>
        <rFont val="Arial"/>
        <charset val="134"/>
      </rPr>
      <t xml:space="preserve"> </t>
    </r>
  </si>
  <si>
    <t>【性格特点】坚持性强，有韧性，喜欢钻研。为人好奇，独立性强。</t>
  </si>
  <si>
    <t>【职业建议】 喜欢智力的、抽象的、分析的、独立的定向任务，要求具备智力或分析才能，并将其用于观察、估测、衡量、形成理论、最终解决问题的工作，并具备相应的能力。 如：科学研究人员、教师、工程师、电脑编程人员、医生、系统分析员。 注：工作中调研兴趣强的人做事较为坚持，有韧性，善始善终，调研兴趣弱的如&lt;20% 通常做事容易浅尝辄止，常性也弱。</t>
  </si>
  <si>
    <r>
      <rPr>
        <sz val="9"/>
        <color rgb="FF333333"/>
        <rFont val="Arial"/>
        <charset val="134"/>
      </rPr>
      <t xml:space="preserve"> A</t>
    </r>
    <r>
      <rPr>
        <sz val="9"/>
        <color rgb="FF333333"/>
        <rFont val="宋体"/>
        <charset val="134"/>
      </rPr>
      <t>：艺术型（</t>
    </r>
    <r>
      <rPr>
        <sz val="9"/>
        <color rgb="FF333333"/>
        <rFont val="Arial"/>
        <charset val="134"/>
      </rPr>
      <t>Artistic</t>
    </r>
    <r>
      <rPr>
        <sz val="9"/>
        <color rgb="FF333333"/>
        <rFont val="宋体"/>
        <charset val="134"/>
      </rPr>
      <t>）</t>
    </r>
    <r>
      <rPr>
        <sz val="9"/>
        <color rgb="FF333333"/>
        <rFont val="Arial"/>
        <charset val="134"/>
      </rPr>
      <t xml:space="preserve"> </t>
    </r>
  </si>
  <si>
    <t>教育学： 学前教育、艺术教育、装潢设计与工艺教育文学 汉语言文学、汉语言、对外汉语、中国少数民族语言、外国语言文学、新闻传播学类所有专业、艺术学类所有专业;历史学： 民族学、文物保护技术;管理学：旅游管理;理学：地理科学类所有专业;工学： 广播电视工程、土建类所有专业、测绘类所有专业、轻工纺织食品类所有专业、航空航天类所有专业、宝石及材料工艺学;农学 ： 园艺、园林;医学： 医学影像学</t>
  </si>
  <si>
    <r>
      <rPr>
        <sz val="9"/>
        <color rgb="FF333333"/>
        <rFont val="宋体"/>
        <charset val="134"/>
      </rPr>
      <t>【共同特点】</t>
    </r>
    <r>
      <rPr>
        <sz val="9"/>
        <color rgb="FF333333"/>
        <rFont val="Arial"/>
        <charset val="134"/>
      </rPr>
      <t xml:space="preserve"> </t>
    </r>
    <r>
      <rPr>
        <sz val="9"/>
        <color rgb="FF333333"/>
        <rFont val="宋体"/>
        <charset val="134"/>
      </rPr>
      <t>有创造力，乐于创造新颖、与众不同的成果，渴望表现自己的个性，实现自身的价值。做事理想化，追求完美，不重实际。具有一定的艺术才能和个性。善于表达，怀旧，心态较为复杂。</t>
    </r>
    <r>
      <rPr>
        <sz val="9"/>
        <color rgb="FF333333"/>
        <rFont val="Arial"/>
        <charset val="134"/>
      </rPr>
      <t xml:space="preserve"> </t>
    </r>
  </si>
  <si>
    <r>
      <rPr>
        <sz val="9"/>
        <color rgb="FF333333"/>
        <rFont val="宋体"/>
        <charset val="134"/>
      </rPr>
      <t>【性格特点】</t>
    </r>
    <r>
      <rPr>
        <sz val="9"/>
        <color rgb="FF333333"/>
        <rFont val="Arial"/>
        <charset val="134"/>
      </rPr>
      <t xml:space="preserve"> </t>
    </r>
    <r>
      <rPr>
        <sz val="9"/>
        <color rgb="FF333333"/>
        <rFont val="宋体"/>
        <charset val="134"/>
      </rPr>
      <t>有创造性，非传统的，敏感，容易情绪化，较冲动，不服从指挥。</t>
    </r>
  </si>
  <si>
    <r>
      <rPr>
        <sz val="9"/>
        <color rgb="FF333333"/>
        <rFont val="宋体"/>
        <charset val="134"/>
      </rPr>
      <t>【职业建议】</t>
    </r>
    <r>
      <rPr>
        <sz val="9"/>
        <color rgb="FF333333"/>
        <rFont val="Arial"/>
        <charset val="134"/>
      </rPr>
      <t xml:space="preserve"> </t>
    </r>
    <r>
      <rPr>
        <sz val="9"/>
        <color rgb="FF333333"/>
        <rFont val="宋体"/>
        <charset val="134"/>
      </rPr>
      <t>喜欢的工作要求具备艺术修养、创造力、表达能力和直觉，并将其用于语言、行为、声音、颜色和形式的审美、思索和感受，具备相应的能力。不善于事务性工作。如：艺术方面（演员、导演、艺术设计师、雕刻家、建筑师、摄影家、广告制作人）</t>
    </r>
    <r>
      <rPr>
        <sz val="9"/>
        <color rgb="FF333333"/>
        <rFont val="Arial"/>
        <charset val="134"/>
      </rPr>
      <t xml:space="preserve"> </t>
    </r>
    <r>
      <rPr>
        <sz val="9"/>
        <color rgb="FF333333"/>
        <rFont val="宋体"/>
        <charset val="134"/>
      </rPr>
      <t>音乐方面（歌唱家、作曲家、乐队指挥）文学方面（小说家、诗人、剧作家）。</t>
    </r>
    <r>
      <rPr>
        <sz val="9"/>
        <color rgb="FF333333"/>
        <rFont val="Arial"/>
        <charset val="134"/>
      </rPr>
      <t xml:space="preserve"> </t>
    </r>
    <r>
      <rPr>
        <sz val="9"/>
        <color rgb="FF333333"/>
        <rFont val="宋体"/>
        <charset val="134"/>
      </rPr>
      <t>注：艺术兴趣高的人倾向于理想化，做事追求完美。在平常中，艺术的测试不指做艺术工作，而是工作中的艺术，倾向于将事情做得漂亮、有美感、有情调、锦上添花，追求完美。</t>
    </r>
  </si>
  <si>
    <r>
      <rPr>
        <sz val="9"/>
        <color rgb="FF333333"/>
        <rFont val="Arial"/>
        <charset val="134"/>
      </rPr>
      <t xml:space="preserve"> S</t>
    </r>
    <r>
      <rPr>
        <sz val="9"/>
        <color rgb="FF333333"/>
        <rFont val="宋体"/>
        <charset val="134"/>
      </rPr>
      <t>：社会型（</t>
    </r>
    <r>
      <rPr>
        <sz val="9"/>
        <color rgb="FF333333"/>
        <rFont val="Arial"/>
        <charset val="134"/>
      </rPr>
      <t>Social</t>
    </r>
    <r>
      <rPr>
        <sz val="9"/>
        <color rgb="FF333333"/>
        <rFont val="宋体"/>
        <charset val="134"/>
      </rPr>
      <t>）</t>
    </r>
  </si>
  <si>
    <t>哲学：宗教学;经济学：国际经济与贸易;法学 ：社会学、社会工作、政治学类所有专业、治安学;教育学：教育学类所有专业、体育学类所有专业、其他教育学类新兴专业;文学：新闻学、广播电视新闻学、播音与主持艺术、广播电视编导;管理学：人力资源管理、旅游管理、公共事业管理、劳动与社会保障、公共关系学、农林经济管理类所有专业;理学：资源环境与城乡规划管理、心理学、应用心理学;工学 电气信息类、环境与安全类、公安技术类所有专业;农学：植物生产类、森林资源类、动物生产类、水产类所有专业;医学： 预防医学、临床医学、康复医学、精神医学、口腔医学、中西医临床医学、护理学、中药资源与开发</t>
  </si>
  <si>
    <t xml:space="preserve">【共同特点】 喜欢与人交往、不断结交新的朋友、善言谈、愿意教导别人。关心社会问题、渴望发挥自己的社会作用。寻求广泛的人际关系，比较看重社会义务和社会道德。 </t>
  </si>
  <si>
    <t>【性格特点】为人友好、热情、善解人意、乐于助人。</t>
  </si>
  <si>
    <r>
      <rPr>
        <sz val="9"/>
        <color rgb="FF333333"/>
        <rFont val="Arial"/>
        <charset val="134"/>
      </rPr>
      <t>【职业建议】</t>
    </r>
    <r>
      <rPr>
        <sz val="9"/>
        <color rgb="FF333333"/>
        <rFont val="Arial"/>
        <charset val="134"/>
      </rPr>
      <t xml:space="preserve"> </t>
    </r>
    <r>
      <rPr>
        <sz val="9"/>
        <color rgb="FF333333"/>
        <rFont val="宋体"/>
        <charset val="134"/>
      </rPr>
      <t>喜欢要求与人打交道的工作，能够不断结交新的朋友，从事提供信息、启迪、帮助、培训、开发或治疗等事务，并具备相应能力。</t>
    </r>
    <r>
      <rPr>
        <sz val="9"/>
        <color rgb="FF333333"/>
        <rFont val="Arial"/>
        <charset val="134"/>
      </rPr>
      <t xml:space="preserve"> </t>
    </r>
    <r>
      <rPr>
        <sz val="9"/>
        <color rgb="FF333333"/>
        <rFont val="宋体"/>
        <charset val="134"/>
      </rPr>
      <t>如</t>
    </r>
    <r>
      <rPr>
        <sz val="9"/>
        <color rgb="FF333333"/>
        <rFont val="Arial"/>
        <charset val="134"/>
      </rPr>
      <t xml:space="preserve">: </t>
    </r>
    <r>
      <rPr>
        <sz val="9"/>
        <color rgb="FF333333"/>
        <rFont val="宋体"/>
        <charset val="134"/>
      </rPr>
      <t>教育工作者（教师、教育行政人员），</t>
    </r>
    <r>
      <rPr>
        <sz val="9"/>
        <color rgb="FF333333"/>
        <rFont val="Arial"/>
        <charset val="134"/>
      </rPr>
      <t xml:space="preserve"> </t>
    </r>
    <r>
      <rPr>
        <sz val="9"/>
        <color rgb="FF333333"/>
        <rFont val="宋体"/>
        <charset val="134"/>
      </rPr>
      <t>社会工作者（咨询人员、公关人员）</t>
    </r>
  </si>
  <si>
    <r>
      <rPr>
        <sz val="9"/>
        <color rgb="FF333333"/>
        <rFont val="Arial"/>
        <charset val="134"/>
      </rPr>
      <t xml:space="preserve"> E</t>
    </r>
    <r>
      <rPr>
        <sz val="9"/>
        <color rgb="FF333333"/>
        <rFont val="宋体"/>
        <charset val="134"/>
      </rPr>
      <t>：企业型（</t>
    </r>
    <r>
      <rPr>
        <sz val="9"/>
        <color rgb="FF333333"/>
        <rFont val="Arial"/>
        <charset val="134"/>
      </rPr>
      <t>Enterprise</t>
    </r>
    <r>
      <rPr>
        <sz val="9"/>
        <color rgb="FF333333"/>
        <rFont val="宋体"/>
        <charset val="134"/>
      </rPr>
      <t>）</t>
    </r>
    <r>
      <rPr>
        <sz val="9"/>
        <color rgb="FF333333"/>
        <rFont val="Arial"/>
        <charset val="134"/>
      </rPr>
      <t xml:space="preserve"> </t>
    </r>
  </si>
  <si>
    <t>哲学：哲学、宗教学;经济学：经济学、国际经济与贸易、保险;法学：社会学、社会工作、外交学、思想政治教育、公安学类所有专业;教育学： 特殊教育、旅游管理与服务教育、市场营销教育;文学：新闻学、广播电视新闻学、广告学、导演、播音与主持艺术、广播电视编导;管理学：管理科学与工程类所有专业、工商管理类所有专业、公共管理类所有专业、农林经济管理类所有专业;理学：天文学类、地质学类、地理科学类、地球物理学类、大气科学类、海洋科学类、环境科学类、心理学类、统计学类所有专业;工学：航空航天类、武器类、公安技术类所有专业;农学： 植物生产类、草业科学类、森林资源类、环境生态类、动物生产类、水产类所有专业;医学：法医学</t>
  </si>
  <si>
    <r>
      <rPr>
        <sz val="9"/>
        <color rgb="FF333333"/>
        <rFont val="Arial"/>
        <charset val="134"/>
      </rPr>
      <t>【共同特点】</t>
    </r>
    <r>
      <rPr>
        <sz val="9"/>
        <color rgb="FF333333"/>
        <rFont val="Arial"/>
        <charset val="134"/>
      </rPr>
      <t xml:space="preserve"> </t>
    </r>
    <r>
      <rPr>
        <sz val="9"/>
        <color rgb="FF333333"/>
        <rFont val="宋体"/>
        <charset val="134"/>
      </rPr>
      <t>追求权力、权威和物质财富，具有领导才能。喜欢竞争、敢冒风险、有野心</t>
    </r>
    <r>
      <rPr>
        <sz val="9"/>
        <color rgb="FF333333"/>
        <rFont val="Arial"/>
        <charset val="134"/>
      </rPr>
      <t>/</t>
    </r>
    <r>
      <rPr>
        <sz val="9"/>
        <color rgb="FF333333"/>
        <rFont val="宋体"/>
        <charset val="134"/>
      </rPr>
      <t>抱负。为人务实，习惯以利益得失、权利、地位、金钱等来衡量做事的价值，做事有较强的目的性。</t>
    </r>
  </si>
  <si>
    <r>
      <rPr>
        <sz val="9"/>
        <color rgb="FF333333"/>
        <rFont val="Arial"/>
        <charset val="134"/>
      </rPr>
      <t xml:space="preserve"> </t>
    </r>
    <r>
      <rPr>
        <sz val="9"/>
        <color rgb="FF333333"/>
        <rFont val="宋体"/>
        <charset val="134"/>
      </rPr>
      <t>【性格特点】善辩、精力旺盛、独断、乐观、自信、好交际、机敏、有支配愿望。</t>
    </r>
  </si>
  <si>
    <r>
      <rPr>
        <sz val="9"/>
        <color rgb="FF333333"/>
        <rFont val="Arial"/>
        <charset val="134"/>
      </rPr>
      <t>【职业建议】</t>
    </r>
    <r>
      <rPr>
        <sz val="9"/>
        <color rgb="FF333333"/>
        <rFont val="Arial"/>
        <charset val="134"/>
      </rPr>
      <t xml:space="preserve"> </t>
    </r>
    <r>
      <rPr>
        <sz val="9"/>
        <color rgb="FF333333"/>
        <rFont val="宋体"/>
        <charset val="134"/>
      </rPr>
      <t>喜欢要求具备经营、管理、劝服、监督和领导才能，以实现机构、政治／社会及经济目标的工作，并具备相应的能力。</t>
    </r>
    <r>
      <rPr>
        <sz val="9"/>
        <color rgb="FF333333"/>
        <rFont val="Arial"/>
        <charset val="134"/>
      </rPr>
      <t xml:space="preserve"> </t>
    </r>
    <r>
      <rPr>
        <sz val="9"/>
        <color rgb="FF333333"/>
        <rFont val="宋体"/>
        <charset val="134"/>
      </rPr>
      <t>如：项目经理、销售人员，营销管理人员、政府官员、企业领导、法官、律师。</t>
    </r>
    <r>
      <rPr>
        <sz val="9"/>
        <color rgb="FF333333"/>
        <rFont val="Arial"/>
        <charset val="134"/>
      </rPr>
      <t xml:space="preserve"> </t>
    </r>
    <r>
      <rPr>
        <sz val="9"/>
        <color rgb="FF333333"/>
        <rFont val="宋体"/>
        <charset val="134"/>
      </rPr>
      <t>附：工作中通常要求管理人员和销售人员要有较强的企业兴趣，企业兴趣强则做事目的性强，务实，推动性也较强，若企业兴趣弱</t>
    </r>
    <r>
      <rPr>
        <sz val="9"/>
        <color rgb="FF333333"/>
        <rFont val="Arial"/>
        <charset val="134"/>
      </rPr>
      <t xml:space="preserve">&lt;40% </t>
    </r>
    <r>
      <rPr>
        <sz val="9"/>
        <color rgb="FF333333"/>
        <rFont val="宋体"/>
        <charset val="134"/>
      </rPr>
      <t>则做事的推动性较弱，速度较慢。</t>
    </r>
  </si>
  <si>
    <r>
      <rPr>
        <sz val="9"/>
        <color rgb="FF333333"/>
        <rFont val="Arial"/>
        <charset val="134"/>
      </rPr>
      <t xml:space="preserve"> C</t>
    </r>
    <r>
      <rPr>
        <sz val="9"/>
        <color rgb="FF333333"/>
        <rFont val="宋体"/>
        <charset val="134"/>
      </rPr>
      <t>：传统型（</t>
    </r>
    <r>
      <rPr>
        <sz val="9"/>
        <color rgb="FF333333"/>
        <rFont val="Arial"/>
        <charset val="134"/>
      </rPr>
      <t>Conventional</t>
    </r>
    <r>
      <rPr>
        <sz val="9"/>
        <color rgb="FF333333"/>
        <rFont val="宋体"/>
        <charset val="134"/>
      </rPr>
      <t>）</t>
    </r>
    <r>
      <rPr>
        <sz val="9"/>
        <color rgb="FF333333"/>
        <rFont val="Arial"/>
        <charset val="134"/>
      </rPr>
      <t xml:space="preserve"> </t>
    </r>
  </si>
  <si>
    <t>哲学：逻辑学;经济学：经济学类所有专业;法学： 法学类所有专业、政治学与行政学、国际政治;教育学 ： 人文教育、特殊教育;文学 ： 中国语言文学类所有专业;历史学：历史学类所有专业;管理学：会计学、财务管理、电子商务、物流管理、劳动与保障、土地资源管理、农林经济管理、农村区域发展、图书馆学、档案学;理学：理学类所有专业;工学：仪器仪表类、能源动力类、电气信息类、水利类、测绘类、化学与制药类、交通运输类、海洋工程类、航空航天类、武器类、工程力学类、生物工程类、农业工程类、森林工程类、公安技术类所有专业;农学：农学类所有专业;医学：医学类所有专业</t>
  </si>
  <si>
    <r>
      <rPr>
        <sz val="9"/>
        <color rgb="FF333333"/>
        <rFont val="宋体"/>
        <charset val="134"/>
      </rPr>
      <t>【共同特点】</t>
    </r>
    <r>
      <rPr>
        <sz val="9"/>
        <color rgb="FF333333"/>
        <rFont val="Arial"/>
        <charset val="134"/>
      </rPr>
      <t xml:space="preserve"> </t>
    </r>
    <r>
      <rPr>
        <sz val="9"/>
        <color rgb="FF333333"/>
        <rFont val="宋体"/>
        <charset val="134"/>
      </rPr>
      <t>尊重权威和规章制度，喜欢按计划办事，细心、有条理，习惯接受他人的指挥和领导，自己不谋求领导职务。喜欢关注实际和细节情况，通常较为谨慎和保守，缺乏创造性，不喜欢冒险和竞争，富有自我牺牲精神。</t>
    </r>
  </si>
  <si>
    <r>
      <rPr>
        <sz val="9"/>
        <color rgb="FF333333"/>
        <rFont val="Arial"/>
        <charset val="134"/>
      </rPr>
      <t xml:space="preserve"> </t>
    </r>
    <r>
      <rPr>
        <sz val="9"/>
        <color rgb="FF333333"/>
        <rFont val="宋体"/>
        <charset val="134"/>
      </rPr>
      <t>【性格特点】有责任心、依赖性强、高效率、稳重踏实、细致、有耐心。</t>
    </r>
  </si>
  <si>
    <t xml:space="preserve"> 【职业建议】 喜欢要求注意细节、精确度、有系统有条理，具有记录、归档、据特定要求或程序组织数据和文字信息的职业，并具备相应能力。如：秘书、办公室人员、记事员、会计、行政助理、图书馆管理员、出纳员、打字员、投资分析员。</t>
  </si>
  <si>
    <r>
      <rPr>
        <sz val="11"/>
        <color rgb="FF333333"/>
        <rFont val="宋体"/>
        <charset val="134"/>
      </rPr>
      <t>木匠、农民、操作</t>
    </r>
    <r>
      <rPr>
        <sz val="11"/>
        <color rgb="FF333333"/>
        <rFont val="Arial"/>
        <charset val="134"/>
      </rPr>
      <t>X</t>
    </r>
    <r>
      <rPr>
        <sz val="11"/>
        <color rgb="FF333333"/>
        <rFont val="宋体"/>
        <charset val="134"/>
      </rPr>
      <t>光的技师、工程师、飞机机械师、鱼类和野生动物专家、自动化技师、机械工</t>
    </r>
    <r>
      <rPr>
        <sz val="11"/>
        <color rgb="FF333333"/>
        <rFont val="Arial"/>
        <charset val="134"/>
      </rPr>
      <t>(</t>
    </r>
    <r>
      <rPr>
        <sz val="11"/>
        <color rgb="FF333333"/>
        <rFont val="宋体"/>
        <charset val="134"/>
      </rPr>
      <t>车工、钳工等</t>
    </r>
    <r>
      <rPr>
        <sz val="11"/>
        <color rgb="FF333333"/>
        <rFont val="Arial"/>
        <charset val="134"/>
      </rPr>
      <t>)</t>
    </r>
    <r>
      <rPr>
        <sz val="11"/>
        <color rgb="FF333333"/>
        <rFont val="宋体"/>
        <charset val="134"/>
      </rPr>
      <t>、电工、无线电报务员、火车司机、长途公共汽车司机、机械制图员、修理机器、电器师、</t>
    </r>
  </si>
  <si>
    <t>气象学者、生物学者、天文学家、药剂师、动物学者、化学家、科学报刊编辑、地质学者、植物学者、物理学者、数学家、实验员、科研人员、科技作者、</t>
  </si>
  <si>
    <t>室内装饰专家、图书管理专家、摄影师、音乐教师、作家、演员、记者、诗人、作曲家、编剧、雕刻家、漫画家、</t>
  </si>
  <si>
    <t>社会学者、导游、福利机构工作者、咨询人员、社会工作者、社会科学教师、学校领导、精神病工作者、公共保健护士。</t>
  </si>
  <si>
    <t>推销员、进货员、商品批发员、旅馆经理、饭店经理、广告宣传员、调度员、律师、政治家、零售商。</t>
  </si>
  <si>
    <t>记账员、会计、银行出纳、法庭速记员、成本估算员、税务员、核算员、打字员、办公室职员、统计员、计算机操作员、秘书。</t>
  </si>
  <si>
    <t>霍兰德职业代码</t>
  </si>
  <si>
    <t>RIA</t>
  </si>
  <si>
    <t>牙科技术员、陶工、建筑设计员、模型工、细木工、制作链条人员。</t>
  </si>
  <si>
    <t>RIS</t>
  </si>
  <si>
    <t>厨师、林务员、跳水员、潜水员、染色工、电器修理、眼镜制作、电工、纺织机械装配工、报务员、装玻璃工人、发电厂操作工人、焊接工。</t>
  </si>
  <si>
    <t>RIE</t>
  </si>
  <si>
    <t>建筑和桥梁工程、环境工程、航空工程、公路工程、电力工程、信号工程、电话工程、一般机械工程、自动工程、矿业工程、海洋工程、交通工程技术人员、制图员、家政经济人员、打捞员、计量员、农民、农场工人、农业机器操作、清洁工、无线电修理、汽车修理、手表修理、管子工、线路维修、盖（修）房工、电子技术员、代木工、机械师、锻压操作工、造船装配工、工具仓库管理员。</t>
  </si>
  <si>
    <t>RIC</t>
  </si>
  <si>
    <t>船上工作人员。接待员、杂志保管员、牙科医生的助手、制帽工、磨坊工、石匠、机器制造、机车（火车头）制造、农业机器装配、汽车装配工、缝纫机装配工、钟表装配和检验、电动器具装配、鞋匠、锁匠、货物检验员、电梯机修工、托儿所所长、钢琴调音工、装配工、印刷工、建筑钢铁工人、卡车司机。</t>
  </si>
  <si>
    <t>RAI</t>
  </si>
  <si>
    <t>手工雕刻、玻璃雕刻、制作模型人员、家具木工、制作皮革品、手工绣花、手工钩针纺织、排字工人、印刷拼板工人、图画雕刻、装订工。</t>
  </si>
  <si>
    <t>RSE</t>
  </si>
  <si>
    <t>消防员、交通巡警、门卫、理发师、房间清洁工、屠夫、锻工、开凿人、管道安装工、出租汽车驾驶员、仓库管理员。</t>
  </si>
  <si>
    <t>RSC</t>
  </si>
  <si>
    <t>汽车驾驶员、货物搬运工、送报员、勘探员、娱乐场所的服务员、起卸机操作工、灭害虫者、电梯操作工、厨房助手。</t>
  </si>
  <si>
    <t>RSI</t>
  </si>
  <si>
    <t>纺织工、纺织工、农业学校的教师、某些职业课程教师（诸如艺术、商业、技术、工艺课程）、雨衣上胶工人。</t>
  </si>
  <si>
    <t>REC</t>
  </si>
  <si>
    <t>抄水表员、保姆、实验室动物饲养员、动物管理员。</t>
  </si>
  <si>
    <t>REI</t>
  </si>
  <si>
    <t>轮船船长、航海领航员、大副、试管实验员。</t>
  </si>
  <si>
    <t>RES</t>
  </si>
  <si>
    <t>旅馆服务员、家畜饲养员、渔民、渔网修补工、水手长、收割机操作工、搬行李工人、公园服务员、救生员、登山导游、火车工程技术员、建筑工人、铺轨工人。</t>
  </si>
  <si>
    <t>RCI</t>
  </si>
  <si>
    <t>测量员、勘测员、仪器操作者、农业工程技师、化学工程师、民用工程技师、石工程师、资料室管理员、探矿工、煅烧工、烧窑工、矿工、保养工、磨床工、取样员、样品检验员、纺纱工、炮手、绕筒子工、漂洗工、电焊工、锯木工、刨床工、制帽工、手工缝纫、油漆工、染色工、按摩师、木匠、农民、建筑工人、电影放映员、勘测员助手。</t>
  </si>
  <si>
    <t>RCS</t>
  </si>
  <si>
    <t>公共汽车驾驶员、一等水手、游泳池服务员、裁缝、建筑工人、石匠、烟囱修理工、水磨石工、泥水匠、车工、烟囱修建工、混凝土工、电话修理工、爆炸手、邮递员、矿工、裱糊工人、纺纱工。</t>
  </si>
  <si>
    <t>RCE</t>
  </si>
  <si>
    <t>打井工、吊车驾驶员、农场工人、邮件分类员、铲车司机、拖拉机司机。</t>
  </si>
  <si>
    <t>IAS</t>
  </si>
  <si>
    <t>普通经济学家、农业经济学家、财政经济学家、国际贸易经济学家、实验心理学家、工程心理学家、心理学家、哲学家、内科医生、数学家。</t>
  </si>
  <si>
    <t>IAR</t>
  </si>
  <si>
    <t>人类学家、天文学家、化学家、物理学家、医学病理学家、动物标本录制者、化石修复者、艺术品管理员。</t>
  </si>
  <si>
    <t>ISE</t>
  </si>
  <si>
    <t>营养学家、饮食顾问、火灾检查员、邮政服务检查员。</t>
  </si>
  <si>
    <t>ISC</t>
  </si>
  <si>
    <t>侦察员、电视播音室修理工、电视修理服务员、验尸室人员、编目录的人、医学实验室技师、调查研究者。</t>
  </si>
  <si>
    <t>ISR</t>
  </si>
  <si>
    <t>水生生物学者、昆虫学家、微生物学家、配镜师、矫正视力者、细菌学家、牙科医生、骨科医生。</t>
  </si>
  <si>
    <t>ISA</t>
  </si>
  <si>
    <t>实验心理学家、普通心理学家、发展心理学家、教育心理学家、社会心理学家、临床心理学家、目录学家、皮肤病学家、神经病学家、妇产科医生、眼科医生、五官科医生、医学实验室技术专家、民航医务人员、护士。</t>
  </si>
  <si>
    <t>IES</t>
  </si>
  <si>
    <t>细菌学家、生理学家、化学专家、地质专家、地理物理学专家、纺织技术专家、医院药剂师、工业药剂师、药房营业员。</t>
  </si>
  <si>
    <t>IEC</t>
  </si>
  <si>
    <t>档案保管员、保险统计员。</t>
  </si>
  <si>
    <t>ICR</t>
  </si>
  <si>
    <t>质量检查技术员、地质学技师、工程师、法官、图书馆技术辅助员、计算机操作者、医院听诊员、家禽检查员。</t>
  </si>
  <si>
    <t>IRA</t>
  </si>
  <si>
    <t>地理学家、地质学家、水文学家、矿物学家、古生物学家、石油地质学家、地震学者、声学物理学家、原子和分子物理学家、电学和磁学物理学家、气象学家、设计审核员、人口统计学家、数学统计学家、外科医生、城市规划家、气象员。</t>
  </si>
  <si>
    <t>IRS</t>
  </si>
  <si>
    <t>流体物理学家、物理海洋学家、等离子体物理学家、农业科学家、动物学家、食品科学家、园艺学家、植物学家、细菌学家、解剖学家、动物病理学家、作物病理学家、药物学家、生物化学家、生物物理学家、细胞生物学家、临床化学家、遗传学家、分子生物学家、质量控制工程师、地理学家、兽医、放射治疗技师。</t>
  </si>
  <si>
    <t>IRE</t>
  </si>
  <si>
    <t>化验员、化学工程师、纺织工程师、食品技师、渔业技术专家、材料和测试工程师、电气工程师、土木工程师、航空工程师、行政官员、冶金专家、原子核工程师、陶瓷工程师、地质工程师、电力工程师、口腔科医生、牙科医生。</t>
  </si>
  <si>
    <t>IRC</t>
  </si>
  <si>
    <t>飞机领航员、飞行员、物理实验室技师、文献检查员、农业技术专家、动植物技术专家、生物技师、油管检查员、工商规划者、矿藏安全检查员、纺织品检验员、照相机修理工、工程技术员、编计算机程序者、工具设计者、仪器维修工。</t>
  </si>
  <si>
    <t>CRI</t>
  </si>
  <si>
    <t>簿记员、会计、记时员、铸造机操作工、打字员、按键操作工、复印机操作工。</t>
  </si>
  <si>
    <t>CRS</t>
  </si>
  <si>
    <t>仓库保管员、档案管理员、缝纫工、讲述员、收款人。</t>
  </si>
  <si>
    <t>CRE</t>
  </si>
  <si>
    <t>标价员、实验室工作者、广告管理员、自动打字机操作员、电动机装配工、缝纫机操作工。</t>
  </si>
  <si>
    <t>CIS</t>
  </si>
  <si>
    <t>记帐员、顾客服务员、报刊发行员、土地测量员、保险公司职员、会计师、估价员、政检查员、外贸检查员。</t>
  </si>
  <si>
    <t>CIE</t>
  </si>
  <si>
    <t>打字员、统计员、支票记录员、订货员、校对员、办公室工作人员。</t>
  </si>
  <si>
    <t>CIR</t>
  </si>
  <si>
    <t>校对员、工程职员、海底电报员、检修计划员、发报员。</t>
  </si>
  <si>
    <t>CSE</t>
  </si>
  <si>
    <t>接待员、通讯员、电话接线员、卖票员、旅馆服务员、私人职员、商学教师、旅游办事员。</t>
  </si>
  <si>
    <t>CSR</t>
  </si>
  <si>
    <t>运货代理商、铁路职员、交通检查员、办公室通信员。</t>
  </si>
  <si>
    <t>CSI</t>
  </si>
  <si>
    <t>簿记员、出纳员、银行财务职员。</t>
  </si>
  <si>
    <t>CSA</t>
  </si>
  <si>
    <t>秘书、图书管理员、办公室办事员。</t>
  </si>
  <si>
    <t>CER</t>
  </si>
  <si>
    <t>邮递员、数据处理员、航空邮件检查员。</t>
  </si>
  <si>
    <t>CEI</t>
  </si>
  <si>
    <t>推销员、经济分析家。</t>
  </si>
  <si>
    <t>CES</t>
  </si>
  <si>
    <t>银行会计、记帐员、法人秘书、速记员、法院报告人。</t>
  </si>
  <si>
    <t>ECI</t>
  </si>
  <si>
    <t>银行行长、审计员、信用管理员、地产管理员、商业管理员。</t>
  </si>
  <si>
    <t>ECS</t>
  </si>
  <si>
    <t>信用办事员、保险人员、各类进货员、海关服务经理、售货员、购买员、会计。</t>
  </si>
  <si>
    <t>ERI</t>
  </si>
  <si>
    <t>建筑物管理员、工业工程师、农场管理员、护士长、农业经营管理人员。</t>
  </si>
  <si>
    <t>ERS</t>
  </si>
  <si>
    <t>仓库管理员、房屋管理员、货栈监督人。</t>
  </si>
  <si>
    <t>ERC</t>
  </si>
  <si>
    <t>邮政局长、渔船船长、机械操作领班、木工领班、瓦工领班、驾驶员领班。</t>
  </si>
  <si>
    <t>EIR</t>
  </si>
  <si>
    <t>科学、技术和有关周期出版物的管理员。</t>
  </si>
  <si>
    <t>EIC</t>
  </si>
  <si>
    <t>专利代理人、鉴定人、运输服务检查员、安全检查员、废品收购人员。</t>
  </si>
  <si>
    <t>EIS</t>
  </si>
  <si>
    <t>警官、侦察员、交通检查员、安全咨询者、合同管理者、商人。</t>
  </si>
  <si>
    <t>EAS</t>
  </si>
  <si>
    <t>法官、律师、公证人。</t>
  </si>
  <si>
    <t>EAR</t>
  </si>
  <si>
    <t>展览室管理员、舞台管理员、播音员、训兽员。</t>
  </si>
  <si>
    <t>ESC</t>
  </si>
  <si>
    <t>理发师、裁判员、政府行政管理员、财政管理员、工程管理员、职业病防治、售货员、商业经理、办公室主任、人事负责人、高度员。</t>
  </si>
  <si>
    <t>ESR</t>
  </si>
  <si>
    <t>家具售货员、书店售货员、公共汽车的驾驶员、日用商品的售货员、护士长、自然科学和工程的行政领导。</t>
  </si>
  <si>
    <t>ESI</t>
  </si>
  <si>
    <t>博物馆管理员、图书馆管理员、古迹管理员、饮食业经理、地区安全服务管理员、技术服务咨询者、超级市场管理员、零售商品店店员、批发商、出租汽车服务站高度。</t>
  </si>
  <si>
    <t>ESA</t>
  </si>
  <si>
    <t>博物馆馆长、报刊管理员、音乐器材售货员、广告商、售画营业员、导游、（轮船或班机上的）事务长、飞机上的服务员、船员、法官、律师。</t>
  </si>
  <si>
    <t>ASE</t>
  </si>
  <si>
    <t>戏剧导演、舞蹈教师、广告撰稿人、报刊专栏作者、记者、演员、英语导游、外语翻译。</t>
  </si>
  <si>
    <t>ASI</t>
  </si>
  <si>
    <t>音乐教师、乐器教师、美术教师、管弦乐指挥、合唱队指挥、歌星、演奏家、哲学家、作家、广告经理、时装模特儿。</t>
  </si>
  <si>
    <t>AER</t>
  </si>
  <si>
    <t>新闻摄影师、电视摄像师、艺术指导、录音指导、丑角演员、魔术师、木偶戏演员、骑士、跳水员。</t>
  </si>
  <si>
    <t>AEI</t>
  </si>
  <si>
    <t>音乐指挥、舞台指导、电影导演。</t>
  </si>
  <si>
    <t>AES</t>
  </si>
  <si>
    <t>流行歌手、舞蹈演员、电影导演、广播节目主持人、舞蹈教师、口技表演者、喜剧演员、模特儿。</t>
  </si>
  <si>
    <t>AIS</t>
  </si>
  <si>
    <t>画家、剧作家、编辑、评论家、时装艺术大师、家具设计师、包装设计师、布景设计师、服装设计师、新闻摄影师、男演员、文学作者。</t>
  </si>
  <si>
    <t>AIE</t>
  </si>
  <si>
    <t>花匠、皮衣设计师、工业产品设计师、剪影艺术家、复制雕刻品大师。</t>
  </si>
  <si>
    <t>AIR</t>
  </si>
  <si>
    <t>建筑师、画家、摄影师、绘图员、环境美化工、雕刻家、包装设计师、陶器设计师、绣花工、漫画家。</t>
  </si>
  <si>
    <t>SEC</t>
  </si>
  <si>
    <t>社会活动家、退伍军人服务官员、工商会事务代表、教育咨询者、宿舍管理员、旅馆经理、饮食服务管理员。</t>
  </si>
  <si>
    <t>SER</t>
  </si>
  <si>
    <t>体育教练、游泳指导。</t>
  </si>
  <si>
    <t>SEI</t>
  </si>
  <si>
    <t>大学校长、学院院长、医院行政管理员、历史学家、家政经济学家、职业学校教师、资料员。</t>
  </si>
  <si>
    <t>SEA</t>
  </si>
  <si>
    <t>娱乐活动管理员、国外服务办事员、社会服务助理、一般咨询者宗教教育工作者。</t>
  </si>
  <si>
    <t>SCE</t>
  </si>
  <si>
    <t>部长助理、福利机构职员、生产协调人、环境卫生管理人员、戏院经理、餐馆经理、售票员。</t>
  </si>
  <si>
    <t>SRI</t>
  </si>
  <si>
    <t>外科医师助手、医院服务员。</t>
  </si>
  <si>
    <t>SRE</t>
  </si>
  <si>
    <t>体育教师、职业病治疗者、体育教练、专业运动员、房管员、儿童家庭教师、警察、引座员、传达员、保姆。</t>
  </si>
  <si>
    <t>SRC</t>
  </si>
  <si>
    <t>护理员、护理助手、医院勤杂工、理发师、学校儿童服务人员。</t>
  </si>
  <si>
    <t>SIA</t>
  </si>
  <si>
    <t>社会学家、心理咨询者、学校心理学家、政治科学家、大学或学院的系主任、大学或学院的教育学教师、大学农业教师、大学工程和建筑课程的教师、大学数学、医学、物理、社会科学和生命科学的教师、研究生助教、成人教育教师。</t>
  </si>
  <si>
    <t>SAC</t>
  </si>
  <si>
    <t>理发师、指甲修剪师、包装艺术家、美容师、整容专家、发式设计师。</t>
  </si>
  <si>
    <t>SAE</t>
  </si>
  <si>
    <t>图书馆管理员、小学教师、幼儿园教师、学前儿童教师、中学教师、师范学院的教师、盲人教师、智力障碍人的教师、聋哑人的教师、学校护士、牙科助理、飞行指挥员。</t>
  </si>
  <si>
    <t>SIE</t>
  </si>
  <si>
    <t>营养学家、饮食学家、海关检查员、安全检查员、税务稽查员、校长。</t>
  </si>
  <si>
    <t>SIC</t>
  </si>
  <si>
    <t>描图员、兽医助手、诊所助理、体检检查员、监督缓邢犯的工作者、娱乐指导员、咨询人员、社会科学教师。</t>
  </si>
  <si>
    <t>SIR</t>
  </si>
  <si>
    <t>理疗员、救护队工作人员、手足病医生、职业病治疗助手。</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</si>
</sst>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
  </numFmts>
  <fonts count="58">
    <font>
      <sz val="11"/>
      <color theme="1"/>
      <name val="宋体"/>
      <charset val="134"/>
      <scheme val="minor"/>
    </font>
    <font>
      <b/>
      <sz val="14"/>
      <color theme="1"/>
      <name val="华文中宋"/>
      <charset val="134"/>
    </font>
    <font>
      <sz val="12"/>
      <color theme="1"/>
      <name val="宋体"/>
      <charset val="134"/>
    </font>
    <font>
      <sz val="12"/>
      <color theme="1"/>
      <name val="宋体"/>
      <charset val="134"/>
      <scheme val="minor"/>
    </font>
    <font>
      <sz val="9"/>
      <color rgb="FF333333"/>
      <name val="Arial"/>
      <charset val="134"/>
    </font>
    <font>
      <sz val="12"/>
      <color rgb="FF000000"/>
      <name val="仿宋"/>
      <charset val="134"/>
    </font>
    <font>
      <sz val="9"/>
      <color rgb="FF333333"/>
      <name val="宋体"/>
      <charset val="134"/>
    </font>
    <font>
      <sz val="11"/>
      <color rgb="FF333333"/>
      <name val="Arial"/>
      <charset val="134"/>
    </font>
    <font>
      <sz val="11"/>
      <color rgb="FF333333"/>
      <name val="宋体"/>
      <charset val="134"/>
    </font>
    <font>
      <b/>
      <sz val="26"/>
      <color rgb="FF0070C0"/>
      <name val="华文行楷"/>
      <charset val="134"/>
    </font>
    <font>
      <sz val="14"/>
      <color theme="1"/>
      <name val="宋体"/>
      <charset val="134"/>
      <scheme val="minor"/>
    </font>
    <font>
      <sz val="10"/>
      <color rgb="FF0000FF"/>
      <name val="宋体"/>
      <charset val="134"/>
    </font>
    <font>
      <sz val="10"/>
      <color rgb="FF0000FF"/>
      <name val="Times New Roman"/>
      <charset val="134"/>
    </font>
    <font>
      <b/>
      <sz val="24"/>
      <color rgb="FF0000FF"/>
      <name val="华文行楷"/>
      <charset val="134"/>
    </font>
    <font>
      <sz val="10"/>
      <color rgb="FF0000FF"/>
      <name val="Simsun"/>
      <charset val="134"/>
    </font>
    <font>
      <sz val="10"/>
      <color theme="1"/>
      <name val="宋体"/>
      <charset val="134"/>
      <scheme val="minor"/>
    </font>
    <font>
      <sz val="12"/>
      <color rgb="FF0000FF"/>
      <name val="Simsun"/>
      <charset val="134"/>
    </font>
    <font>
      <sz val="12"/>
      <color rgb="FF0000FF"/>
      <name val="宋体"/>
      <charset val="134"/>
    </font>
    <font>
      <sz val="12"/>
      <color rgb="FF0000FF"/>
      <name val="Times New Roman"/>
      <charset val="134"/>
    </font>
    <font>
      <sz val="24"/>
      <color theme="1"/>
      <name val="华文行楷"/>
      <charset val="134"/>
    </font>
    <font>
      <b/>
      <sz val="16"/>
      <color rgb="FF0070C0"/>
      <name val="宋体"/>
      <charset val="134"/>
      <scheme val="minor"/>
    </font>
    <font>
      <b/>
      <sz val="14"/>
      <color theme="1"/>
      <name val="楷体_GB2312"/>
      <charset val="134"/>
    </font>
    <font>
      <sz val="28"/>
      <color rgb="FF0070C0"/>
      <name val="华文行楷"/>
      <charset val="134"/>
    </font>
    <font>
      <b/>
      <sz val="12"/>
      <color rgb="FF00B050"/>
      <name val="宋体"/>
      <charset val="134"/>
    </font>
    <font>
      <sz val="12"/>
      <color rgb="FF111111"/>
      <name val="宋体"/>
      <charset val="134"/>
      <scheme val="minor"/>
    </font>
    <font>
      <sz val="12"/>
      <color rgb="FF111111"/>
      <name val="Arial"/>
      <charset val="134"/>
    </font>
    <font>
      <sz val="36"/>
      <color rgb="FF00B050"/>
      <name val="华文隶书"/>
      <charset val="134"/>
    </font>
    <font>
      <sz val="26"/>
      <color rgb="FF0070C0"/>
      <name val="华文行楷"/>
      <charset val="134"/>
    </font>
    <font>
      <b/>
      <u/>
      <sz val="20"/>
      <color rgb="FF00B050"/>
      <name val="楷体"/>
      <charset val="134"/>
    </font>
    <font>
      <sz val="10.5"/>
      <color theme="1"/>
      <name val="宋体"/>
      <charset val="134"/>
    </font>
    <font>
      <sz val="48"/>
      <color rgb="FF0070C0"/>
      <name val="华文行楷"/>
      <charset val="134"/>
    </font>
    <font>
      <sz val="36"/>
      <color rgb="FF0070C0"/>
      <name val="宋体"/>
      <charset val="134"/>
      <scheme val="minor"/>
    </font>
    <font>
      <sz val="10.5"/>
      <color theme="1"/>
      <name val="宋体"/>
      <charset val="134"/>
      <scheme val="minor"/>
    </font>
    <font>
      <u/>
      <sz val="16"/>
      <color theme="3" tint="0.399975585192419"/>
      <name val="宋体"/>
      <charset val="134"/>
    </font>
    <font>
      <b/>
      <u/>
      <sz val="20"/>
      <color rgb="FF00B050"/>
      <name val="宋体"/>
      <charset val="134"/>
    </font>
    <font>
      <b/>
      <sz val="15"/>
      <color theme="3"/>
      <name val="宋体"/>
      <charset val="134"/>
      <scheme val="minor"/>
    </font>
    <font>
      <b/>
      <sz val="11"/>
      <color theme="3"/>
      <name val="宋体"/>
      <charset val="134"/>
      <scheme val="minor"/>
    </font>
    <font>
      <b/>
      <sz val="18"/>
      <color theme="3"/>
      <name val="宋体"/>
      <charset val="134"/>
      <scheme val="minor"/>
    </font>
    <font>
      <u/>
      <sz val="11"/>
      <color theme="10"/>
      <name val="宋体"/>
      <charset val="134"/>
    </font>
    <font>
      <sz val="11"/>
      <color rgb="FF9C6500"/>
      <name val="宋体"/>
      <charset val="0"/>
      <scheme val="minor"/>
    </font>
    <font>
      <b/>
      <sz val="13"/>
      <color theme="3"/>
      <name val="宋体"/>
      <charset val="134"/>
      <scheme val="minor"/>
    </font>
    <font>
      <sz val="11"/>
      <color rgb="FFFF0000"/>
      <name val="宋体"/>
      <charset val="0"/>
      <scheme val="minor"/>
    </font>
    <font>
      <sz val="11"/>
      <color rgb="FFFA7D00"/>
      <name val="宋体"/>
      <charset val="0"/>
      <scheme val="minor"/>
    </font>
    <font>
      <sz val="11"/>
      <color theme="1"/>
      <name val="宋体"/>
      <charset val="0"/>
      <scheme val="minor"/>
    </font>
    <font>
      <sz val="11"/>
      <color theme="0"/>
      <name val="宋体"/>
      <charset val="0"/>
      <scheme val="minor"/>
    </font>
    <font>
      <sz val="11"/>
      <color rgb="FF9C0006"/>
      <name val="宋体"/>
      <charset val="0"/>
      <scheme val="minor"/>
    </font>
    <font>
      <sz val="11"/>
      <color rgb="FF3F3F76"/>
      <name val="宋体"/>
      <charset val="0"/>
      <scheme val="minor"/>
    </font>
    <font>
      <b/>
      <sz val="11"/>
      <color rgb="FF3F3F3F"/>
      <name val="宋体"/>
      <charset val="0"/>
      <scheme val="minor"/>
    </font>
    <font>
      <i/>
      <sz val="11"/>
      <color rgb="FF7F7F7F"/>
      <name val="宋体"/>
      <charset val="0"/>
      <scheme val="minor"/>
    </font>
    <font>
      <u/>
      <sz val="11"/>
      <color rgb="FF800080"/>
      <name val="宋体"/>
      <charset val="0"/>
      <scheme val="minor"/>
    </font>
    <font>
      <b/>
      <sz val="11"/>
      <color rgb="FFFA7D00"/>
      <name val="宋体"/>
      <charset val="0"/>
      <scheme val="minor"/>
    </font>
    <font>
      <b/>
      <sz val="11"/>
      <color rgb="FFFFFFFF"/>
      <name val="宋体"/>
      <charset val="0"/>
      <scheme val="minor"/>
    </font>
    <font>
      <b/>
      <sz val="11"/>
      <color theme="1"/>
      <name val="宋体"/>
      <charset val="0"/>
      <scheme val="minor"/>
    </font>
    <font>
      <sz val="11"/>
      <color rgb="FF006100"/>
      <name val="宋体"/>
      <charset val="0"/>
      <scheme val="minor"/>
    </font>
    <font>
      <b/>
      <sz val="12"/>
      <color rgb="FF00B050"/>
      <name val="Calibri"/>
      <charset val="134"/>
    </font>
    <font>
      <sz val="12"/>
      <color rgb="FF111111"/>
      <name val="宋体"/>
      <charset val="134"/>
    </font>
    <font>
      <sz val="11"/>
      <color theme="1"/>
      <name val="宋体"/>
      <charset val="134"/>
    </font>
    <font>
      <sz val="10.5"/>
      <color theme="1"/>
      <name val="Times New Roman"/>
      <charset val="134"/>
    </font>
  </fonts>
  <fills count="34">
    <fill>
      <patternFill patternType="none"/>
    </fill>
    <fill>
      <patternFill patternType="gray125"/>
    </fill>
    <fill>
      <patternFill patternType="solid">
        <fgColor theme="4" tint="0.799981688894314"/>
        <bgColor indexed="64"/>
      </patternFill>
    </fill>
    <fill>
      <patternFill patternType="solid">
        <fgColor theme="2"/>
        <bgColor indexed="64"/>
      </patternFill>
    </fill>
    <fill>
      <patternFill patternType="solid">
        <fgColor rgb="FFFFFFCC"/>
        <bgColor indexed="64"/>
      </patternFill>
    </fill>
    <fill>
      <patternFill patternType="solid">
        <fgColor rgb="FFFFEB9C"/>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rgb="FFFFC7CE"/>
        <bgColor indexed="64"/>
      </patternFill>
    </fill>
    <fill>
      <patternFill patternType="solid">
        <fgColor theme="9"/>
        <bgColor indexed="64"/>
      </patternFill>
    </fill>
    <fill>
      <patternFill patternType="solid">
        <fgColor theme="6" tint="0.599993896298105"/>
        <bgColor indexed="64"/>
      </patternFill>
    </fill>
    <fill>
      <patternFill patternType="solid">
        <fgColor theme="8"/>
        <bgColor indexed="64"/>
      </patternFill>
    </fill>
    <fill>
      <patternFill patternType="solid">
        <fgColor theme="5"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4"/>
        <bgColor indexed="64"/>
      </patternFill>
    </fill>
    <fill>
      <patternFill patternType="solid">
        <fgColor theme="6"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rgb="FFA5A5A5"/>
        <bgColor indexed="64"/>
      </patternFill>
    </fill>
    <fill>
      <patternFill patternType="solid">
        <fgColor theme="7"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rgb="FFC6EFCE"/>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43" fillId="19" borderId="0" applyNumberFormat="0" applyBorder="0" applyAlignment="0" applyProtection="0">
      <alignment vertical="center"/>
    </xf>
    <xf numFmtId="0" fontId="46" fillId="15"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3" fillId="12" borderId="0" applyNumberFormat="0" applyBorder="0" applyAlignment="0" applyProtection="0">
      <alignment vertical="center"/>
    </xf>
    <xf numFmtId="0" fontId="45" fillId="10" borderId="0" applyNumberFormat="0" applyBorder="0" applyAlignment="0" applyProtection="0">
      <alignment vertical="center"/>
    </xf>
    <xf numFmtId="43" fontId="0" fillId="0" borderId="0" applyFont="0" applyFill="0" applyBorder="0" applyAlignment="0" applyProtection="0">
      <alignment vertical="center"/>
    </xf>
    <xf numFmtId="0" fontId="44" fillId="23" borderId="0" applyNumberFormat="0" applyBorder="0" applyAlignment="0" applyProtection="0">
      <alignment vertical="center"/>
    </xf>
    <xf numFmtId="0" fontId="38" fillId="0" borderId="0" applyNumberFormat="0" applyFill="0" applyBorder="0" applyAlignment="0" applyProtection="0">
      <alignment vertical="top"/>
      <protection locked="0"/>
    </xf>
    <xf numFmtId="9" fontId="0" fillId="0" borderId="0" applyFont="0" applyFill="0" applyBorder="0" applyAlignment="0" applyProtection="0">
      <alignment vertical="center"/>
    </xf>
    <xf numFmtId="0" fontId="49" fillId="0" borderId="0" applyNumberFormat="0" applyFill="0" applyBorder="0" applyAlignment="0" applyProtection="0">
      <alignment vertical="center"/>
    </xf>
    <xf numFmtId="0" fontId="0" fillId="4" borderId="3" applyNumberFormat="0" applyFont="0" applyAlignment="0" applyProtection="0">
      <alignment vertical="center"/>
    </xf>
    <xf numFmtId="0" fontId="44" fillId="14" borderId="0" applyNumberFormat="0" applyBorder="0" applyAlignment="0" applyProtection="0">
      <alignment vertical="center"/>
    </xf>
    <xf numFmtId="0" fontId="36"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35" fillId="0" borderId="2" applyNumberFormat="0" applyFill="0" applyAlignment="0" applyProtection="0">
      <alignment vertical="center"/>
    </xf>
    <xf numFmtId="0" fontId="40" fillId="0" borderId="2" applyNumberFormat="0" applyFill="0" applyAlignment="0" applyProtection="0">
      <alignment vertical="center"/>
    </xf>
    <xf numFmtId="0" fontId="44" fillId="22" borderId="0" applyNumberFormat="0" applyBorder="0" applyAlignment="0" applyProtection="0">
      <alignment vertical="center"/>
    </xf>
    <xf numFmtId="0" fontId="36" fillId="0" borderId="4" applyNumberFormat="0" applyFill="0" applyAlignment="0" applyProtection="0">
      <alignment vertical="center"/>
    </xf>
    <xf numFmtId="0" fontId="44" fillId="21" borderId="0" applyNumberFormat="0" applyBorder="0" applyAlignment="0" applyProtection="0">
      <alignment vertical="center"/>
    </xf>
    <xf numFmtId="0" fontId="47" fillId="20" borderId="7" applyNumberFormat="0" applyAlignment="0" applyProtection="0">
      <alignment vertical="center"/>
    </xf>
    <xf numFmtId="0" fontId="50" fillId="20" borderId="6" applyNumberFormat="0" applyAlignment="0" applyProtection="0">
      <alignment vertical="center"/>
    </xf>
    <xf numFmtId="0" fontId="51" fillId="27" borderId="8" applyNumberFormat="0" applyAlignment="0" applyProtection="0">
      <alignment vertical="center"/>
    </xf>
    <xf numFmtId="0" fontId="43" fillId="9" borderId="0" applyNumberFormat="0" applyBorder="0" applyAlignment="0" applyProtection="0">
      <alignment vertical="center"/>
    </xf>
    <xf numFmtId="0" fontId="44" fillId="8" borderId="0" applyNumberFormat="0" applyBorder="0" applyAlignment="0" applyProtection="0">
      <alignment vertical="center"/>
    </xf>
    <xf numFmtId="0" fontId="42" fillId="0" borderId="5" applyNumberFormat="0" applyFill="0" applyAlignment="0" applyProtection="0">
      <alignment vertical="center"/>
    </xf>
    <xf numFmtId="0" fontId="52" fillId="0" borderId="9" applyNumberFormat="0" applyFill="0" applyAlignment="0" applyProtection="0">
      <alignment vertical="center"/>
    </xf>
    <xf numFmtId="0" fontId="53" fillId="33" borderId="0" applyNumberFormat="0" applyBorder="0" applyAlignment="0" applyProtection="0">
      <alignment vertical="center"/>
    </xf>
    <xf numFmtId="0" fontId="39" fillId="5" borderId="0" applyNumberFormat="0" applyBorder="0" applyAlignment="0" applyProtection="0">
      <alignment vertical="center"/>
    </xf>
    <xf numFmtId="0" fontId="43" fillId="26" borderId="0" applyNumberFormat="0" applyBorder="0" applyAlignment="0" applyProtection="0">
      <alignment vertical="center"/>
    </xf>
    <xf numFmtId="0" fontId="44" fillId="18" borderId="0" applyNumberFormat="0" applyBorder="0" applyAlignment="0" applyProtection="0">
      <alignment vertical="center"/>
    </xf>
    <xf numFmtId="0" fontId="43" fillId="2" borderId="0" applyNumberFormat="0" applyBorder="0" applyAlignment="0" applyProtection="0">
      <alignment vertical="center"/>
    </xf>
    <xf numFmtId="0" fontId="43" fillId="7" borderId="0" applyNumberFormat="0" applyBorder="0" applyAlignment="0" applyProtection="0">
      <alignment vertical="center"/>
    </xf>
    <xf numFmtId="0" fontId="43" fillId="32" borderId="0" applyNumberFormat="0" applyBorder="0" applyAlignment="0" applyProtection="0">
      <alignment vertical="center"/>
    </xf>
    <xf numFmtId="0" fontId="43" fillId="30" borderId="0" applyNumberFormat="0" applyBorder="0" applyAlignment="0" applyProtection="0">
      <alignment vertical="center"/>
    </xf>
    <xf numFmtId="0" fontId="44" fillId="31" borderId="0" applyNumberFormat="0" applyBorder="0" applyAlignment="0" applyProtection="0">
      <alignment vertical="center"/>
    </xf>
    <xf numFmtId="0" fontId="44" fillId="29" borderId="0" applyNumberFormat="0" applyBorder="0" applyAlignment="0" applyProtection="0">
      <alignment vertical="center"/>
    </xf>
    <xf numFmtId="0" fontId="43" fillId="6" borderId="0" applyNumberFormat="0" applyBorder="0" applyAlignment="0" applyProtection="0">
      <alignment vertical="center"/>
    </xf>
    <xf numFmtId="0" fontId="43" fillId="28" borderId="0" applyNumberFormat="0" applyBorder="0" applyAlignment="0" applyProtection="0">
      <alignment vertical="center"/>
    </xf>
    <xf numFmtId="0" fontId="44" fillId="13" borderId="0" applyNumberFormat="0" applyBorder="0" applyAlignment="0" applyProtection="0">
      <alignment vertical="center"/>
    </xf>
    <xf numFmtId="0" fontId="43" fillId="17" borderId="0" applyNumberFormat="0" applyBorder="0" applyAlignment="0" applyProtection="0">
      <alignment vertical="center"/>
    </xf>
    <xf numFmtId="0" fontId="44" fillId="25" borderId="0" applyNumberFormat="0" applyBorder="0" applyAlignment="0" applyProtection="0">
      <alignment vertical="center"/>
    </xf>
    <xf numFmtId="0" fontId="44" fillId="11" borderId="0" applyNumberFormat="0" applyBorder="0" applyAlignment="0" applyProtection="0">
      <alignment vertical="center"/>
    </xf>
    <xf numFmtId="0" fontId="43" fillId="16" borderId="0" applyNumberFormat="0" applyBorder="0" applyAlignment="0" applyProtection="0">
      <alignment vertical="center"/>
    </xf>
    <xf numFmtId="0" fontId="44" fillId="24" borderId="0" applyNumberFormat="0" applyBorder="0" applyAlignment="0" applyProtection="0">
      <alignment vertical="center"/>
    </xf>
    <xf numFmtId="0" fontId="0" fillId="0" borderId="0">
      <alignment vertical="center"/>
    </xf>
  </cellStyleXfs>
  <cellXfs count="78">
    <xf numFmtId="0" fontId="0" fillId="0" borderId="0" xfId="0">
      <alignment vertical="center"/>
    </xf>
    <xf numFmtId="0" fontId="0" fillId="0" borderId="0" xfId="0" applyAlignment="1">
      <alignment horizontal="center" vertical="center"/>
    </xf>
    <xf numFmtId="0" fontId="1" fillId="0" borderId="0" xfId="0" applyFont="1" applyAlignment="1">
      <alignment horizontal="center" vertical="center"/>
    </xf>
    <xf numFmtId="0" fontId="2" fillId="0" borderId="0" xfId="0" applyFont="1" applyAlignment="1">
      <alignment horizontal="left" vertical="center"/>
    </xf>
    <xf numFmtId="0" fontId="3" fillId="0" borderId="0" xfId="0" applyFont="1">
      <alignment vertical="center"/>
    </xf>
    <xf numFmtId="0" fontId="4" fillId="0" borderId="0" xfId="0" applyFont="1" applyAlignment="1">
      <alignment horizontal="justify" vertical="center"/>
    </xf>
    <xf numFmtId="0" fontId="5" fillId="0" borderId="0" xfId="0" applyFont="1">
      <alignment vertical="center"/>
    </xf>
    <xf numFmtId="0" fontId="6" fillId="0" borderId="0" xfId="0" applyFont="1" applyAlignment="1">
      <alignment horizontal="justify" vertical="center"/>
    </xf>
    <xf numFmtId="0" fontId="7" fillId="0" borderId="0" xfId="0" applyFont="1" applyAlignment="1">
      <alignment vertical="center" wrapText="1"/>
    </xf>
    <xf numFmtId="0" fontId="8" fillId="0" borderId="0" xfId="0" applyFont="1" applyAlignment="1">
      <alignment vertical="center" wrapText="1"/>
    </xf>
    <xf numFmtId="0" fontId="0" fillId="0" borderId="0" xfId="0" applyFont="1" applyFill="1" applyAlignment="1"/>
    <xf numFmtId="176" fontId="0" fillId="0" borderId="0" xfId="0" applyNumberFormat="1">
      <alignment vertical="center"/>
    </xf>
    <xf numFmtId="0" fontId="9" fillId="0" borderId="0" xfId="0" applyFont="1" applyAlignment="1">
      <alignment horizontal="center" vertical="center"/>
    </xf>
    <xf numFmtId="0" fontId="10" fillId="0" borderId="0" xfId="0" applyFont="1" applyAlignment="1" applyProtection="1">
      <alignment horizontal="left" vertical="center"/>
      <protection hidden="1"/>
    </xf>
    <xf numFmtId="0" fontId="10" fillId="0" borderId="0" xfId="0" applyFont="1">
      <alignment vertical="center"/>
    </xf>
    <xf numFmtId="0" fontId="10" fillId="0" borderId="0" xfId="0" applyFont="1" applyAlignment="1">
      <alignment horizontal="center" vertical="center"/>
    </xf>
    <xf numFmtId="0" fontId="10" fillId="0" borderId="0" xfId="0" applyFont="1" applyAlignment="1" applyProtection="1">
      <alignment horizontal="center" vertical="center"/>
      <protection hidden="1"/>
    </xf>
    <xf numFmtId="0" fontId="10" fillId="0" borderId="0" xfId="0" applyFont="1" applyProtection="1">
      <alignment vertical="center"/>
      <protection hidden="1"/>
    </xf>
    <xf numFmtId="176" fontId="0" fillId="0" borderId="0" xfId="0" applyNumberFormat="1" applyProtection="1">
      <alignment vertical="center"/>
      <protection hidden="1"/>
    </xf>
    <xf numFmtId="176" fontId="11" fillId="0" borderId="0" xfId="0" applyNumberFormat="1" applyFont="1" applyBorder="1" applyAlignment="1">
      <alignment horizontal="center" vertical="top" wrapText="1"/>
    </xf>
    <xf numFmtId="176" fontId="12" fillId="0" borderId="0" xfId="0" applyNumberFormat="1" applyFont="1" applyBorder="1" applyAlignment="1">
      <alignment vertical="top" wrapText="1"/>
    </xf>
    <xf numFmtId="176" fontId="11" fillId="0" borderId="0" xfId="0" applyNumberFormat="1" applyFont="1" applyBorder="1" applyAlignment="1">
      <alignment vertical="top" wrapText="1"/>
    </xf>
    <xf numFmtId="0" fontId="0" fillId="0" borderId="0" xfId="0" applyAlignment="1" applyProtection="1">
      <alignment horizontal="center" vertical="center"/>
      <protection locked="0"/>
    </xf>
    <xf numFmtId="176" fontId="0" fillId="0" borderId="0" xfId="0" applyNumberFormat="1" applyAlignment="1">
      <alignment horizontal="center" vertical="center"/>
    </xf>
    <xf numFmtId="0" fontId="13" fillId="0" borderId="0" xfId="0" applyFont="1" applyAlignment="1">
      <alignment horizontal="center" vertical="center"/>
    </xf>
    <xf numFmtId="0" fontId="14" fillId="0" borderId="0" xfId="0" applyFont="1" applyAlignment="1">
      <alignment horizontal="center" vertical="center"/>
    </xf>
    <xf numFmtId="0" fontId="14" fillId="0" borderId="0" xfId="0" applyFont="1" applyAlignment="1" applyProtection="1">
      <alignment horizontal="center" vertical="center"/>
      <protection locked="0"/>
    </xf>
    <xf numFmtId="0" fontId="15" fillId="0" borderId="0" xfId="0" applyFont="1" applyAlignment="1">
      <alignment horizontal="center" vertical="center"/>
    </xf>
    <xf numFmtId="0" fontId="15" fillId="0" borderId="0" xfId="0" applyFont="1" applyAlignment="1" applyProtection="1">
      <alignment horizontal="center" vertical="center"/>
      <protection locked="0"/>
    </xf>
    <xf numFmtId="0" fontId="14" fillId="0" borderId="0" xfId="0" applyFont="1">
      <alignment vertical="center"/>
    </xf>
    <xf numFmtId="0" fontId="3" fillId="0" borderId="1" xfId="0" applyFont="1" applyBorder="1" applyAlignment="1">
      <alignment horizontal="center" vertical="center"/>
    </xf>
    <xf numFmtId="0" fontId="16" fillId="0" borderId="1" xfId="0" applyFont="1" applyBorder="1">
      <alignment vertical="center"/>
    </xf>
    <xf numFmtId="0" fontId="3" fillId="0" borderId="1" xfId="0" applyFont="1" applyBorder="1" applyAlignment="1" applyProtection="1">
      <alignment horizontal="center" vertical="center"/>
      <protection locked="0"/>
    </xf>
    <xf numFmtId="0" fontId="0" fillId="0" borderId="1" xfId="0" applyBorder="1" applyAlignment="1">
      <alignment horizontal="center" vertical="center"/>
    </xf>
    <xf numFmtId="0" fontId="17" fillId="0" borderId="1" xfId="0" applyFont="1" applyBorder="1">
      <alignment vertical="center"/>
    </xf>
    <xf numFmtId="0" fontId="0" fillId="0" borderId="1" xfId="0" applyBorder="1" applyAlignment="1" applyProtection="1">
      <alignment horizontal="center" vertical="center"/>
      <protection locked="0"/>
    </xf>
    <xf numFmtId="176" fontId="3" fillId="0" borderId="0" xfId="0" applyNumberFormat="1" applyFont="1" applyAlignment="1">
      <alignment horizontal="center" vertical="center"/>
    </xf>
    <xf numFmtId="176" fontId="3" fillId="0" borderId="0" xfId="0" applyNumberFormat="1" applyFont="1">
      <alignment vertical="center"/>
    </xf>
    <xf numFmtId="176" fontId="17" fillId="0" borderId="0" xfId="0" applyNumberFormat="1" applyFont="1" applyBorder="1" applyAlignment="1">
      <alignment vertical="top" wrapText="1"/>
    </xf>
    <xf numFmtId="0" fontId="17" fillId="0" borderId="0" xfId="0" applyFont="1" applyBorder="1" applyAlignment="1">
      <alignment vertical="top" wrapText="1"/>
    </xf>
    <xf numFmtId="0" fontId="18" fillId="0" borderId="1" xfId="0" applyFont="1" applyBorder="1">
      <alignment vertical="center"/>
    </xf>
    <xf numFmtId="0" fontId="19" fillId="0" borderId="0" xfId="0" applyFont="1" applyAlignment="1">
      <alignment horizontal="center" vertical="center"/>
    </xf>
    <xf numFmtId="0" fontId="20" fillId="0" borderId="0" xfId="0" applyFont="1" applyAlignment="1" applyProtection="1">
      <alignment horizontal="left" vertical="center"/>
      <protection hidden="1"/>
    </xf>
    <xf numFmtId="0" fontId="21" fillId="0" borderId="0" xfId="0" applyFont="1" applyAlignment="1" applyProtection="1">
      <alignment horizontal="right" vertical="center"/>
      <protection hidden="1"/>
    </xf>
    <xf numFmtId="0" fontId="21" fillId="0" borderId="0" xfId="0" applyFont="1" applyAlignment="1" applyProtection="1">
      <alignment horizontal="left" vertical="center"/>
      <protection hidden="1"/>
    </xf>
    <xf numFmtId="0" fontId="0" fillId="0" borderId="0" xfId="0" applyAlignment="1" applyProtection="1">
      <alignment horizontal="left" vertical="center"/>
      <protection hidden="1"/>
    </xf>
    <xf numFmtId="0" fontId="0" fillId="0" borderId="0" xfId="0" applyAlignment="1" applyProtection="1">
      <alignment horizontal="center" vertical="center"/>
      <protection hidden="1"/>
    </xf>
    <xf numFmtId="0" fontId="0" fillId="0" borderId="0" xfId="0" applyAlignment="1" applyProtection="1">
      <alignment horizontal="left" vertical="center" wrapText="1"/>
      <protection hidden="1"/>
    </xf>
    <xf numFmtId="0" fontId="0" fillId="0" borderId="0" xfId="0" applyAlignment="1" applyProtection="1">
      <alignment horizontal="left" vertical="top" wrapText="1"/>
      <protection hidden="1"/>
    </xf>
    <xf numFmtId="0" fontId="0" fillId="0" borderId="0" xfId="0" applyAlignment="1">
      <alignment vertical="top" wrapText="1"/>
    </xf>
    <xf numFmtId="176" fontId="0" fillId="0" borderId="0" xfId="0" applyNumberFormat="1" applyAlignment="1" applyProtection="1">
      <alignment horizontal="center" vertical="center"/>
      <protection hidden="1"/>
    </xf>
    <xf numFmtId="176" fontId="10" fillId="0" borderId="0" xfId="0" applyNumberFormat="1" applyFont="1">
      <alignment vertical="center"/>
    </xf>
    <xf numFmtId="176" fontId="10" fillId="0" borderId="0" xfId="0" applyNumberFormat="1" applyFont="1" applyAlignment="1">
      <alignment horizontal="center" vertical="center"/>
    </xf>
    <xf numFmtId="176" fontId="21" fillId="0" borderId="0" xfId="0" applyNumberFormat="1" applyFont="1" applyAlignment="1">
      <alignment horizontal="center" vertical="center"/>
    </xf>
    <xf numFmtId="176" fontId="10" fillId="0" borderId="0" xfId="0" applyNumberFormat="1" applyFont="1" applyAlignment="1" applyProtection="1">
      <alignment horizontal="center" vertical="center"/>
      <protection hidden="1"/>
    </xf>
    <xf numFmtId="0" fontId="0" fillId="0" borderId="0" xfId="0" applyAlignment="1">
      <alignment horizontal="left" vertical="center"/>
    </xf>
    <xf numFmtId="0" fontId="0" fillId="0" borderId="0" xfId="0" applyAlignment="1">
      <alignment horizontal="left" vertical="center" wrapText="1"/>
    </xf>
    <xf numFmtId="176" fontId="10" fillId="0" borderId="0" xfId="0" applyNumberFormat="1" applyFont="1" applyProtection="1">
      <alignment vertical="center"/>
      <protection hidden="1"/>
    </xf>
    <xf numFmtId="0" fontId="3" fillId="0" borderId="0" xfId="0" applyFont="1" applyAlignment="1">
      <alignment horizontal="center" vertical="center"/>
    </xf>
    <xf numFmtId="0" fontId="22" fillId="0" borderId="0" xfId="0" applyFont="1" applyAlignment="1">
      <alignment horizontal="center" vertical="center"/>
    </xf>
    <xf numFmtId="0" fontId="23" fillId="0" borderId="0" xfId="0" applyFont="1" applyAlignment="1">
      <alignment horizontal="left" vertical="center" wrapText="1"/>
    </xf>
    <xf numFmtId="0" fontId="23" fillId="0" borderId="0" xfId="0" applyFont="1" applyAlignment="1" applyProtection="1">
      <alignment horizontal="left" vertical="center" wrapText="1"/>
      <protection locked="0"/>
    </xf>
    <xf numFmtId="0" fontId="24" fillId="0" borderId="1" xfId="0" applyFont="1" applyBorder="1">
      <alignment vertical="center"/>
    </xf>
    <xf numFmtId="0" fontId="3" fillId="0" borderId="1" xfId="0" applyFont="1" applyBorder="1" applyAlignment="1" applyProtection="1">
      <alignment horizontal="center" vertical="center"/>
      <protection locked="0"/>
    </xf>
    <xf numFmtId="0" fontId="25" fillId="0" borderId="1" xfId="0" applyFont="1" applyBorder="1">
      <alignment vertical="center"/>
    </xf>
    <xf numFmtId="0" fontId="0" fillId="2" borderId="0" xfId="0" applyFill="1">
      <alignment vertical="center"/>
    </xf>
    <xf numFmtId="0" fontId="0" fillId="3" borderId="0" xfId="0" applyFill="1">
      <alignment vertical="center"/>
    </xf>
    <xf numFmtId="0" fontId="26" fillId="3" borderId="0" xfId="0" applyFont="1" applyFill="1" applyAlignment="1">
      <alignment horizontal="center" vertical="center"/>
    </xf>
    <xf numFmtId="0" fontId="27" fillId="3" borderId="0" xfId="0" applyFont="1" applyFill="1" applyAlignment="1">
      <alignment horizontal="left" vertical="center" wrapText="1"/>
    </xf>
    <xf numFmtId="0" fontId="28" fillId="3" borderId="0" xfId="10" applyFont="1" applyFill="1" applyAlignment="1" applyProtection="1">
      <alignment horizontal="center" vertical="center"/>
    </xf>
    <xf numFmtId="0" fontId="29" fillId="3" borderId="0" xfId="0" applyFont="1" applyFill="1" applyAlignment="1">
      <alignment horizontal="left" vertical="center" wrapText="1"/>
    </xf>
    <xf numFmtId="0" fontId="30" fillId="3" borderId="0" xfId="0" applyFont="1" applyFill="1" applyAlignment="1">
      <alignment horizontal="center" vertical="center"/>
    </xf>
    <xf numFmtId="0" fontId="31" fillId="3" borderId="0" xfId="0" applyFont="1" applyFill="1" applyAlignment="1">
      <alignment horizontal="center" vertical="center"/>
    </xf>
    <xf numFmtId="0" fontId="0" fillId="3" borderId="0" xfId="0" applyFont="1" applyFill="1" applyAlignment="1">
      <alignment horizontal="left" vertical="center" wrapText="1"/>
    </xf>
    <xf numFmtId="0" fontId="0" fillId="3" borderId="0" xfId="0" applyFill="1" applyAlignment="1">
      <alignment horizontal="left" vertical="center" wrapText="1"/>
    </xf>
    <xf numFmtId="0" fontId="32" fillId="3" borderId="0" xfId="0" applyFont="1" applyFill="1">
      <alignment vertical="center"/>
    </xf>
    <xf numFmtId="0" fontId="33" fillId="3" borderId="0" xfId="10" applyFont="1" applyFill="1" applyAlignment="1" applyProtection="1">
      <alignment horizontal="left" vertical="center"/>
    </xf>
    <xf numFmtId="0" fontId="34" fillId="3" borderId="0" xfId="10" applyFont="1" applyFill="1" applyAlignment="1" applyProtection="1">
      <alignment horizontal="center"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9"/>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r>
              <a:rPr lang="zh-CN" altLang="en-US"/>
              <a:t>结果图</a:t>
            </a:r>
            <a:endParaRPr lang="zh-CN" altLang="en-US"/>
          </a:p>
        </c:rich>
      </c:tx>
      <c:layout/>
      <c:overlay val="0"/>
    </c:title>
    <c:autoTitleDeleted val="0"/>
    <c:plotArea>
      <c:layout/>
      <c:radarChart>
        <c:radarStyle val="marker"/>
        <c:varyColors val="0"/>
        <c:ser>
          <c:idx val="0"/>
          <c:order val="0"/>
          <c:dLbls>
            <c:delete val="1"/>
          </c:dLbls>
          <c:cat>
            <c:multiLvlStrRef>
              <c:f>结果!$B$5:$C$10</c:f>
              <c:multiLvlStrCache>
                <c:ptCount val="6"/>
                <c:lvl>
                  <c:pt idx="0">
                    <c:v>S</c:v>
                  </c:pt>
                  <c:pt idx="1">
                    <c:v>A</c:v>
                  </c:pt>
                  <c:pt idx="2">
                    <c:v>C</c:v>
                  </c:pt>
                  <c:pt idx="3">
                    <c:v>I</c:v>
                  </c:pt>
                  <c:pt idx="4">
                    <c:v>E</c:v>
                  </c:pt>
                  <c:pt idx="5">
                    <c:v>R</c:v>
                  </c:pt>
                </c:lvl>
                <c:lvl>
                  <c:pt idx="0">
                    <c:v>社会型</c:v>
                  </c:pt>
                  <c:pt idx="1">
                    <c:v>艺术型</c:v>
                  </c:pt>
                  <c:pt idx="2">
                    <c:v>传统型</c:v>
                  </c:pt>
                  <c:pt idx="3">
                    <c:v>研究型</c:v>
                  </c:pt>
                  <c:pt idx="4">
                    <c:v>企业型</c:v>
                  </c:pt>
                  <c:pt idx="5">
                    <c:v>现实型</c:v>
                  </c:pt>
                </c:lvl>
              </c:multiLvlStrCache>
            </c:multiLvlStrRef>
          </c:cat>
          <c:val>
            <c:numRef>
              <c:f>结果!$D$5:$D$10</c:f>
              <c:numCache>
                <c:formatCode>General</c:formatCode>
                <c:ptCount val="6"/>
                <c:pt idx="0">
                  <c:v>7</c:v>
                </c:pt>
                <c:pt idx="1">
                  <c:v>6</c:v>
                </c:pt>
                <c:pt idx="2">
                  <c:v>5</c:v>
                </c:pt>
                <c:pt idx="3">
                  <c:v>5</c:v>
                </c:pt>
                <c:pt idx="4">
                  <c:v>4</c:v>
                </c:pt>
                <c:pt idx="5">
                  <c:v>3</c:v>
                </c:pt>
              </c:numCache>
            </c:numRef>
          </c:val>
        </c:ser>
        <c:dLbls>
          <c:showLegendKey val="0"/>
          <c:showVal val="0"/>
          <c:showCatName val="0"/>
          <c:showSerName val="0"/>
          <c:showPercent val="0"/>
          <c:showBubbleSize val="0"/>
        </c:dLbls>
        <c:axId val="77264000"/>
        <c:axId val="77265536"/>
      </c:radarChart>
      <c:catAx>
        <c:axId val="77264000"/>
        <c:scaling>
          <c:orientation val="minMax"/>
        </c:scaling>
        <c:delete val="0"/>
        <c:axPos val="b"/>
        <c:majorGridlines/>
        <c:majorTickMark val="none"/>
        <c:minorTickMark val="none"/>
        <c:tickLblPos val="nextTo"/>
        <c:spPr>
          <a:ln w="9525" cap="flat" cmpd="sng" algn="ctr">
            <a:noFill/>
            <a:prstDash val="solid"/>
            <a:round/>
          </a:ln>
        </c:spPr>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7265536"/>
        <c:crosses val="autoZero"/>
        <c:auto val="1"/>
        <c:lblAlgn val="ctr"/>
        <c:lblOffset val="100"/>
        <c:noMultiLvlLbl val="0"/>
      </c:catAx>
      <c:valAx>
        <c:axId val="77265536"/>
        <c:scaling>
          <c:orientation val="minMax"/>
        </c:scaling>
        <c:delete val="0"/>
        <c:axPos val="l"/>
        <c:majorGridlines/>
        <c:numFmt formatCode="General" sourceLinked="1"/>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7264000"/>
        <c:crosses val="autoZero"/>
        <c:crossBetween val="between"/>
      </c:valAx>
    </c:plotArea>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333375</xdr:colOff>
      <xdr:row>2</xdr:row>
      <xdr:rowOff>238124</xdr:rowOff>
    </xdr:from>
    <xdr:to>
      <xdr:col>8</xdr:col>
      <xdr:colOff>619125</xdr:colOff>
      <xdr:row>10</xdr:row>
      <xdr:rowOff>219073</xdr:rowOff>
    </xdr:to>
    <xdr:graphicFrame>
      <xdr:nvGraphicFramePr>
        <xdr:cNvPr id="2" name="图表 1"/>
        <xdr:cNvGraphicFramePr/>
      </xdr:nvGraphicFramePr>
      <xdr:xfrm>
        <a:off x="3314700" y="751840"/>
        <a:ext cx="3209925" cy="2722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shop35394430.taobao.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openxmlformats.org/officeDocument/2006/relationships/hyperlink" Target="http://baike.so.com/doc/1486291-1571645.html" TargetMode="External"/><Relationship Id="rId2" Type="http://schemas.openxmlformats.org/officeDocument/2006/relationships/hyperlink" Target="http://www.so.com/s?q=%E4%BA%BA%E9%99%85%E5%85%B3%E7%B3%BB&amp;ie=utf-8&amp;src=wenda_link" TargetMode="External"/><Relationship Id="rId1" Type="http://schemas.openxmlformats.org/officeDocument/2006/relationships/hyperlink" Target="http://www.so.com/s?q=%E6%B5%85%E5%B0%9D%E8%BE%84%E6%AD%A2&amp;ie=utf-8&amp;src=wenda_lin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D26"/>
  <sheetViews>
    <sheetView showGridLines="0" tabSelected="1" workbookViewId="0">
      <selection activeCell="A1" sqref="A1"/>
    </sheetView>
  </sheetViews>
  <sheetFormatPr defaultColWidth="0" defaultRowHeight="13.5" customHeight="1" zeroHeight="1"/>
  <cols>
    <col min="1" max="14" width="9" style="66" customWidth="1"/>
    <col min="15" max="16384" width="9" style="66" hidden="1"/>
  </cols>
  <sheetData>
    <row r="1"/>
    <row r="2"/>
    <row r="3"/>
    <row r="4"/>
    <row r="5"/>
    <row r="6" ht="61.5" spans="7:7">
      <c r="G6" s="71" t="s">
        <v>0</v>
      </c>
    </row>
    <row r="7" ht="46.5" spans="7:7">
      <c r="G7" s="72" t="s">
        <v>1</v>
      </c>
    </row>
    <row r="8"/>
    <row r="9"/>
    <row r="10" ht="56.25" customHeight="1" spans="1:14">
      <c r="A10" s="73" t="s">
        <v>2</v>
      </c>
      <c r="B10" s="74"/>
      <c r="C10" s="74"/>
      <c r="D10" s="74"/>
      <c r="E10" s="74"/>
      <c r="F10" s="74"/>
      <c r="G10" s="74"/>
      <c r="H10" s="74"/>
      <c r="I10" s="74"/>
      <c r="J10" s="74"/>
      <c r="K10" s="74"/>
      <c r="L10" s="74"/>
      <c r="M10" s="74"/>
      <c r="N10" s="74"/>
    </row>
    <row r="11" s="70" customFormat="1" ht="69.75" customHeight="1" spans="1:1">
      <c r="A11" s="70" t="s">
        <v>3</v>
      </c>
    </row>
    <row r="12" spans="1:1">
      <c r="A12" s="75"/>
    </row>
    <row r="13"/>
    <row r="14"/>
    <row r="15"/>
    <row r="16" ht="25.5" spans="11:13">
      <c r="K16" s="77" t="s">
        <v>4</v>
      </c>
      <c r="L16" s="77"/>
      <c r="M16" s="77"/>
    </row>
    <row r="17"/>
    <row r="18"/>
    <row r="19"/>
    <row r="20" ht="20.25" spans="7:8">
      <c r="G20" s="76" t="s">
        <v>5</v>
      </c>
      <c r="H20" s="76"/>
    </row>
    <row r="21" hidden="1"/>
    <row r="22" hidden="1"/>
    <row r="23" hidden="1"/>
    <row r="24" hidden="1"/>
    <row r="25" hidden="1"/>
    <row r="26" hidden="1"/>
  </sheetData>
  <sheetProtection password="C64F" sheet="1" objects="1" scenarios="1"/>
  <mergeCells count="4">
    <mergeCell ref="A10:N10"/>
    <mergeCell ref="A11:XFD11"/>
    <mergeCell ref="K16:M16"/>
    <mergeCell ref="G20:H20"/>
  </mergeCells>
  <hyperlinks>
    <hyperlink ref="K16:M16" location="首页!A1" display="进入测试&gt;&gt;&gt;&gt;&gt;"/>
    <hyperlink ref="G20:H20" r:id="rId1" display="更多测试题&gt;&gt;&gt;&gt;"/>
  </hyperlinks>
  <pageMargins left="0.699305555555556" right="0.699305555555556" top="0.75" bottom="0.75" header="0.3" footer="0.3"/>
  <pageSetup paperSize="9" orientation="landscape"/>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B78"/>
  <sheetViews>
    <sheetView workbookViewId="0">
      <selection activeCell="B56" sqref="B56"/>
    </sheetView>
  </sheetViews>
  <sheetFormatPr defaultColWidth="9" defaultRowHeight="13.5" outlineLevelCol="1"/>
  <cols>
    <col min="1" max="1" width="9" style="1"/>
    <col min="2" max="2" width="81.125" customWidth="1"/>
  </cols>
  <sheetData>
    <row r="2" ht="19.5" spans="2:2">
      <c r="B2" s="2" t="s">
        <v>556</v>
      </c>
    </row>
    <row r="3" ht="14.25" spans="1:2">
      <c r="A3" s="1" t="s">
        <v>557</v>
      </c>
      <c r="B3" s="3" t="s">
        <v>558</v>
      </c>
    </row>
    <row r="4" ht="14.25" spans="1:2">
      <c r="A4" s="1" t="s">
        <v>559</v>
      </c>
      <c r="B4" s="3" t="s">
        <v>560</v>
      </c>
    </row>
    <row r="5" ht="14.25" spans="1:2">
      <c r="A5" s="1" t="s">
        <v>561</v>
      </c>
      <c r="B5" s="3" t="s">
        <v>562</v>
      </c>
    </row>
    <row r="6" ht="14.25" spans="1:2">
      <c r="A6" s="1" t="s">
        <v>563</v>
      </c>
      <c r="B6" s="3" t="s">
        <v>564</v>
      </c>
    </row>
    <row r="7" ht="14.25" spans="1:2">
      <c r="A7" s="1" t="s">
        <v>565</v>
      </c>
      <c r="B7" s="3" t="s">
        <v>566</v>
      </c>
    </row>
    <row r="8" ht="14.25" spans="1:2">
      <c r="A8" s="1" t="s">
        <v>567</v>
      </c>
      <c r="B8" s="3" t="s">
        <v>568</v>
      </c>
    </row>
    <row r="9" ht="14.25" spans="1:2">
      <c r="A9" s="1" t="s">
        <v>569</v>
      </c>
      <c r="B9" s="3" t="s">
        <v>570</v>
      </c>
    </row>
    <row r="10" ht="14.25" spans="1:2">
      <c r="A10" s="1" t="s">
        <v>571</v>
      </c>
      <c r="B10" s="3" t="s">
        <v>572</v>
      </c>
    </row>
    <row r="11" ht="14.25" spans="1:2">
      <c r="A11" s="1" t="s">
        <v>573</v>
      </c>
      <c r="B11" s="3" t="s">
        <v>574</v>
      </c>
    </row>
    <row r="12" ht="14.25" spans="1:2">
      <c r="A12" s="1" t="s">
        <v>575</v>
      </c>
      <c r="B12" s="3" t="s">
        <v>576</v>
      </c>
    </row>
    <row r="13" ht="14.25" spans="1:2">
      <c r="A13" s="1" t="s">
        <v>577</v>
      </c>
      <c r="B13" s="3" t="s">
        <v>578</v>
      </c>
    </row>
    <row r="14" ht="14.25" spans="1:2">
      <c r="A14" s="1" t="s">
        <v>579</v>
      </c>
      <c r="B14" s="3" t="s">
        <v>580</v>
      </c>
    </row>
    <row r="15" ht="14.25" spans="1:2">
      <c r="A15" s="1" t="s">
        <v>581</v>
      </c>
      <c r="B15" s="3" t="s">
        <v>582</v>
      </c>
    </row>
    <row r="16" ht="14.25" spans="1:2">
      <c r="A16" s="1" t="s">
        <v>583</v>
      </c>
      <c r="B16" s="3" t="s">
        <v>584</v>
      </c>
    </row>
    <row r="17" ht="14.25" spans="1:2">
      <c r="A17" s="1" t="s">
        <v>585</v>
      </c>
      <c r="B17" s="3" t="s">
        <v>586</v>
      </c>
    </row>
    <row r="18" ht="14.25" spans="1:2">
      <c r="A18" s="1" t="s">
        <v>587</v>
      </c>
      <c r="B18" s="3" t="s">
        <v>588</v>
      </c>
    </row>
    <row r="19" ht="14.25" spans="1:2">
      <c r="A19" s="1" t="s">
        <v>589</v>
      </c>
      <c r="B19" s="3" t="s">
        <v>590</v>
      </c>
    </row>
    <row r="20" ht="14.25" spans="1:2">
      <c r="A20" s="1" t="s">
        <v>591</v>
      </c>
      <c r="B20" s="3" t="s">
        <v>592</v>
      </c>
    </row>
    <row r="21" ht="14.25" spans="1:2">
      <c r="A21" s="1" t="s">
        <v>593</v>
      </c>
      <c r="B21" s="3" t="s">
        <v>594</v>
      </c>
    </row>
    <row r="22" ht="14.25" spans="1:2">
      <c r="A22" s="1" t="s">
        <v>595</v>
      </c>
      <c r="B22" s="3" t="s">
        <v>596</v>
      </c>
    </row>
    <row r="23" ht="14.25" spans="1:2">
      <c r="A23" s="1" t="s">
        <v>597</v>
      </c>
      <c r="B23" s="3" t="s">
        <v>598</v>
      </c>
    </row>
    <row r="24" ht="14.25" spans="1:2">
      <c r="A24" s="1" t="s">
        <v>599</v>
      </c>
      <c r="B24" s="3" t="s">
        <v>600</v>
      </c>
    </row>
    <row r="25" ht="14.25" spans="1:2">
      <c r="A25" s="1" t="s">
        <v>601</v>
      </c>
      <c r="B25" s="3" t="s">
        <v>602</v>
      </c>
    </row>
    <row r="26" ht="14.25" spans="1:2">
      <c r="A26" s="1" t="s">
        <v>603</v>
      </c>
      <c r="B26" s="3" t="s">
        <v>604</v>
      </c>
    </row>
    <row r="27" ht="14.25" spans="1:2">
      <c r="A27" s="1" t="s">
        <v>605</v>
      </c>
      <c r="B27" s="3" t="s">
        <v>606</v>
      </c>
    </row>
    <row r="28" ht="14.25" spans="1:2">
      <c r="A28" s="1" t="s">
        <v>607</v>
      </c>
      <c r="B28" s="3" t="s">
        <v>608</v>
      </c>
    </row>
    <row r="29" ht="14.25" spans="1:2">
      <c r="A29" s="1" t="s">
        <v>609</v>
      </c>
      <c r="B29" s="3" t="s">
        <v>610</v>
      </c>
    </row>
    <row r="30" ht="14.25" spans="1:2">
      <c r="A30" s="1" t="s">
        <v>611</v>
      </c>
      <c r="B30" s="3" t="s">
        <v>612</v>
      </c>
    </row>
    <row r="31" ht="14.25" spans="1:2">
      <c r="A31" s="1" t="s">
        <v>613</v>
      </c>
      <c r="B31" s="3" t="s">
        <v>614</v>
      </c>
    </row>
    <row r="32" ht="14.25" spans="1:2">
      <c r="A32" s="1" t="s">
        <v>615</v>
      </c>
      <c r="B32" s="3" t="s">
        <v>616</v>
      </c>
    </row>
    <row r="33" ht="14.25" spans="1:2">
      <c r="A33" s="1" t="s">
        <v>617</v>
      </c>
      <c r="B33" s="3" t="s">
        <v>618</v>
      </c>
    </row>
    <row r="34" ht="14.25" spans="1:2">
      <c r="A34" s="1" t="s">
        <v>619</v>
      </c>
      <c r="B34" s="3" t="s">
        <v>620</v>
      </c>
    </row>
    <row r="35" ht="14.25" spans="1:2">
      <c r="A35" s="1" t="s">
        <v>621</v>
      </c>
      <c r="B35" s="3" t="s">
        <v>622</v>
      </c>
    </row>
    <row r="36" ht="14.25" spans="1:2">
      <c r="A36" s="1" t="s">
        <v>623</v>
      </c>
      <c r="B36" s="3" t="s">
        <v>624</v>
      </c>
    </row>
    <row r="37" ht="14.25" spans="1:2">
      <c r="A37" s="1" t="s">
        <v>625</v>
      </c>
      <c r="B37" s="3" t="s">
        <v>626</v>
      </c>
    </row>
    <row r="38" ht="14.25" spans="1:2">
      <c r="A38" s="1" t="s">
        <v>627</v>
      </c>
      <c r="B38" s="3" t="s">
        <v>628</v>
      </c>
    </row>
    <row r="39" ht="14.25" spans="1:2">
      <c r="A39" s="1" t="s">
        <v>629</v>
      </c>
      <c r="B39" s="3" t="s">
        <v>630</v>
      </c>
    </row>
    <row r="40" ht="14.25" spans="1:2">
      <c r="A40" s="1" t="s">
        <v>631</v>
      </c>
      <c r="B40" s="3" t="s">
        <v>632</v>
      </c>
    </row>
    <row r="41" ht="14.25" spans="1:2">
      <c r="A41" s="1" t="s">
        <v>633</v>
      </c>
      <c r="B41" s="3" t="s">
        <v>634</v>
      </c>
    </row>
    <row r="42" ht="14.25" spans="1:2">
      <c r="A42" s="1" t="s">
        <v>635</v>
      </c>
      <c r="B42" s="3" t="s">
        <v>636</v>
      </c>
    </row>
    <row r="43" ht="14.25" spans="1:2">
      <c r="A43" s="1" t="s">
        <v>637</v>
      </c>
      <c r="B43" s="3" t="s">
        <v>638</v>
      </c>
    </row>
    <row r="44" ht="14.25" spans="1:2">
      <c r="A44" s="1" t="s">
        <v>639</v>
      </c>
      <c r="B44" s="3" t="s">
        <v>640</v>
      </c>
    </row>
    <row r="45" ht="14.25" spans="1:2">
      <c r="A45" s="1" t="s">
        <v>641</v>
      </c>
      <c r="B45" s="3" t="s">
        <v>642</v>
      </c>
    </row>
    <row r="46" ht="14.25" spans="1:2">
      <c r="A46" s="1" t="s">
        <v>643</v>
      </c>
      <c r="B46" s="3" t="s">
        <v>644</v>
      </c>
    </row>
    <row r="47" ht="14.25" spans="1:2">
      <c r="A47" s="1" t="s">
        <v>645</v>
      </c>
      <c r="B47" s="3" t="s">
        <v>646</v>
      </c>
    </row>
    <row r="48" ht="14.25" spans="1:2">
      <c r="A48" s="1" t="s">
        <v>647</v>
      </c>
      <c r="B48" s="3" t="s">
        <v>648</v>
      </c>
    </row>
    <row r="49" ht="14.25" spans="1:2">
      <c r="A49" s="1" t="s">
        <v>649</v>
      </c>
      <c r="B49" s="3" t="s">
        <v>650</v>
      </c>
    </row>
    <row r="50" ht="14.25" spans="1:2">
      <c r="A50" s="1" t="s">
        <v>651</v>
      </c>
      <c r="B50" s="3" t="s">
        <v>652</v>
      </c>
    </row>
    <row r="51" ht="14.25" spans="1:2">
      <c r="A51" s="1" t="s">
        <v>653</v>
      </c>
      <c r="B51" s="3" t="s">
        <v>654</v>
      </c>
    </row>
    <row r="52" ht="14.25" spans="1:2">
      <c r="A52" s="1" t="s">
        <v>655</v>
      </c>
      <c r="B52" s="3" t="s">
        <v>656</v>
      </c>
    </row>
    <row r="53" ht="14.25" spans="1:2">
      <c r="A53" s="1" t="s">
        <v>657</v>
      </c>
      <c r="B53" s="3" t="s">
        <v>658</v>
      </c>
    </row>
    <row r="54" ht="14.25" spans="1:2">
      <c r="A54" s="1" t="s">
        <v>659</v>
      </c>
      <c r="B54" s="3" t="s">
        <v>660</v>
      </c>
    </row>
    <row r="55" ht="14.25" spans="1:2">
      <c r="A55" s="1" t="s">
        <v>661</v>
      </c>
      <c r="B55" s="3" t="s">
        <v>662</v>
      </c>
    </row>
    <row r="56" ht="14.25" spans="1:2">
      <c r="A56" s="1" t="s">
        <v>663</v>
      </c>
      <c r="B56" s="3" t="s">
        <v>664</v>
      </c>
    </row>
    <row r="57" ht="14.25" spans="1:2">
      <c r="A57" s="1" t="s">
        <v>665</v>
      </c>
      <c r="B57" s="3" t="s">
        <v>666</v>
      </c>
    </row>
    <row r="58" ht="14.25" spans="1:2">
      <c r="A58" s="1" t="s">
        <v>667</v>
      </c>
      <c r="B58" s="3" t="s">
        <v>668</v>
      </c>
    </row>
    <row r="59" ht="14.25" spans="1:2">
      <c r="A59" s="1" t="s">
        <v>669</v>
      </c>
      <c r="B59" s="3" t="s">
        <v>670</v>
      </c>
    </row>
    <row r="60" ht="14.25" spans="1:2">
      <c r="A60" s="1" t="s">
        <v>671</v>
      </c>
      <c r="B60" s="3" t="s">
        <v>672</v>
      </c>
    </row>
    <row r="61" ht="14.25" spans="1:2">
      <c r="A61" s="1" t="s">
        <v>673</v>
      </c>
      <c r="B61" s="3" t="s">
        <v>674</v>
      </c>
    </row>
    <row r="62" ht="14.25" spans="1:2">
      <c r="A62" s="1" t="s">
        <v>675</v>
      </c>
      <c r="B62" s="3" t="s">
        <v>676</v>
      </c>
    </row>
    <row r="63" ht="14.25" spans="1:2">
      <c r="A63" s="1" t="s">
        <v>677</v>
      </c>
      <c r="B63" s="3" t="s">
        <v>678</v>
      </c>
    </row>
    <row r="64" ht="14.25" spans="1:2">
      <c r="A64" s="1" t="s">
        <v>679</v>
      </c>
      <c r="B64" s="3" t="s">
        <v>680</v>
      </c>
    </row>
    <row r="65" ht="14.25" spans="1:2">
      <c r="A65" s="1" t="s">
        <v>681</v>
      </c>
      <c r="B65" s="3" t="s">
        <v>682</v>
      </c>
    </row>
    <row r="66" ht="14.25" spans="1:2">
      <c r="A66" s="1" t="s">
        <v>683</v>
      </c>
      <c r="B66" s="3" t="s">
        <v>684</v>
      </c>
    </row>
    <row r="67" ht="14.25" spans="1:2">
      <c r="A67" s="1" t="s">
        <v>685</v>
      </c>
      <c r="B67" s="3" t="s">
        <v>686</v>
      </c>
    </row>
    <row r="68" ht="14.25" spans="1:2">
      <c r="A68" s="1" t="s">
        <v>687</v>
      </c>
      <c r="B68" s="3" t="s">
        <v>688</v>
      </c>
    </row>
    <row r="69" ht="14.25" spans="1:2">
      <c r="A69" s="1" t="s">
        <v>689</v>
      </c>
      <c r="B69" s="3" t="s">
        <v>690</v>
      </c>
    </row>
    <row r="70" ht="14.25" spans="1:2">
      <c r="A70" s="1" t="s">
        <v>691</v>
      </c>
      <c r="B70" s="3" t="s">
        <v>692</v>
      </c>
    </row>
    <row r="71" ht="14.25" spans="1:2">
      <c r="A71" s="1" t="s">
        <v>693</v>
      </c>
      <c r="B71" s="3" t="s">
        <v>694</v>
      </c>
    </row>
    <row r="72" ht="14.25" spans="1:2">
      <c r="A72" s="1" t="s">
        <v>695</v>
      </c>
      <c r="B72" s="3" t="s">
        <v>696</v>
      </c>
    </row>
    <row r="73" ht="14.25" spans="1:2">
      <c r="A73" s="1" t="s">
        <v>697</v>
      </c>
      <c r="B73" s="3" t="s">
        <v>698</v>
      </c>
    </row>
    <row r="74" ht="14.25" spans="1:2">
      <c r="A74" s="1" t="s">
        <v>699</v>
      </c>
      <c r="B74" s="3" t="s">
        <v>700</v>
      </c>
    </row>
    <row r="75" ht="14.25" spans="1:2">
      <c r="A75" s="1" t="s">
        <v>701</v>
      </c>
      <c r="B75" s="3" t="s">
        <v>702</v>
      </c>
    </row>
    <row r="76" ht="14.25" spans="1:2">
      <c r="A76" s="1" t="s">
        <v>703</v>
      </c>
      <c r="B76" s="3" t="s">
        <v>704</v>
      </c>
    </row>
    <row r="77" ht="14.25" spans="1:2">
      <c r="A77" s="1" t="s">
        <v>705</v>
      </c>
      <c r="B77" s="3" t="s">
        <v>706</v>
      </c>
    </row>
    <row r="78" ht="14.25" spans="1:2">
      <c r="A78" s="1" t="s">
        <v>707</v>
      </c>
      <c r="B78" s="4" t="s">
        <v>708</v>
      </c>
    </row>
  </sheetData>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18"/>
  <sheetViews>
    <sheetView showGridLines="0" workbookViewId="0">
      <selection activeCell="A1" sqref="A1"/>
    </sheetView>
  </sheetViews>
  <sheetFormatPr defaultColWidth="0" defaultRowHeight="13.5" customHeight="1" zeroHeight="1"/>
  <cols>
    <col min="1" max="15" width="9" style="65" customWidth="1"/>
    <col min="16" max="16384" width="9" hidden="1"/>
  </cols>
  <sheetData>
    <row r="1" ht="46.5" spans="1:15">
      <c r="A1" s="66"/>
      <c r="B1" s="66"/>
      <c r="C1" s="66"/>
      <c r="D1" s="66"/>
      <c r="E1" s="66"/>
      <c r="F1" s="66"/>
      <c r="G1" s="66"/>
      <c r="H1" s="67" t="s">
        <v>6</v>
      </c>
      <c r="I1" s="66"/>
      <c r="J1" s="66"/>
      <c r="K1" s="66"/>
      <c r="L1" s="66"/>
      <c r="M1" s="66"/>
      <c r="N1" s="66"/>
      <c r="O1" s="66"/>
    </row>
    <row r="2" ht="40.5" customHeight="1" spans="1:15">
      <c r="A2" s="66"/>
      <c r="B2" s="66"/>
      <c r="C2" s="66"/>
      <c r="D2" s="66"/>
      <c r="E2" s="66"/>
      <c r="F2" s="66"/>
      <c r="G2" s="66"/>
      <c r="H2" s="66"/>
      <c r="I2" s="66"/>
      <c r="J2" s="66"/>
      <c r="K2" s="66"/>
      <c r="L2" s="66"/>
      <c r="M2" s="66"/>
      <c r="N2" s="66"/>
      <c r="O2" s="66"/>
    </row>
    <row r="3" ht="126" customHeight="1" spans="1:15">
      <c r="A3" s="66"/>
      <c r="B3" s="68" t="s">
        <v>7</v>
      </c>
      <c r="C3" s="68"/>
      <c r="D3" s="68"/>
      <c r="E3" s="68"/>
      <c r="F3" s="68"/>
      <c r="G3" s="68"/>
      <c r="H3" s="68"/>
      <c r="I3" s="68"/>
      <c r="J3" s="68"/>
      <c r="K3" s="68"/>
      <c r="L3" s="68"/>
      <c r="M3" s="68"/>
      <c r="N3" s="68"/>
      <c r="O3" s="66"/>
    </row>
    <row r="4" ht="55.5" customHeight="1" spans="1:15">
      <c r="A4" s="66"/>
      <c r="B4" s="68" t="s">
        <v>8</v>
      </c>
      <c r="C4" s="68"/>
      <c r="D4" s="68"/>
      <c r="E4" s="68"/>
      <c r="F4" s="68"/>
      <c r="G4" s="68"/>
      <c r="H4" s="68"/>
      <c r="I4" s="68"/>
      <c r="J4" s="68"/>
      <c r="K4" s="68"/>
      <c r="L4" s="68"/>
      <c r="M4" s="68"/>
      <c r="N4" s="68"/>
      <c r="O4" s="66"/>
    </row>
    <row r="5" spans="1:15">
      <c r="A5" s="66"/>
      <c r="B5" s="66"/>
      <c r="C5" s="66"/>
      <c r="D5" s="66"/>
      <c r="E5" s="66"/>
      <c r="F5" s="66"/>
      <c r="G5" s="66"/>
      <c r="H5" s="66"/>
      <c r="I5" s="66"/>
      <c r="J5" s="66"/>
      <c r="K5" s="66"/>
      <c r="L5" s="66"/>
      <c r="M5" s="66"/>
      <c r="N5" s="66"/>
      <c r="O5" s="66"/>
    </row>
    <row r="6" spans="1:15">
      <c r="A6" s="66"/>
      <c r="B6" s="66"/>
      <c r="C6" s="66"/>
      <c r="D6" s="66"/>
      <c r="E6" s="66"/>
      <c r="F6" s="66"/>
      <c r="G6" s="66"/>
      <c r="H6" s="66"/>
      <c r="I6" s="66"/>
      <c r="J6" s="66"/>
      <c r="K6" s="66"/>
      <c r="L6" s="66"/>
      <c r="M6" s="66"/>
      <c r="N6" s="66"/>
      <c r="O6" s="66"/>
    </row>
    <row r="7" spans="1:15">
      <c r="A7" s="66"/>
      <c r="B7" s="66"/>
      <c r="C7" s="66"/>
      <c r="D7" s="66"/>
      <c r="E7" s="66"/>
      <c r="F7" s="66"/>
      <c r="G7" s="66"/>
      <c r="H7" s="66"/>
      <c r="I7" s="66"/>
      <c r="J7" s="66"/>
      <c r="K7" s="66"/>
      <c r="L7" s="66"/>
      <c r="M7" s="66"/>
      <c r="N7" s="66"/>
      <c r="O7" s="66"/>
    </row>
    <row r="8" spans="1:15">
      <c r="A8" s="66"/>
      <c r="B8" s="66"/>
      <c r="C8" s="66"/>
      <c r="D8" s="66"/>
      <c r="E8" s="66"/>
      <c r="F8" s="66"/>
      <c r="G8" s="66"/>
      <c r="H8" s="66"/>
      <c r="I8" s="66"/>
      <c r="J8" s="66"/>
      <c r="K8" s="66"/>
      <c r="L8" s="66"/>
      <c r="M8" s="66"/>
      <c r="N8" s="66"/>
      <c r="O8" s="66"/>
    </row>
    <row r="9" spans="1:15">
      <c r="A9" s="66"/>
      <c r="B9" s="66"/>
      <c r="C9" s="66"/>
      <c r="D9" s="66"/>
      <c r="E9" s="66"/>
      <c r="F9" s="66"/>
      <c r="G9" s="66"/>
      <c r="H9" s="66"/>
      <c r="I9" s="66"/>
      <c r="J9" s="66"/>
      <c r="K9" s="66"/>
      <c r="L9" s="66"/>
      <c r="M9" s="66"/>
      <c r="N9" s="66"/>
      <c r="O9" s="66"/>
    </row>
    <row r="10" ht="25.5" spans="1:15">
      <c r="A10" s="66"/>
      <c r="B10" s="66"/>
      <c r="C10" s="66"/>
      <c r="D10" s="66"/>
      <c r="E10" s="66"/>
      <c r="F10" s="66"/>
      <c r="G10" s="66"/>
      <c r="H10" s="66"/>
      <c r="I10" s="66"/>
      <c r="J10" s="66"/>
      <c r="K10" s="66"/>
      <c r="L10" s="69" t="s">
        <v>9</v>
      </c>
      <c r="M10" s="69"/>
      <c r="N10" s="69"/>
      <c r="O10" s="66"/>
    </row>
    <row r="11" spans="1:15">
      <c r="A11" s="66"/>
      <c r="B11" s="66"/>
      <c r="C11" s="66"/>
      <c r="D11" s="66"/>
      <c r="E11" s="66"/>
      <c r="F11" s="66"/>
      <c r="G11" s="66"/>
      <c r="H11" s="66"/>
      <c r="I11" s="66"/>
      <c r="J11" s="66"/>
      <c r="K11" s="66"/>
      <c r="L11" s="66"/>
      <c r="M11" s="66"/>
      <c r="N11" s="66"/>
      <c r="O11" s="66"/>
    </row>
    <row r="12" spans="1:15">
      <c r="A12" s="66"/>
      <c r="B12" s="66"/>
      <c r="C12" s="66"/>
      <c r="D12" s="66"/>
      <c r="E12" s="66"/>
      <c r="F12" s="66"/>
      <c r="G12" s="66"/>
      <c r="H12" s="66"/>
      <c r="I12" s="66"/>
      <c r="J12" s="66"/>
      <c r="K12" s="66"/>
      <c r="L12" s="66"/>
      <c r="M12" s="66"/>
      <c r="N12" s="66"/>
      <c r="O12" s="66"/>
    </row>
    <row r="13" spans="1:15">
      <c r="A13" s="66"/>
      <c r="B13" s="66"/>
      <c r="C13" s="66"/>
      <c r="D13" s="66"/>
      <c r="E13" s="66"/>
      <c r="F13" s="66"/>
      <c r="G13" s="66"/>
      <c r="H13" s="66"/>
      <c r="I13" s="66"/>
      <c r="J13" s="66"/>
      <c r="K13" s="66"/>
      <c r="L13" s="66"/>
      <c r="M13" s="66"/>
      <c r="N13" s="66"/>
      <c r="O13" s="66"/>
    </row>
    <row r="14" spans="1:15">
      <c r="A14" s="66"/>
      <c r="B14" s="66"/>
      <c r="C14" s="66"/>
      <c r="D14" s="66"/>
      <c r="E14" s="66"/>
      <c r="F14" s="66"/>
      <c r="G14" s="66"/>
      <c r="H14" s="66"/>
      <c r="I14" s="66"/>
      <c r="J14" s="66"/>
      <c r="K14" s="66"/>
      <c r="L14" s="66"/>
      <c r="M14" s="66"/>
      <c r="N14" s="66"/>
      <c r="O14" s="66"/>
    </row>
    <row r="15" spans="1:15">
      <c r="A15" s="66"/>
      <c r="B15" s="66"/>
      <c r="C15" s="66"/>
      <c r="D15" s="66"/>
      <c r="E15" s="66"/>
      <c r="F15" s="66"/>
      <c r="G15" s="66"/>
      <c r="H15" s="66"/>
      <c r="I15" s="66"/>
      <c r="J15" s="66"/>
      <c r="K15" s="66"/>
      <c r="L15" s="66"/>
      <c r="M15" s="66"/>
      <c r="N15" s="66"/>
      <c r="O15" s="66"/>
    </row>
    <row r="16" spans="1:15">
      <c r="A16" s="66"/>
      <c r="B16" s="66"/>
      <c r="C16" s="66"/>
      <c r="D16" s="66"/>
      <c r="E16" s="66"/>
      <c r="F16" s="66"/>
      <c r="G16" s="66"/>
      <c r="H16" s="66"/>
      <c r="I16" s="66"/>
      <c r="J16" s="66"/>
      <c r="K16" s="66"/>
      <c r="L16" s="66"/>
      <c r="M16" s="66"/>
      <c r="N16" s="66"/>
      <c r="O16" s="66"/>
    </row>
    <row r="17" spans="1:15">
      <c r="A17" s="66"/>
      <c r="B17" s="66"/>
      <c r="C17" s="66"/>
      <c r="D17" s="66"/>
      <c r="E17" s="66"/>
      <c r="F17" s="66"/>
      <c r="G17" s="66"/>
      <c r="H17" s="66"/>
      <c r="I17" s="66"/>
      <c r="J17" s="66"/>
      <c r="K17" s="66"/>
      <c r="L17" s="66"/>
      <c r="M17" s="66"/>
      <c r="N17" s="66"/>
      <c r="O17" s="66"/>
    </row>
    <row r="18" spans="1:15">
      <c r="A18" s="66"/>
      <c r="B18" s="66"/>
      <c r="C18" s="66"/>
      <c r="D18" s="66"/>
      <c r="E18" s="66"/>
      <c r="F18" s="66"/>
      <c r="G18" s="66"/>
      <c r="H18" s="66"/>
      <c r="I18" s="66"/>
      <c r="J18" s="66"/>
      <c r="K18" s="66"/>
      <c r="L18" s="66"/>
      <c r="M18" s="66"/>
      <c r="N18" s="66"/>
      <c r="O18" s="66"/>
    </row>
  </sheetData>
  <sheetProtection password="C64F" sheet="1" objects="1" scenarios="1"/>
  <mergeCells count="3">
    <mergeCell ref="B3:N3"/>
    <mergeCell ref="B4:N4"/>
    <mergeCell ref="L10:N10"/>
  </mergeCells>
  <hyperlinks>
    <hyperlink ref="L10:N10" location="题目!C4" display="确认开始&gt;&gt;&gt;&gt;&gt;"/>
  </hyperlinks>
  <printOptions horizontalCentered="1" verticalCentered="1"/>
  <pageMargins left="0.511805555555556" right="0.511805555555556" top="0.55" bottom="0.55" header="0.313888888888889" footer="0.313888888888889"/>
  <pageSetup paperSize="9"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showGridLines="0" workbookViewId="0">
      <selection activeCell="A1" sqref="A1"/>
    </sheetView>
  </sheetViews>
  <sheetFormatPr defaultColWidth="0" defaultRowHeight="13.5" zeroHeight="1"/>
  <cols>
    <col min="1" max="1" width="9" style="1" customWidth="1"/>
    <col min="2" max="2" width="81.25" customWidth="1"/>
    <col min="3" max="3" width="9" style="22" customWidth="1"/>
    <col min="4" max="5" width="9" hidden="1" customWidth="1"/>
    <col min="6" max="8" width="0" hidden="1" customWidth="1"/>
    <col min="9" max="9" width="0" style="1" hidden="1" customWidth="1"/>
    <col min="10" max="10" width="0" hidden="1" customWidth="1"/>
    <col min="11" max="16384" width="9" hidden="1"/>
  </cols>
  <sheetData>
    <row r="1" ht="35.25" spans="2:2">
      <c r="B1" s="59" t="s">
        <v>10</v>
      </c>
    </row>
    <row r="2" ht="44.25" customHeight="1" spans="1:3">
      <c r="A2" s="60" t="s">
        <v>11</v>
      </c>
      <c r="B2" s="60"/>
      <c r="C2" s="61"/>
    </row>
    <row r="3" s="58" customFormat="1" ht="20.1" customHeight="1" spans="1:10">
      <c r="A3" s="30" t="s">
        <v>12</v>
      </c>
      <c r="B3" s="30" t="s">
        <v>13</v>
      </c>
      <c r="C3" s="32" t="s">
        <v>14</v>
      </c>
      <c r="J3" s="58">
        <f ca="1">COUNTA(C:C)-1</f>
        <v>60</v>
      </c>
    </row>
    <row r="4" s="4" customFormat="1" ht="20.1" customHeight="1" spans="1:9">
      <c r="A4" s="30" t="s">
        <v>15</v>
      </c>
      <c r="B4" s="62" t="s">
        <v>16</v>
      </c>
      <c r="C4" s="32" t="str">
        <f ca="1">INDIRECT(ADDRESS(2,6,2,1,"职业倾向数据"))</f>
        <v>是</v>
      </c>
      <c r="G4" s="4" t="s">
        <v>17</v>
      </c>
      <c r="H4" s="4">
        <f ca="1">IF(C4="","",IF(C4="是",F4,G4))</f>
        <v>0</v>
      </c>
      <c r="I4" s="58"/>
    </row>
    <row r="5" s="4" customFormat="1" ht="20.1" customHeight="1" spans="1:10">
      <c r="A5" s="30" t="s">
        <v>18</v>
      </c>
      <c r="B5" s="62" t="s">
        <v>19</v>
      </c>
      <c r="C5" s="63" t="str">
        <f ca="1">INDIRECT(ADDRESS(2,7,2,1,"职业倾向数据"))</f>
        <v>是</v>
      </c>
      <c r="F5" s="4" t="s">
        <v>20</v>
      </c>
      <c r="H5" s="4" t="str">
        <f ca="1" t="shared" ref="H5:H63" si="0">IF(C5="","",IF(C5="是",F5,G5))</f>
        <v>R</v>
      </c>
      <c r="I5" s="58" t="s">
        <v>21</v>
      </c>
      <c r="J5" s="4">
        <f ca="1">COUNTIF(H:H,I5)</f>
        <v>5</v>
      </c>
    </row>
    <row r="6" s="4" customFormat="1" ht="20.1" customHeight="1" spans="1:10">
      <c r="A6" s="30" t="s">
        <v>22</v>
      </c>
      <c r="B6" s="62" t="s">
        <v>23</v>
      </c>
      <c r="C6" s="63" t="str">
        <f ca="1">INDIRECT(ADDRESS(2,8,2,1,"职业倾向数据"))</f>
        <v>是</v>
      </c>
      <c r="G6" s="4" t="s">
        <v>24</v>
      </c>
      <c r="H6" s="4">
        <f ca="1" t="shared" si="0"/>
        <v>0</v>
      </c>
      <c r="I6" s="58" t="s">
        <v>20</v>
      </c>
      <c r="J6" s="4">
        <f ca="1" t="shared" ref="J6:J10" si="1">COUNTIF(H:H,I6)</f>
        <v>3</v>
      </c>
    </row>
    <row r="7" s="4" customFormat="1" ht="20.1" customHeight="1" spans="1:10">
      <c r="A7" s="30" t="s">
        <v>25</v>
      </c>
      <c r="B7" s="62" t="s">
        <v>26</v>
      </c>
      <c r="C7" s="63" t="str">
        <f ca="1">INDIRECT(ADDRESS(2,9,2,1,"职业倾向数据"))</f>
        <v>否</v>
      </c>
      <c r="F7" s="4" t="s">
        <v>27</v>
      </c>
      <c r="H7" s="4">
        <f ca="1" t="shared" si="0"/>
        <v>0</v>
      </c>
      <c r="I7" s="58" t="s">
        <v>28</v>
      </c>
      <c r="J7" s="4">
        <f ca="1" t="shared" si="1"/>
        <v>5</v>
      </c>
    </row>
    <row r="8" s="4" customFormat="1" ht="20.1" customHeight="1" spans="1:10">
      <c r="A8" s="30" t="s">
        <v>29</v>
      </c>
      <c r="B8" s="62" t="s">
        <v>30</v>
      </c>
      <c r="C8" s="63" t="str">
        <f ca="1">INDIRECT(ADDRESS(2,10,2,1,"职业倾向数据"))</f>
        <v>是</v>
      </c>
      <c r="G8" s="4" t="s">
        <v>21</v>
      </c>
      <c r="H8" s="4">
        <f ca="1" t="shared" si="0"/>
        <v>0</v>
      </c>
      <c r="I8" s="58" t="s">
        <v>24</v>
      </c>
      <c r="J8" s="4">
        <f ca="1" t="shared" si="1"/>
        <v>4</v>
      </c>
    </row>
    <row r="9" s="4" customFormat="1" ht="20.1" customHeight="1" spans="1:10">
      <c r="A9" s="30" t="s">
        <v>31</v>
      </c>
      <c r="B9" s="62" t="s">
        <v>32</v>
      </c>
      <c r="C9" s="63" t="str">
        <f ca="1">INDIRECT(ADDRESS(2,11,2,1,"职业倾向数据"))</f>
        <v>是</v>
      </c>
      <c r="F9" s="4" t="s">
        <v>28</v>
      </c>
      <c r="H9" s="4" t="str">
        <f ca="1" t="shared" si="0"/>
        <v>I</v>
      </c>
      <c r="I9" s="58" t="s">
        <v>17</v>
      </c>
      <c r="J9" s="4">
        <f ca="1" t="shared" si="1"/>
        <v>7</v>
      </c>
    </row>
    <row r="10" s="4" customFormat="1" ht="20.1" customHeight="1" spans="1:10">
      <c r="A10" s="30" t="s">
        <v>33</v>
      </c>
      <c r="B10" s="62" t="s">
        <v>34</v>
      </c>
      <c r="C10" s="63" t="str">
        <f ca="1">INDIRECT(ADDRESS(2,12,2,1,"职业倾向数据"))</f>
        <v>是</v>
      </c>
      <c r="F10" s="4" t="s">
        <v>21</v>
      </c>
      <c r="H10" s="4" t="str">
        <f ca="1" t="shared" si="0"/>
        <v>C</v>
      </c>
      <c r="I10" s="58" t="s">
        <v>27</v>
      </c>
      <c r="J10" s="4">
        <f ca="1" t="shared" si="1"/>
        <v>6</v>
      </c>
    </row>
    <row r="11" s="4" customFormat="1" ht="20.1" customHeight="1" spans="1:9">
      <c r="A11" s="30" t="s">
        <v>35</v>
      </c>
      <c r="B11" s="62" t="s">
        <v>36</v>
      </c>
      <c r="C11" s="63" t="str">
        <f ca="1">INDIRECT(ADDRESS(2,13,2,1,"职业倾向数据"))</f>
        <v>否</v>
      </c>
      <c r="F11" s="4" t="s">
        <v>28</v>
      </c>
      <c r="H11" s="4">
        <f ca="1" t="shared" si="0"/>
        <v>0</v>
      </c>
      <c r="I11" s="58"/>
    </row>
    <row r="12" s="4" customFormat="1" ht="20.1" customHeight="1" spans="1:9">
      <c r="A12" s="30" t="s">
        <v>37</v>
      </c>
      <c r="B12" s="62" t="s">
        <v>38</v>
      </c>
      <c r="C12" s="63" t="str">
        <f ca="1">INDIRECT(ADDRESS(2,14,2,1,"职业倾向数据"))</f>
        <v>是</v>
      </c>
      <c r="F12" s="4" t="s">
        <v>27</v>
      </c>
      <c r="H12" s="4" t="str">
        <f ca="1" t="shared" si="0"/>
        <v>A</v>
      </c>
      <c r="I12" s="58"/>
    </row>
    <row r="13" s="4" customFormat="1" ht="20.1" customHeight="1" spans="1:9">
      <c r="A13" s="30" t="s">
        <v>39</v>
      </c>
      <c r="B13" s="62" t="s">
        <v>40</v>
      </c>
      <c r="C13" s="63" t="str">
        <f ca="1">INDIRECT(ADDRESS(2,15,2,1,"职业倾向数据"))</f>
        <v>是</v>
      </c>
      <c r="F13" s="4" t="s">
        <v>27</v>
      </c>
      <c r="H13" s="4" t="str">
        <f ca="1" t="shared" si="0"/>
        <v>A</v>
      </c>
      <c r="I13" s="58"/>
    </row>
    <row r="14" s="4" customFormat="1" ht="20.1" customHeight="1" spans="1:9">
      <c r="A14" s="30" t="s">
        <v>41</v>
      </c>
      <c r="B14" s="62" t="s">
        <v>42</v>
      </c>
      <c r="C14" s="63" t="str">
        <f ca="1">INDIRECT(ADDRESS(2,16,2,1,"职业倾向数据"))</f>
        <v>是</v>
      </c>
      <c r="F14" s="4" t="s">
        <v>24</v>
      </c>
      <c r="H14" s="4" t="str">
        <f ca="1" t="shared" si="0"/>
        <v>E</v>
      </c>
      <c r="I14" s="58"/>
    </row>
    <row r="15" s="4" customFormat="1" ht="20.1" customHeight="1" spans="1:9">
      <c r="A15" s="30" t="s">
        <v>43</v>
      </c>
      <c r="B15" s="62" t="s">
        <v>44</v>
      </c>
      <c r="C15" s="63" t="str">
        <f ca="1">INDIRECT(ADDRESS(2,17,2,1,"职业倾向数据"))</f>
        <v>否</v>
      </c>
      <c r="G15" s="4" t="s">
        <v>17</v>
      </c>
      <c r="H15" s="4" t="str">
        <f ca="1" t="shared" si="0"/>
        <v>S</v>
      </c>
      <c r="I15" s="58"/>
    </row>
    <row r="16" s="4" customFormat="1" ht="20.1" customHeight="1" spans="1:9">
      <c r="A16" s="30" t="s">
        <v>45</v>
      </c>
      <c r="B16" s="62" t="s">
        <v>46</v>
      </c>
      <c r="C16" s="63" t="str">
        <f ca="1">INDIRECT(ADDRESS(2,18,2,1,"职业倾向数据"))</f>
        <v>否</v>
      </c>
      <c r="F16" s="4" t="s">
        <v>20</v>
      </c>
      <c r="H16" s="4">
        <f ca="1" t="shared" si="0"/>
        <v>0</v>
      </c>
      <c r="I16" s="58"/>
    </row>
    <row r="17" s="4" customFormat="1" ht="20.1" customHeight="1" spans="1:9">
      <c r="A17" s="30" t="s">
        <v>47</v>
      </c>
      <c r="B17" s="62" t="s">
        <v>48</v>
      </c>
      <c r="C17" s="63" t="str">
        <f ca="1">INDIRECT(ADDRESS(2,19,2,1,"职业倾向数据"))</f>
        <v>是</v>
      </c>
      <c r="G17" s="4" t="s">
        <v>20</v>
      </c>
      <c r="H17" s="4">
        <f ca="1" t="shared" si="0"/>
        <v>0</v>
      </c>
      <c r="I17" s="58"/>
    </row>
    <row r="18" s="4" customFormat="1" ht="20.1" customHeight="1" spans="1:9">
      <c r="A18" s="30" t="s">
        <v>49</v>
      </c>
      <c r="B18" s="62" t="s">
        <v>50</v>
      </c>
      <c r="C18" s="63" t="str">
        <f ca="1">INDIRECT(ADDRESS(2,20,2,1,"职业倾向数据"))</f>
        <v>否</v>
      </c>
      <c r="G18" s="4" t="s">
        <v>17</v>
      </c>
      <c r="H18" s="4" t="str">
        <f ca="1" t="shared" si="0"/>
        <v>S</v>
      </c>
      <c r="I18" s="58"/>
    </row>
    <row r="19" s="4" customFormat="1" ht="20.1" customHeight="1" spans="1:9">
      <c r="A19" s="30" t="s">
        <v>51</v>
      </c>
      <c r="B19" s="62" t="s">
        <v>52</v>
      </c>
      <c r="C19" s="63" t="str">
        <f ca="1">INDIRECT(ADDRESS(2,21,2,1,"职业倾向数据"))</f>
        <v>否</v>
      </c>
      <c r="G19" s="4" t="s">
        <v>24</v>
      </c>
      <c r="H19" s="4" t="str">
        <f ca="1" t="shared" si="0"/>
        <v>E</v>
      </c>
      <c r="I19" s="58"/>
    </row>
    <row r="20" s="4" customFormat="1" ht="20.1" customHeight="1" spans="1:9">
      <c r="A20" s="30" t="s">
        <v>53</v>
      </c>
      <c r="B20" s="62" t="s">
        <v>54</v>
      </c>
      <c r="C20" s="63" t="str">
        <f ca="1">INDIRECT(ADDRESS(2,22,2,1,"职业倾向数据"))</f>
        <v>否</v>
      </c>
      <c r="F20" s="4" t="s">
        <v>27</v>
      </c>
      <c r="H20" s="4">
        <f ca="1" t="shared" si="0"/>
        <v>0</v>
      </c>
      <c r="I20" s="58"/>
    </row>
    <row r="21" s="4" customFormat="1" ht="20.1" customHeight="1" spans="1:9">
      <c r="A21" s="30" t="s">
        <v>55</v>
      </c>
      <c r="B21" s="62" t="s">
        <v>56</v>
      </c>
      <c r="C21" s="63" t="str">
        <f ca="1">INDIRECT(ADDRESS(2,23,2,1,"职业倾向数据"))</f>
        <v>否</v>
      </c>
      <c r="G21" s="4" t="s">
        <v>21</v>
      </c>
      <c r="H21" s="4" t="str">
        <f ca="1" t="shared" si="0"/>
        <v>C</v>
      </c>
      <c r="I21" s="58"/>
    </row>
    <row r="22" s="4" customFormat="1" ht="20.1" customHeight="1" spans="1:9">
      <c r="A22" s="30" t="s">
        <v>57</v>
      </c>
      <c r="B22" s="62" t="s">
        <v>58</v>
      </c>
      <c r="C22" s="63" t="str">
        <f ca="1">INDIRECT(ADDRESS(2,24,2,1,"职业倾向数据"))</f>
        <v>是</v>
      </c>
      <c r="F22" s="4" t="s">
        <v>21</v>
      </c>
      <c r="H22" s="4" t="str">
        <f ca="1" t="shared" si="0"/>
        <v>C</v>
      </c>
      <c r="I22" s="58"/>
    </row>
    <row r="23" s="4" customFormat="1" ht="20.1" customHeight="1" spans="1:9">
      <c r="A23" s="30" t="s">
        <v>59</v>
      </c>
      <c r="B23" s="62" t="s">
        <v>60</v>
      </c>
      <c r="C23" s="63" t="str">
        <f ca="1">INDIRECT(ADDRESS(2,25,2,1,"职业倾向数据"))</f>
        <v>是</v>
      </c>
      <c r="F23" s="4" t="s">
        <v>28</v>
      </c>
      <c r="H23" s="4" t="str">
        <f ca="1" t="shared" si="0"/>
        <v>I</v>
      </c>
      <c r="I23" s="58"/>
    </row>
    <row r="24" s="4" customFormat="1" ht="20.1" customHeight="1" spans="1:9">
      <c r="A24" s="30" t="s">
        <v>61</v>
      </c>
      <c r="B24" s="62" t="s">
        <v>62</v>
      </c>
      <c r="C24" s="63" t="str">
        <f ca="1">INDIRECT(ADDRESS(2,26,2,1,"职业倾向数据"))</f>
        <v>是</v>
      </c>
      <c r="G24" s="4" t="s">
        <v>28</v>
      </c>
      <c r="H24" s="4">
        <f ca="1" t="shared" si="0"/>
        <v>0</v>
      </c>
      <c r="I24" s="58"/>
    </row>
    <row r="25" s="4" customFormat="1" ht="20.1" customHeight="1" spans="1:9">
      <c r="A25" s="30" t="s">
        <v>63</v>
      </c>
      <c r="B25" s="62" t="s">
        <v>64</v>
      </c>
      <c r="C25" s="63" t="str">
        <f ca="1">INDIRECT(ADDRESS(2,27,2,1,"职业倾向数据"))</f>
        <v>否</v>
      </c>
      <c r="F25" s="4" t="s">
        <v>20</v>
      </c>
      <c r="H25" s="4">
        <f ca="1" t="shared" si="0"/>
        <v>0</v>
      </c>
      <c r="I25" s="58"/>
    </row>
    <row r="26" s="4" customFormat="1" ht="20.1" customHeight="1" spans="1:9">
      <c r="A26" s="30" t="s">
        <v>65</v>
      </c>
      <c r="B26" s="62" t="s">
        <v>66</v>
      </c>
      <c r="C26" s="63" t="str">
        <f ca="1">INDIRECT(ADDRESS(2,28,2,1,"职业倾向数据"))</f>
        <v>是</v>
      </c>
      <c r="G26" s="4" t="s">
        <v>20</v>
      </c>
      <c r="H26" s="4">
        <f ca="1" t="shared" si="0"/>
        <v>0</v>
      </c>
      <c r="I26" s="58"/>
    </row>
    <row r="27" s="4" customFormat="1" ht="20.1" customHeight="1" spans="1:9">
      <c r="A27" s="30" t="s">
        <v>67</v>
      </c>
      <c r="B27" s="62" t="s">
        <v>68</v>
      </c>
      <c r="C27" s="63" t="str">
        <f ca="1">INDIRECT(ADDRESS(2,29,2,1,"职业倾向数据"))</f>
        <v>否</v>
      </c>
      <c r="F27" s="4" t="s">
        <v>24</v>
      </c>
      <c r="H27" s="4">
        <f ca="1" t="shared" si="0"/>
        <v>0</v>
      </c>
      <c r="I27" s="58"/>
    </row>
    <row r="28" s="4" customFormat="1" ht="20.1" customHeight="1" spans="1:9">
      <c r="A28" s="30" t="s">
        <v>69</v>
      </c>
      <c r="B28" s="62" t="s">
        <v>70</v>
      </c>
      <c r="C28" s="63" t="str">
        <f ca="1">INDIRECT(ADDRESS(2,30,2,1,"职业倾向数据"))</f>
        <v>是</v>
      </c>
      <c r="G28" s="4" t="s">
        <v>24</v>
      </c>
      <c r="H28" s="4">
        <f ca="1" t="shared" si="0"/>
        <v>0</v>
      </c>
      <c r="I28" s="58"/>
    </row>
    <row r="29" s="4" customFormat="1" ht="20.1" customHeight="1" spans="1:9">
      <c r="A29" s="30" t="s">
        <v>71</v>
      </c>
      <c r="B29" s="62" t="s">
        <v>72</v>
      </c>
      <c r="C29" s="63" t="str">
        <f ca="1">INDIRECT(ADDRESS(2,31,2,1,"职业倾向数据"))</f>
        <v>是</v>
      </c>
      <c r="F29" s="4" t="s">
        <v>17</v>
      </c>
      <c r="H29" s="4" t="str">
        <f ca="1" t="shared" si="0"/>
        <v>S</v>
      </c>
      <c r="I29" s="58"/>
    </row>
    <row r="30" s="4" customFormat="1" ht="20.1" customHeight="1" spans="1:9">
      <c r="A30" s="30" t="s">
        <v>73</v>
      </c>
      <c r="B30" s="62" t="s">
        <v>74</v>
      </c>
      <c r="C30" s="63" t="str">
        <f ca="1">INDIRECT(ADDRESS(2,32,2,1,"职业倾向数据"))</f>
        <v>是</v>
      </c>
      <c r="G30" s="4" t="s">
        <v>17</v>
      </c>
      <c r="H30" s="4">
        <f ca="1" t="shared" si="0"/>
        <v>0</v>
      </c>
      <c r="I30" s="58"/>
    </row>
    <row r="31" s="4" customFormat="1" ht="20.1" customHeight="1" spans="1:9">
      <c r="A31" s="30" t="s">
        <v>75</v>
      </c>
      <c r="B31" s="62" t="s">
        <v>76</v>
      </c>
      <c r="C31" s="63" t="str">
        <f ca="1">INDIRECT(ADDRESS(2,33,2,1,"职业倾向数据"))</f>
        <v>是</v>
      </c>
      <c r="F31" s="4" t="s">
        <v>24</v>
      </c>
      <c r="H31" s="4" t="str">
        <f ca="1" t="shared" si="0"/>
        <v>E</v>
      </c>
      <c r="I31" s="58"/>
    </row>
    <row r="32" s="4" customFormat="1" ht="20.1" customHeight="1" spans="1:9">
      <c r="A32" s="30" t="s">
        <v>77</v>
      </c>
      <c r="B32" s="62" t="s">
        <v>78</v>
      </c>
      <c r="C32" s="63" t="str">
        <f ca="1">INDIRECT(ADDRESS(2,34,2,1,"职业倾向数据"))</f>
        <v>否</v>
      </c>
      <c r="F32" s="4" t="s">
        <v>21</v>
      </c>
      <c r="H32" s="4">
        <f ca="1" t="shared" si="0"/>
        <v>0</v>
      </c>
      <c r="I32" s="58"/>
    </row>
    <row r="33" s="4" customFormat="1" ht="20.1" customHeight="1" spans="1:9">
      <c r="A33" s="30" t="s">
        <v>79</v>
      </c>
      <c r="B33" s="62" t="s">
        <v>80</v>
      </c>
      <c r="C33" s="63" t="str">
        <f ca="1">INDIRECT(ADDRESS(2,35,2,1,"职业倾向数据"))</f>
        <v>是</v>
      </c>
      <c r="F33" s="4" t="s">
        <v>28</v>
      </c>
      <c r="H33" s="4" t="str">
        <f ca="1" t="shared" si="0"/>
        <v>I</v>
      </c>
      <c r="I33" s="58"/>
    </row>
    <row r="34" s="4" customFormat="1" ht="20.1" customHeight="1" spans="1:9">
      <c r="A34" s="30" t="s">
        <v>81</v>
      </c>
      <c r="B34" s="62" t="s">
        <v>82</v>
      </c>
      <c r="C34" s="63" t="str">
        <f ca="1">INDIRECT(ADDRESS(2,36,2,1,"职业倾向数据"))</f>
        <v>否</v>
      </c>
      <c r="F34" s="4" t="s">
        <v>28</v>
      </c>
      <c r="H34" s="4">
        <f ca="1" t="shared" si="0"/>
        <v>0</v>
      </c>
      <c r="I34" s="58"/>
    </row>
    <row r="35" s="4" customFormat="1" ht="20.1" customHeight="1" spans="1:9">
      <c r="A35" s="30" t="s">
        <v>83</v>
      </c>
      <c r="B35" s="62" t="s">
        <v>84</v>
      </c>
      <c r="C35" s="63" t="str">
        <f ca="1">INDIRECT(ADDRESS(2,37,2,1,"职业倾向数据"))</f>
        <v>是</v>
      </c>
      <c r="G35" s="4" t="s">
        <v>27</v>
      </c>
      <c r="H35" s="4">
        <f ca="1" t="shared" si="0"/>
        <v>0</v>
      </c>
      <c r="I35" s="58"/>
    </row>
    <row r="36" s="4" customFormat="1" ht="20.1" customHeight="1" spans="1:9">
      <c r="A36" s="30" t="s">
        <v>85</v>
      </c>
      <c r="B36" s="62" t="s">
        <v>86</v>
      </c>
      <c r="C36" s="63" t="str">
        <f ca="1">INDIRECT(ADDRESS(2,38,2,1,"职业倾向数据"))</f>
        <v>是</v>
      </c>
      <c r="F36" s="4" t="s">
        <v>27</v>
      </c>
      <c r="H36" s="4" t="str">
        <f ca="1" t="shared" si="0"/>
        <v>A</v>
      </c>
      <c r="I36" s="58"/>
    </row>
    <row r="37" s="4" customFormat="1" ht="20.1" customHeight="1" spans="1:9">
      <c r="A37" s="30" t="s">
        <v>87</v>
      </c>
      <c r="B37" s="62" t="s">
        <v>88</v>
      </c>
      <c r="C37" s="63" t="str">
        <f ca="1">INDIRECT(ADDRESS(2,39,2,1,"职业倾向数据"))</f>
        <v>是</v>
      </c>
      <c r="F37" s="4" t="s">
        <v>27</v>
      </c>
      <c r="H37" s="4" t="str">
        <f ca="1" t="shared" si="0"/>
        <v>A</v>
      </c>
      <c r="I37" s="58"/>
    </row>
    <row r="38" s="4" customFormat="1" ht="20.1" customHeight="1" spans="1:9">
      <c r="A38" s="30" t="s">
        <v>89</v>
      </c>
      <c r="B38" s="62" t="s">
        <v>90</v>
      </c>
      <c r="C38" s="63" t="str">
        <f ca="1">INDIRECT(ADDRESS(2,40,2,1,"职业倾向数据"))</f>
        <v>是</v>
      </c>
      <c r="F38" s="4" t="s">
        <v>24</v>
      </c>
      <c r="H38" s="4" t="str">
        <f ca="1" t="shared" si="0"/>
        <v>E</v>
      </c>
      <c r="I38" s="58"/>
    </row>
    <row r="39" s="4" customFormat="1" ht="20.1" customHeight="1" spans="1:9">
      <c r="A39" s="30" t="s">
        <v>91</v>
      </c>
      <c r="B39" s="62" t="s">
        <v>92</v>
      </c>
      <c r="C39" s="63" t="str">
        <f ca="1">INDIRECT(ADDRESS(2,41,2,1,"职业倾向数据"))</f>
        <v>否</v>
      </c>
      <c r="F39" s="4" t="s">
        <v>20</v>
      </c>
      <c r="H39" s="4">
        <f ca="1" t="shared" si="0"/>
        <v>0</v>
      </c>
      <c r="I39" s="58"/>
    </row>
    <row r="40" s="4" customFormat="1" ht="20.1" customHeight="1" spans="1:9">
      <c r="A40" s="30" t="s">
        <v>93</v>
      </c>
      <c r="B40" s="62" t="s">
        <v>94</v>
      </c>
      <c r="C40" s="63" t="str">
        <f ca="1">INDIRECT(ADDRESS(2,42,2,1,"职业倾向数据"))</f>
        <v>是</v>
      </c>
      <c r="F40" s="4" t="s">
        <v>17</v>
      </c>
      <c r="H40" s="4" t="str">
        <f ca="1" t="shared" si="0"/>
        <v>S</v>
      </c>
      <c r="I40" s="58"/>
    </row>
    <row r="41" s="4" customFormat="1" ht="20.1" customHeight="1" spans="1:9">
      <c r="A41" s="30" t="s">
        <v>95</v>
      </c>
      <c r="B41" s="62" t="s">
        <v>96</v>
      </c>
      <c r="C41" s="63" t="str">
        <f ca="1">INDIRECT(ADDRESS(2,43,2,1,"职业倾向数据"))</f>
        <v>否</v>
      </c>
      <c r="F41" s="4" t="s">
        <v>24</v>
      </c>
      <c r="H41" s="4">
        <f ca="1" t="shared" si="0"/>
        <v>0</v>
      </c>
      <c r="I41" s="58"/>
    </row>
    <row r="42" s="4" customFormat="1" ht="20.1" customHeight="1" spans="1:9">
      <c r="A42" s="30" t="s">
        <v>97</v>
      </c>
      <c r="B42" s="62" t="s">
        <v>98</v>
      </c>
      <c r="C42" s="63" t="str">
        <f ca="1">INDIRECT(ADDRESS(2,44,2,1,"职业倾向数据"))</f>
        <v>否</v>
      </c>
      <c r="F42" s="4" t="s">
        <v>21</v>
      </c>
      <c r="H42" s="4">
        <f ca="1" t="shared" si="0"/>
        <v>0</v>
      </c>
      <c r="I42" s="58"/>
    </row>
    <row r="43" s="4" customFormat="1" ht="20.1" customHeight="1" spans="1:9">
      <c r="A43" s="30" t="s">
        <v>99</v>
      </c>
      <c r="B43" s="62" t="s">
        <v>100</v>
      </c>
      <c r="C43" s="63" t="str">
        <f ca="1">INDIRECT(ADDRESS(2,45,2,1,"职业倾向数据"))</f>
        <v>否</v>
      </c>
      <c r="G43" s="4" t="s">
        <v>21</v>
      </c>
      <c r="H43" s="4" t="str">
        <f ca="1" t="shared" si="0"/>
        <v>C</v>
      </c>
      <c r="I43" s="58"/>
    </row>
    <row r="44" s="4" customFormat="1" ht="20.1" customHeight="1" spans="1:9">
      <c r="A44" s="30" t="s">
        <v>101</v>
      </c>
      <c r="B44" s="62" t="s">
        <v>102</v>
      </c>
      <c r="C44" s="63" t="str">
        <f ca="1">INDIRECT(ADDRESS(2,46,2,1,"职业倾向数据"))</f>
        <v>否</v>
      </c>
      <c r="F44" s="4" t="s">
        <v>21</v>
      </c>
      <c r="H44" s="4">
        <f ca="1" t="shared" si="0"/>
        <v>0</v>
      </c>
      <c r="I44" s="58"/>
    </row>
    <row r="45" s="4" customFormat="1" ht="20.1" customHeight="1" spans="1:9">
      <c r="A45" s="30" t="s">
        <v>103</v>
      </c>
      <c r="B45" s="62" t="s">
        <v>104</v>
      </c>
      <c r="C45" s="63" t="str">
        <f ca="1">INDIRECT(ADDRESS(2,47,2,1,"职业倾向数据"))</f>
        <v>是</v>
      </c>
      <c r="F45" s="4" t="s">
        <v>28</v>
      </c>
      <c r="H45" s="4" t="str">
        <f ca="1" t="shared" si="0"/>
        <v>I</v>
      </c>
      <c r="I45" s="58"/>
    </row>
    <row r="46" s="4" customFormat="1" ht="20.1" customHeight="1" spans="1:9">
      <c r="A46" s="30" t="s">
        <v>105</v>
      </c>
      <c r="B46" s="62" t="s">
        <v>106</v>
      </c>
      <c r="C46" s="63" t="str">
        <f ca="1">INDIRECT(ADDRESS(2,48,2,1,"职业倾向数据"))</f>
        <v>否</v>
      </c>
      <c r="F46" s="4" t="s">
        <v>20</v>
      </c>
      <c r="H46" s="4">
        <f ca="1" t="shared" si="0"/>
        <v>0</v>
      </c>
      <c r="I46" s="58"/>
    </row>
    <row r="47" s="4" customFormat="1" ht="20.1" customHeight="1" spans="1:9">
      <c r="A47" s="30" t="s">
        <v>107</v>
      </c>
      <c r="B47" s="62" t="s">
        <v>108</v>
      </c>
      <c r="C47" s="63" t="str">
        <f ca="1">INDIRECT(ADDRESS(2,49,2,1,"职业倾向数据"))</f>
        <v>否</v>
      </c>
      <c r="G47" s="4" t="s">
        <v>20</v>
      </c>
      <c r="H47" s="4" t="str">
        <f ca="1" t="shared" si="0"/>
        <v>R</v>
      </c>
      <c r="I47" s="58"/>
    </row>
    <row r="48" s="4" customFormat="1" ht="20.1" customHeight="1" spans="1:9">
      <c r="A48" s="30" t="s">
        <v>109</v>
      </c>
      <c r="B48" s="64" t="s">
        <v>110</v>
      </c>
      <c r="C48" s="63" t="str">
        <f ca="1">INDIRECT(ADDRESS(2,50,2,1,"职业倾向数据"))</f>
        <v>否</v>
      </c>
      <c r="G48" s="4" t="s">
        <v>17</v>
      </c>
      <c r="H48" s="4" t="str">
        <f ca="1" t="shared" si="0"/>
        <v>S</v>
      </c>
      <c r="I48" s="58"/>
    </row>
    <row r="49" s="4" customFormat="1" ht="20.1" customHeight="1" spans="1:9">
      <c r="A49" s="30" t="s">
        <v>111</v>
      </c>
      <c r="B49" s="62" t="s">
        <v>112</v>
      </c>
      <c r="C49" s="63" t="str">
        <f ca="1">INDIRECT(ADDRESS(2,51,2,1,"职业倾向数据"))</f>
        <v>否</v>
      </c>
      <c r="F49" s="4" t="s">
        <v>24</v>
      </c>
      <c r="H49" s="4">
        <f ca="1" t="shared" si="0"/>
        <v>0</v>
      </c>
      <c r="I49" s="58"/>
    </row>
    <row r="50" s="4" customFormat="1" ht="20.1" customHeight="1" spans="1:9">
      <c r="A50" s="30" t="s">
        <v>113</v>
      </c>
      <c r="B50" s="62" t="s">
        <v>114</v>
      </c>
      <c r="C50" s="63" t="str">
        <f ca="1">INDIRECT(ADDRESS(2,52,2,1,"职业倾向数据"))</f>
        <v>是</v>
      </c>
      <c r="G50" s="4" t="s">
        <v>20</v>
      </c>
      <c r="H50" s="4">
        <f ca="1" t="shared" si="0"/>
        <v>0</v>
      </c>
      <c r="I50" s="58"/>
    </row>
    <row r="51" s="4" customFormat="1" ht="20.1" customHeight="1" spans="1:9">
      <c r="A51" s="30" t="s">
        <v>115</v>
      </c>
      <c r="B51" s="62" t="s">
        <v>116</v>
      </c>
      <c r="C51" s="63" t="str">
        <f ca="1">INDIRECT(ADDRESS(2,53,2,1,"职业倾向数据"))</f>
        <v>否</v>
      </c>
      <c r="G51" s="4" t="s">
        <v>20</v>
      </c>
      <c r="H51" s="4" t="str">
        <f ca="1" t="shared" si="0"/>
        <v>R</v>
      </c>
      <c r="I51" s="58"/>
    </row>
    <row r="52" s="4" customFormat="1" ht="20.1" customHeight="1" spans="1:9">
      <c r="A52" s="30" t="s">
        <v>117</v>
      </c>
      <c r="B52" s="62" t="s">
        <v>118</v>
      </c>
      <c r="C52" s="63" t="str">
        <f ca="1">INDIRECT(ADDRESS(2,54,2,1,"职业倾向数据"))</f>
        <v>是</v>
      </c>
      <c r="F52" s="4" t="s">
        <v>27</v>
      </c>
      <c r="H52" s="4" t="str">
        <f ca="1" t="shared" si="0"/>
        <v>A</v>
      </c>
      <c r="I52" s="58"/>
    </row>
    <row r="53" s="4" customFormat="1" ht="20.1" customHeight="1" spans="1:9">
      <c r="A53" s="30" t="s">
        <v>119</v>
      </c>
      <c r="B53" s="62" t="s">
        <v>120</v>
      </c>
      <c r="C53" s="63" t="str">
        <f ca="1">INDIRECT(ADDRESS(2,55,2,1,"职业倾向数据"))</f>
        <v>是</v>
      </c>
      <c r="F53" s="4" t="s">
        <v>27</v>
      </c>
      <c r="H53" s="4" t="str">
        <f ca="1" t="shared" si="0"/>
        <v>A</v>
      </c>
      <c r="I53" s="58"/>
    </row>
    <row r="54" s="4" customFormat="1" ht="20.1" customHeight="1" spans="1:9">
      <c r="A54" s="30" t="s">
        <v>121</v>
      </c>
      <c r="B54" s="62" t="s">
        <v>122</v>
      </c>
      <c r="C54" s="63" t="str">
        <f ca="1">INDIRECT(ADDRESS(2,56,2,1,"职业倾向数据"))</f>
        <v>否</v>
      </c>
      <c r="F54" s="4" t="s">
        <v>21</v>
      </c>
      <c r="H54" s="4">
        <f ca="1" t="shared" si="0"/>
        <v>0</v>
      </c>
      <c r="I54" s="58"/>
    </row>
    <row r="55" s="4" customFormat="1" ht="20.1" customHeight="1" spans="1:9">
      <c r="A55" s="30" t="s">
        <v>123</v>
      </c>
      <c r="B55" s="62" t="s">
        <v>124</v>
      </c>
      <c r="C55" s="63" t="str">
        <f ca="1">INDIRECT(ADDRESS(2,57,2,1,"职业倾向数据"))</f>
        <v>是</v>
      </c>
      <c r="F55" s="4" t="s">
        <v>17</v>
      </c>
      <c r="H55" s="4" t="str">
        <f ca="1" t="shared" si="0"/>
        <v>S</v>
      </c>
      <c r="I55" s="58"/>
    </row>
    <row r="56" s="4" customFormat="1" ht="20.1" customHeight="1" spans="1:9">
      <c r="A56" s="30" t="s">
        <v>125</v>
      </c>
      <c r="B56" s="62" t="s">
        <v>126</v>
      </c>
      <c r="C56" s="63" t="str">
        <f ca="1">INDIRECT(ADDRESS(2,58,2,1,"职业倾向数据"))</f>
        <v>否</v>
      </c>
      <c r="G56" s="4" t="s">
        <v>17</v>
      </c>
      <c r="H56" s="4" t="str">
        <f ca="1" t="shared" si="0"/>
        <v>S</v>
      </c>
      <c r="I56" s="58"/>
    </row>
    <row r="57" s="4" customFormat="1" ht="20.1" customHeight="1" spans="1:9">
      <c r="A57" s="30" t="s">
        <v>127</v>
      </c>
      <c r="B57" s="62" t="s">
        <v>128</v>
      </c>
      <c r="C57" s="63" t="str">
        <f ca="1">INDIRECT(ADDRESS(2,58,2,1,"职业倾向数据"))</f>
        <v>否</v>
      </c>
      <c r="F57" s="4" t="s">
        <v>27</v>
      </c>
      <c r="H57" s="4">
        <f ca="1" t="shared" si="0"/>
        <v>0</v>
      </c>
      <c r="I57" s="58"/>
    </row>
    <row r="58" s="4" customFormat="1" ht="20.1" customHeight="1" spans="1:9">
      <c r="A58" s="30" t="s">
        <v>129</v>
      </c>
      <c r="B58" s="62" t="s">
        <v>130</v>
      </c>
      <c r="C58" s="63" t="str">
        <f ca="1">INDIRECT(ADDRESS(2,60,2,1,"职业倾向数据"))</f>
        <v>是</v>
      </c>
      <c r="G58" s="4" t="s">
        <v>28</v>
      </c>
      <c r="H58" s="4">
        <f ca="1" t="shared" si="0"/>
        <v>0</v>
      </c>
      <c r="I58" s="58"/>
    </row>
    <row r="59" s="4" customFormat="1" ht="20.1" customHeight="1" spans="1:9">
      <c r="A59" s="30" t="s">
        <v>131</v>
      </c>
      <c r="B59" s="62" t="s">
        <v>132</v>
      </c>
      <c r="C59" s="63" t="str">
        <f ca="1">INDIRECT(ADDRESS(2,61,2,1,"职业倾向数据"))</f>
        <v>是</v>
      </c>
      <c r="G59" s="4" t="s">
        <v>28</v>
      </c>
      <c r="H59" s="4">
        <f ca="1" t="shared" si="0"/>
        <v>0</v>
      </c>
      <c r="I59" s="58"/>
    </row>
    <row r="60" s="4" customFormat="1" ht="20.1" customHeight="1" spans="1:9">
      <c r="A60" s="30" t="s">
        <v>133</v>
      </c>
      <c r="B60" s="62" t="s">
        <v>134</v>
      </c>
      <c r="C60" s="63" t="str">
        <f ca="1">INDIRECT(ADDRESS(2,62,2,1,"职业倾向数据"))</f>
        <v>是</v>
      </c>
      <c r="F60" s="4" t="s">
        <v>21</v>
      </c>
      <c r="H60" s="4" t="str">
        <f ca="1" t="shared" si="0"/>
        <v>C</v>
      </c>
      <c r="I60" s="58"/>
    </row>
    <row r="61" s="4" customFormat="1" ht="20.1" customHeight="1" spans="1:9">
      <c r="A61" s="30" t="s">
        <v>135</v>
      </c>
      <c r="B61" s="62" t="s">
        <v>136</v>
      </c>
      <c r="C61" s="63" t="str">
        <f ca="1">INDIRECT(ADDRESS(2,63,2,1,"职业倾向数据"))</f>
        <v>否</v>
      </c>
      <c r="G61" s="4" t="s">
        <v>28</v>
      </c>
      <c r="H61" s="4" t="str">
        <f ca="1" t="shared" si="0"/>
        <v>I</v>
      </c>
      <c r="I61" s="58"/>
    </row>
    <row r="62" s="4" customFormat="1" ht="20.1" customHeight="1" spans="1:9">
      <c r="A62" s="30" t="s">
        <v>137</v>
      </c>
      <c r="B62" s="62" t="s">
        <v>138</v>
      </c>
      <c r="C62" s="63" t="str">
        <f ca="1">INDIRECT(ADDRESS(2,64,2,1,"职业倾向数据"))</f>
        <v>否</v>
      </c>
      <c r="F62" s="4" t="s">
        <v>17</v>
      </c>
      <c r="H62" s="4">
        <f ca="1" t="shared" si="0"/>
        <v>0</v>
      </c>
      <c r="I62" s="58"/>
    </row>
    <row r="63" s="4" customFormat="1" ht="20.1" customHeight="1" spans="1:9">
      <c r="A63" s="30" t="s">
        <v>139</v>
      </c>
      <c r="B63" s="62" t="s">
        <v>140</v>
      </c>
      <c r="C63" s="63" t="str">
        <f ca="1">INDIRECT(ADDRESS(2,65,2,1,"职业倾向数据"))</f>
        <v>否</v>
      </c>
      <c r="F63" s="4" t="s">
        <v>24</v>
      </c>
      <c r="H63" s="4">
        <f ca="1" t="shared" si="0"/>
        <v>0</v>
      </c>
      <c r="I63" s="58"/>
    </row>
  </sheetData>
  <mergeCells count="1">
    <mergeCell ref="A2:C2"/>
  </mergeCells>
  <dataValidations count="1">
    <dataValidation allowBlank="1" showInputMessage="1" showErrorMessage="1" sqref="C4 C5:C63"/>
  </dataValidations>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R20"/>
  <sheetViews>
    <sheetView showGridLines="0" workbookViewId="0">
      <selection activeCell="A1" sqref="A1:I1"/>
    </sheetView>
  </sheetViews>
  <sheetFormatPr defaultColWidth="0" defaultRowHeight="13.5" zeroHeight="1"/>
  <cols>
    <col min="1" max="1" width="9" style="1" customWidth="1"/>
    <col min="2" max="2" width="12.125" style="1" customWidth="1"/>
    <col min="3" max="3" width="9" customWidth="1"/>
    <col min="4" max="4" width="9" style="1" customWidth="1"/>
    <col min="5" max="5" width="9" customWidth="1"/>
    <col min="6" max="6" width="11.375" customWidth="1"/>
    <col min="7" max="9" width="9" customWidth="1"/>
    <col min="10" max="13" width="9" hidden="1" customWidth="1"/>
    <col min="14" max="14" width="9" style="11" hidden="1" customWidth="1"/>
    <col min="15" max="16" width="9" style="23" hidden="1" customWidth="1"/>
    <col min="17" max="17" width="9" style="11" hidden="1" customWidth="1"/>
    <col min="18" max="16384" width="9" hidden="1"/>
  </cols>
  <sheetData>
    <row r="1" ht="31.5" spans="1:13">
      <c r="A1" s="41" t="s">
        <v>141</v>
      </c>
      <c r="B1" s="41"/>
      <c r="C1" s="41"/>
      <c r="D1" s="41"/>
      <c r="E1" s="41"/>
      <c r="F1" s="41"/>
      <c r="G1" s="41"/>
      <c r="H1" s="41"/>
      <c r="I1" s="41"/>
      <c r="J1" s="41"/>
      <c r="K1" s="41"/>
      <c r="L1" s="41"/>
      <c r="M1" s="41"/>
    </row>
    <row r="2" ht="9" customHeight="1"/>
    <row r="3" ht="41.25" customHeight="1" spans="1:16">
      <c r="A3" s="42" t="str">
        <f ca="1">IF(P3&lt;60,"您还有"&amp;60-P3&amp;"题还没有完成，请继续作答！","您的测试结果是：")</f>
        <v>您的测试结果是：</v>
      </c>
      <c r="P3" s="50">
        <f ca="1">题目!J3</f>
        <v>60</v>
      </c>
    </row>
    <row r="4" s="14" customFormat="1" ht="24.95" customHeight="1" spans="1:17">
      <c r="A4" s="16" t="str">
        <f ca="1">IF(P3&lt;60,"","序号")</f>
        <v>序号</v>
      </c>
      <c r="B4" s="16" t="str">
        <f ca="1">IF(P3&lt;60,"","类型")</f>
        <v>类型</v>
      </c>
      <c r="C4" s="16"/>
      <c r="D4" s="16" t="str">
        <f ca="1">IF(P3&lt;60,"","得分")</f>
        <v>得分</v>
      </c>
      <c r="N4" s="51"/>
      <c r="O4" s="52"/>
      <c r="P4" s="52"/>
      <c r="Q4" s="51"/>
    </row>
    <row r="5" s="14" customFormat="1" ht="24.95" customHeight="1" spans="1:18">
      <c r="A5" s="16">
        <f ca="1">IF(P3&lt;60,"",1)</f>
        <v>1</v>
      </c>
      <c r="B5" s="43" t="str">
        <f ca="1">IF(P3&lt;60,"",INDEX(N:N,MATCH(A5,R:R,0)))</f>
        <v>社会型</v>
      </c>
      <c r="C5" s="44" t="str">
        <f ca="1">IF(P3&lt;60,"",INDEX(O:O,MATCH(A5,R:R,0)))</f>
        <v>S</v>
      </c>
      <c r="D5" s="16">
        <f ca="1">IF(P3&lt;60,"",INDEX(P:P,MATCH(A5,R:R,0)))</f>
        <v>7</v>
      </c>
      <c r="N5" s="53" t="s">
        <v>142</v>
      </c>
      <c r="O5" s="54" t="str">
        <f>题目!I5</f>
        <v>C</v>
      </c>
      <c r="P5" s="54">
        <f ca="1">题目!J5</f>
        <v>5</v>
      </c>
      <c r="Q5" s="57">
        <f ca="1">IF(COUNTIF($P$5:$P5,P5)&gt;1,P5-COUNTIF($P$5:$P5,P5)/10,P5)</f>
        <v>5</v>
      </c>
      <c r="R5" s="17">
        <f ca="1">RANK(Q5,Q$5:Q$10)</f>
        <v>3</v>
      </c>
    </row>
    <row r="6" s="14" customFormat="1" ht="24.95" customHeight="1" spans="1:18">
      <c r="A6" s="16">
        <f ca="1">IF(P3&lt;60,"",2)</f>
        <v>2</v>
      </c>
      <c r="B6" s="43" t="str">
        <f ca="1">IF(P3&lt;60,"",INDEX(N:N,MATCH(A6,R:R,0)))</f>
        <v>艺术型</v>
      </c>
      <c r="C6" s="44" t="str">
        <f ca="1">IF(P3&lt;60,"",INDEX(O:O,MATCH(A6,R:R,0)))</f>
        <v>A</v>
      </c>
      <c r="D6" s="16">
        <f ca="1">IF(P3&lt;60,"",INDEX(P:P,MATCH(A6,R:R,0)))</f>
        <v>6</v>
      </c>
      <c r="N6" s="53" t="s">
        <v>143</v>
      </c>
      <c r="O6" s="54" t="str">
        <f>题目!I6</f>
        <v>R</v>
      </c>
      <c r="P6" s="54">
        <f ca="1">题目!J6</f>
        <v>3</v>
      </c>
      <c r="Q6" s="57">
        <f ca="1">IF(COUNTIF($P$5:$P6,P6)&gt;1,P6-COUNTIF($P$5:$P6,P6)/10,P6)</f>
        <v>3</v>
      </c>
      <c r="R6" s="17">
        <f ca="1" t="shared" ref="R6:R10" si="0">RANK(Q6,Q$5:Q$10)</f>
        <v>6</v>
      </c>
    </row>
    <row r="7" s="14" customFormat="1" ht="24.95" customHeight="1" spans="1:18">
      <c r="A7" s="16">
        <f ca="1">IF(P3&lt;60,"",3)</f>
        <v>3</v>
      </c>
      <c r="B7" s="43" t="str">
        <f ca="1">IF(P3&lt;60,"",INDEX(N:N,MATCH(A7,R:R,0)))</f>
        <v>传统型</v>
      </c>
      <c r="C7" s="44" t="str">
        <f ca="1">IF(P3&lt;60,"",INDEX(O:O,MATCH(A7,R:R,0)))</f>
        <v>C</v>
      </c>
      <c r="D7" s="16">
        <f ca="1">IF(P3&lt;60,"",INDEX(P:P,MATCH(A7,R:R,0)))</f>
        <v>5</v>
      </c>
      <c r="N7" s="53" t="s">
        <v>144</v>
      </c>
      <c r="O7" s="54" t="str">
        <f>题目!I7</f>
        <v>I</v>
      </c>
      <c r="P7" s="54">
        <f ca="1">题目!J7</f>
        <v>5</v>
      </c>
      <c r="Q7" s="57">
        <f ca="1">IF(COUNTIF($P$5:$P7,P7)&gt;1,P7-COUNTIF($P$5:$P7,P7)/10,P7)</f>
        <v>4.8</v>
      </c>
      <c r="R7" s="17">
        <f ca="1" t="shared" si="0"/>
        <v>4</v>
      </c>
    </row>
    <row r="8" s="14" customFormat="1" ht="24.95" customHeight="1" spans="1:18">
      <c r="A8" s="16">
        <f ca="1">IF(P3&lt;60,"",4)</f>
        <v>4</v>
      </c>
      <c r="B8" s="43" t="str">
        <f ca="1">IF(P3&lt;60,"",INDEX(N:N,MATCH(A8,R:R,0)))</f>
        <v>研究型</v>
      </c>
      <c r="C8" s="44" t="str">
        <f ca="1">IF(P3&lt;60,"",INDEX(O:O,MATCH(A8,R:R,0)))</f>
        <v>I</v>
      </c>
      <c r="D8" s="16">
        <f ca="1">IF(P3&lt;60,"",INDEX(P:P,MATCH(A8,R:R,0)))</f>
        <v>5</v>
      </c>
      <c r="N8" s="53" t="s">
        <v>145</v>
      </c>
      <c r="O8" s="54" t="str">
        <f>题目!I8</f>
        <v>E</v>
      </c>
      <c r="P8" s="54">
        <f ca="1">题目!J8</f>
        <v>4</v>
      </c>
      <c r="Q8" s="57">
        <f ca="1">IF(COUNTIF($P$5:$P8,P8)&gt;1,P8-COUNTIF($P$5:$P8,P8)/10,P8)</f>
        <v>4</v>
      </c>
      <c r="R8" s="17">
        <f ca="1" t="shared" si="0"/>
        <v>5</v>
      </c>
    </row>
    <row r="9" s="14" customFormat="1" ht="24.95" customHeight="1" spans="1:18">
      <c r="A9" s="16">
        <f ca="1">IF(P3&lt;60,"",5)</f>
        <v>5</v>
      </c>
      <c r="B9" s="43" t="str">
        <f ca="1">IF(P3&lt;60,"",INDEX(N:N,MATCH(A9,R:R,0)))</f>
        <v>企业型</v>
      </c>
      <c r="C9" s="44" t="str">
        <f ca="1">IF(P3&lt;60,"",INDEX(O:O,MATCH(A9,R:R,0)))</f>
        <v>E</v>
      </c>
      <c r="D9" s="16">
        <f ca="1">IF(P3&lt;60,"",INDEX(P:P,MATCH(A9,R:R,0)))</f>
        <v>4</v>
      </c>
      <c r="N9" s="53" t="s">
        <v>146</v>
      </c>
      <c r="O9" s="54" t="str">
        <f>题目!I9</f>
        <v>S</v>
      </c>
      <c r="P9" s="54">
        <f ca="1">题目!J9</f>
        <v>7</v>
      </c>
      <c r="Q9" s="57">
        <f ca="1">IF(COUNTIF($P$5:$P9,P9)&gt;1,P9-COUNTIF($P$5:$P9,P9)/10,P9)</f>
        <v>7</v>
      </c>
      <c r="R9" s="17">
        <f ca="1" t="shared" si="0"/>
        <v>1</v>
      </c>
    </row>
    <row r="10" s="14" customFormat="1" ht="24.95" customHeight="1" spans="1:18">
      <c r="A10" s="16">
        <f ca="1">IF(P3&lt;60,"",6)</f>
        <v>6</v>
      </c>
      <c r="B10" s="43" t="str">
        <f ca="1">IF(P3&lt;60,"",INDEX(N:N,MATCH(A10,R:R,0)))</f>
        <v>现实型</v>
      </c>
      <c r="C10" s="44" t="str">
        <f ca="1">IF(P3&lt;60,"",INDEX(O:O,MATCH(A10,R:R,0)))</f>
        <v>R</v>
      </c>
      <c r="D10" s="16">
        <f ca="1">IF(P3&lt;60,"",INDEX(P:P,MATCH(A10,R:R,0)))</f>
        <v>3</v>
      </c>
      <c r="N10" s="53" t="s">
        <v>147</v>
      </c>
      <c r="O10" s="54" t="str">
        <f>题目!I10</f>
        <v>A</v>
      </c>
      <c r="P10" s="54">
        <f ca="1">题目!J10</f>
        <v>6</v>
      </c>
      <c r="Q10" s="57">
        <f ca="1">IF(COUNTIF($P$5:$P10,P10)&gt;1,P10-COUNTIF($P$5:$P10,P10)/10,P10)</f>
        <v>6</v>
      </c>
      <c r="R10" s="17">
        <f ca="1" t="shared" si="0"/>
        <v>2</v>
      </c>
    </row>
    <row r="11" ht="24.95" customHeight="1"/>
    <row r="12" ht="24.95" customHeight="1" spans="1:3">
      <c r="A12" s="45" t="str">
        <f ca="1">IF(P3&lt;60,"","职业代码：")</f>
        <v>职业代码：</v>
      </c>
      <c r="B12" s="46" t="str">
        <f ca="1">IF(P3&lt;60,"",C5&amp;C6&amp;C7)</f>
        <v>SAC</v>
      </c>
      <c r="C12" s="44" t="str">
        <f ca="1">IF(P3&lt;60,"","您比较适合："&amp;B5)</f>
        <v>您比较适合：社会型</v>
      </c>
    </row>
    <row r="13" ht="24.75" customHeight="1" spans="2:13">
      <c r="B13" s="45" t="str">
        <f ca="1">IF(P3&lt;60,"",INDEX(类型详解!B:B,MATCH(C5,类型详解!A:A,0)))</f>
        <v> S：社会型（Social）</v>
      </c>
      <c r="C13" s="45"/>
      <c r="D13" s="45"/>
      <c r="E13" s="45"/>
      <c r="F13" s="45"/>
      <c r="G13" s="45"/>
      <c r="H13" s="45"/>
      <c r="I13" s="45"/>
      <c r="J13" s="55"/>
      <c r="K13" s="55"/>
      <c r="L13" s="55"/>
      <c r="M13" s="55"/>
    </row>
    <row r="14" ht="51" customHeight="1" spans="2:13">
      <c r="B14" s="47" t="str">
        <f ca="1">IF(P3&lt;60,"",INDEX(类型详解!B:B,MATCH(C5,类型详解!A:A,0)+1))</f>
        <v>【共同特点】 喜欢与人交往、不断结交新的朋友、善言谈、愿意教导别人。关心社会问题、渴望发挥自己的社会作用。寻求广泛的人际关系，比较看重社会义务和社会道德。 </v>
      </c>
      <c r="C14" s="47"/>
      <c r="D14" s="47"/>
      <c r="E14" s="47"/>
      <c r="F14" s="47"/>
      <c r="G14" s="47"/>
      <c r="H14" s="47"/>
      <c r="I14" s="47"/>
      <c r="J14" s="56"/>
      <c r="K14" s="56"/>
      <c r="L14" s="56"/>
      <c r="M14" s="56"/>
    </row>
    <row r="15" ht="33.75" customHeight="1" spans="2:13">
      <c r="B15" s="47" t="str">
        <f ca="1">IF(P3&lt;60,"",INDEX(类型详解!B:B,MATCH(C5,类型详解!A:A,0)+2))</f>
        <v>【性格特点】为人友好、热情、善解人意、乐于助人。</v>
      </c>
      <c r="C15" s="47"/>
      <c r="D15" s="47"/>
      <c r="E15" s="47"/>
      <c r="F15" s="47"/>
      <c r="G15" s="47"/>
      <c r="H15" s="47"/>
      <c r="I15" s="47"/>
      <c r="J15" s="56"/>
      <c r="K15" s="56"/>
      <c r="L15" s="56"/>
      <c r="M15" s="56"/>
    </row>
    <row r="16" ht="69" customHeight="1" spans="2:13">
      <c r="B16" s="47" t="str">
        <f ca="1">IF(P3&lt;60,"",INDEX(类型详解!B:B,MATCH(C5,类型详解!A:A,0)+3))</f>
        <v>【职业建议】 喜欢要求与人打交道的工作，能够不断结交新的朋友，从事提供信息、启迪、帮助、培训、开发或治疗等事务，并具备相应能力。 如: 教育工作者（教师、教育行政人员）， 社会工作者（咨询人员、公关人员）</v>
      </c>
      <c r="C16" s="47"/>
      <c r="D16" s="47"/>
      <c r="E16" s="47"/>
      <c r="F16" s="47"/>
      <c r="G16" s="47"/>
      <c r="H16" s="47"/>
      <c r="I16" s="47"/>
      <c r="J16" s="56"/>
      <c r="K16" s="56"/>
      <c r="L16" s="56"/>
      <c r="M16" s="56"/>
    </row>
    <row r="17" ht="43.5" customHeight="1" spans="1:9">
      <c r="A17" s="45" t="str">
        <f ca="1">IF(P3&lt;60,"","适合职业：")</f>
        <v>适合职业：</v>
      </c>
      <c r="B17" s="47" t="str">
        <f ca="1">IF(P3&lt;60,"",INDEX(类型详解!B:B,MATCH(B5,类型详解!A:A,0)))</f>
        <v>社会学者、导游、福利机构工作者、咨询人员、社会工作者、社会科学教师、学校领导、精神病工作者、公共保健护士。</v>
      </c>
      <c r="C17" s="47"/>
      <c r="D17" s="47"/>
      <c r="E17" s="47"/>
      <c r="F17" s="47"/>
      <c r="G17" s="47"/>
      <c r="H17" s="47"/>
      <c r="I17" s="47"/>
    </row>
    <row r="18" ht="57.75" customHeight="1" spans="2:9">
      <c r="B18" s="48" t="str">
        <f ca="1">IF(P3&lt;60,"",INDEX(职业代码!B:B,MATCH(B12,职业代码!A:A,0)))</f>
        <v>理发师、指甲修剪师、包装艺术家、美容师、整容专家、发式设计师。</v>
      </c>
      <c r="C18" s="48"/>
      <c r="D18" s="48"/>
      <c r="E18" s="48"/>
      <c r="F18" s="48"/>
      <c r="G18" s="48"/>
      <c r="H18" s="48"/>
      <c r="I18" s="48"/>
    </row>
    <row r="19" ht="117" customHeight="1" spans="1:9">
      <c r="A19" s="1" t="str">
        <f ca="1">IF(P3&lt;60,"","参考填报：")</f>
        <v>参考填报：</v>
      </c>
      <c r="B19" s="49" t="str">
        <f ca="1">IF(P3&lt;60,"",INDEX(类型详解!C:C,MATCH(C5,类型详解!A:A,0)))</f>
        <v>哲学：宗教学;经济学：国际经济与贸易;法学 ：社会学、社会工作、政治学类所有专业、治安学;教育学：教育学类所有专业、体育学类所有专业、其他教育学类新兴专业;文学：新闻学、广播电视新闻学、播音与主持艺术、广播电视编导;管理学：人力资源管理、旅游管理、公共事业管理、劳动与社会保障、公共关系学、农林经济管理类所有专业;理学：资源环境与城乡规划管理、心理学、应用心理学;工学 电气信息类、环境与安全类、公安技术类所有专业;农学：植物生产类、森林资源类、动物生产类、水产类所有专业;医学： 预防医学、临床医学、康复医学、精神医学、口腔医学、中西医临床医学、护理学、中药资源与开发</v>
      </c>
      <c r="C19" s="49"/>
      <c r="D19" s="49"/>
      <c r="E19" s="49"/>
      <c r="F19" s="49"/>
      <c r="G19" s="49"/>
      <c r="H19" s="49"/>
      <c r="I19" s="49"/>
    </row>
    <row r="20"/>
  </sheetData>
  <sheetProtection password="C64F" sheet="1" objects="1" scenarios="1"/>
  <mergeCells count="9">
    <mergeCell ref="A1:I1"/>
    <mergeCell ref="B4:C4"/>
    <mergeCell ref="B13:I13"/>
    <mergeCell ref="B14:I14"/>
    <mergeCell ref="B15:I15"/>
    <mergeCell ref="B16:I16"/>
    <mergeCell ref="B17:I17"/>
    <mergeCell ref="B18:I18"/>
    <mergeCell ref="B19:I19"/>
  </mergeCells>
  <printOptions horizontalCentered="1"/>
  <pageMargins left="0.511805555555556" right="0.511805555555556" top="0.55" bottom="0.55" header="0.313888888888889" footer="0.313888888888889"/>
  <pageSetup paperSize="9"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120"/>
  <sheetViews>
    <sheetView showGridLines="0" workbookViewId="0">
      <selection activeCell="A1" sqref="A1"/>
    </sheetView>
  </sheetViews>
  <sheetFormatPr defaultColWidth="0" defaultRowHeight="13.5" customHeight="1" zeroHeight="1"/>
  <cols>
    <col min="1" max="1" width="9" style="1" customWidth="1"/>
    <col min="2" max="2" width="73.375" customWidth="1"/>
    <col min="3" max="3" width="9" style="22" customWidth="1"/>
    <col min="4" max="11" width="0" hidden="1" customWidth="1"/>
    <col min="12" max="12" width="0" style="23" hidden="1" customWidth="1"/>
    <col min="13" max="15" width="0" style="11" hidden="1" customWidth="1"/>
    <col min="16" max="26" width="0" hidden="1" customWidth="1"/>
    <col min="27" max="16384" width="9" hidden="1"/>
  </cols>
  <sheetData>
    <row r="1" ht="31.5" spans="2:2">
      <c r="B1" s="24" t="s">
        <v>148</v>
      </c>
    </row>
    <row r="2" spans="1:3">
      <c r="A2" s="25" t="s">
        <v>149</v>
      </c>
      <c r="B2" s="25"/>
      <c r="C2" s="26"/>
    </row>
    <row r="3" spans="1:3">
      <c r="A3" s="27" t="s">
        <v>150</v>
      </c>
      <c r="B3" s="27"/>
      <c r="C3" s="28"/>
    </row>
    <row r="4" ht="6.75" customHeight="1" spans="2:2">
      <c r="B4" s="29"/>
    </row>
    <row r="5" s="4" customFormat="1" ht="18" customHeight="1" spans="1:26">
      <c r="A5" s="30" t="s">
        <v>12</v>
      </c>
      <c r="B5" s="31" t="s">
        <v>13</v>
      </c>
      <c r="C5" s="32" t="s">
        <v>14</v>
      </c>
      <c r="L5" s="36" t="s">
        <v>151</v>
      </c>
      <c r="M5" s="37"/>
      <c r="N5" s="38"/>
      <c r="O5" s="38">
        <f ca="1">COUNTA(C:C)-1</f>
        <v>108</v>
      </c>
      <c r="P5" s="39"/>
      <c r="Q5" s="39"/>
      <c r="R5" s="39"/>
      <c r="S5" s="39"/>
      <c r="T5" s="39"/>
      <c r="U5" s="39"/>
      <c r="V5" s="39"/>
      <c r="W5" s="39"/>
      <c r="X5" s="39"/>
      <c r="Y5" s="39"/>
      <c r="Z5" s="39"/>
    </row>
    <row r="6" ht="18" customHeight="1" spans="1:15">
      <c r="A6" s="33" t="s">
        <v>15</v>
      </c>
      <c r="B6" s="34" t="s">
        <v>152</v>
      </c>
      <c r="C6" s="35" t="str">
        <f ca="1">INDIRECT(ADDRESS(2,6,2,1,"学科兴趣数据"))</f>
        <v>E</v>
      </c>
      <c r="L6" s="23" t="s">
        <v>153</v>
      </c>
      <c r="M6" s="11">
        <f ca="1">IF(C6="A",5,IF(C6="B",4,IF(C6="C",3,IF(C6="D",2,IF(C6="E",1,"")))))</f>
        <v>1</v>
      </c>
      <c r="N6" s="11" t="s">
        <v>153</v>
      </c>
      <c r="O6" s="11">
        <f ca="1" t="shared" ref="O6:O17" si="0">SUMIF(L:M,N6,M:M)</f>
        <v>14</v>
      </c>
    </row>
    <row r="7" ht="18" customHeight="1" spans="1:15">
      <c r="A7" s="33" t="s">
        <v>18</v>
      </c>
      <c r="B7" s="34" t="s">
        <v>154</v>
      </c>
      <c r="C7" s="35" t="str">
        <f ca="1">INDIRECT(ADDRESS(2,7,2,1,"学科兴趣数据"))</f>
        <v>D</v>
      </c>
      <c r="L7" s="23" t="s">
        <v>155</v>
      </c>
      <c r="M7" s="11">
        <f ca="1" t="shared" ref="M7:M70" si="1">IF(C7="A",5,IF(C7="B",4,IF(C7="C",3,IF(C7="D",2,IF(C7="E",1,"")))))</f>
        <v>2</v>
      </c>
      <c r="N7" s="11" t="s">
        <v>155</v>
      </c>
      <c r="O7" s="11">
        <f ca="1" t="shared" si="0"/>
        <v>19</v>
      </c>
    </row>
    <row r="8" ht="18" customHeight="1" spans="1:15">
      <c r="A8" s="33" t="s">
        <v>22</v>
      </c>
      <c r="B8" s="34" t="s">
        <v>156</v>
      </c>
      <c r="C8" s="35" t="str">
        <f ca="1">INDIRECT(ADDRESS(2,8,2,1,"学科兴趣数据"))</f>
        <v>C</v>
      </c>
      <c r="L8" s="23" t="s">
        <v>157</v>
      </c>
      <c r="M8" s="11">
        <f ca="1" t="shared" si="1"/>
        <v>3</v>
      </c>
      <c r="N8" s="11" t="s">
        <v>157</v>
      </c>
      <c r="O8" s="11">
        <f ca="1" t="shared" si="0"/>
        <v>25</v>
      </c>
    </row>
    <row r="9" ht="18" customHeight="1" spans="1:15">
      <c r="A9" s="33" t="s">
        <v>25</v>
      </c>
      <c r="B9" s="34" t="s">
        <v>158</v>
      </c>
      <c r="C9" s="35" t="str">
        <f ca="1">INDIRECT(ADDRESS(2,9,2,1,"学科兴趣数据"))</f>
        <v>B</v>
      </c>
      <c r="L9" s="23" t="s">
        <v>159</v>
      </c>
      <c r="M9" s="11">
        <f ca="1" t="shared" si="1"/>
        <v>4</v>
      </c>
      <c r="N9" s="11" t="s">
        <v>159</v>
      </c>
      <c r="O9" s="11">
        <f ca="1" t="shared" si="0"/>
        <v>27</v>
      </c>
    </row>
    <row r="10" ht="18" customHeight="1" spans="1:15">
      <c r="A10" s="33" t="s">
        <v>29</v>
      </c>
      <c r="B10" s="34" t="s">
        <v>160</v>
      </c>
      <c r="C10" s="35" t="str">
        <f ca="1">INDIRECT(ADDRESS(2,10,2,1,"学科兴趣数据"))</f>
        <v>A</v>
      </c>
      <c r="L10" s="23" t="s">
        <v>161</v>
      </c>
      <c r="M10" s="11">
        <f ca="1" t="shared" si="1"/>
        <v>5</v>
      </c>
      <c r="N10" s="11" t="s">
        <v>161</v>
      </c>
      <c r="O10" s="11">
        <f ca="1" t="shared" si="0"/>
        <v>36</v>
      </c>
    </row>
    <row r="11" ht="18" customHeight="1" spans="1:15">
      <c r="A11" s="33" t="s">
        <v>31</v>
      </c>
      <c r="B11" s="34" t="s">
        <v>162</v>
      </c>
      <c r="C11" s="35" t="str">
        <f ca="1">INDIRECT(ADDRESS(2,11,2,1,"学科兴趣数据"))</f>
        <v>C</v>
      </c>
      <c r="L11" s="23" t="s">
        <v>163</v>
      </c>
      <c r="M11" s="11">
        <f ca="1" t="shared" si="1"/>
        <v>3</v>
      </c>
      <c r="N11" s="11" t="s">
        <v>163</v>
      </c>
      <c r="O11" s="11">
        <f ca="1" t="shared" si="0"/>
        <v>15</v>
      </c>
    </row>
    <row r="12" ht="18" customHeight="1" spans="1:15">
      <c r="A12" s="33" t="s">
        <v>33</v>
      </c>
      <c r="B12" s="34" t="s">
        <v>164</v>
      </c>
      <c r="C12" s="35" t="str">
        <f ca="1">INDIRECT(ADDRESS(2,12,2,1,"学科兴趣数据"))</f>
        <v>B</v>
      </c>
      <c r="L12" s="23" t="s">
        <v>165</v>
      </c>
      <c r="M12" s="11">
        <f ca="1" t="shared" si="1"/>
        <v>4</v>
      </c>
      <c r="N12" s="11" t="s">
        <v>165</v>
      </c>
      <c r="O12" s="11">
        <f ca="1" t="shared" si="0"/>
        <v>25</v>
      </c>
    </row>
    <row r="13" ht="18" customHeight="1" spans="1:15">
      <c r="A13" s="33" t="s">
        <v>35</v>
      </c>
      <c r="B13" s="34" t="s">
        <v>166</v>
      </c>
      <c r="C13" s="35" t="str">
        <f ca="1">INDIRECT(ADDRESS(2,13,2,1,"学科兴趣数据"))</f>
        <v>A</v>
      </c>
      <c r="L13" s="23" t="s">
        <v>167</v>
      </c>
      <c r="M13" s="11">
        <f ca="1" t="shared" si="1"/>
        <v>5</v>
      </c>
      <c r="N13" s="11" t="s">
        <v>167</v>
      </c>
      <c r="O13" s="11">
        <f ca="1" t="shared" si="0"/>
        <v>29</v>
      </c>
    </row>
    <row r="14" ht="18" customHeight="1" spans="1:15">
      <c r="A14" s="33" t="s">
        <v>37</v>
      </c>
      <c r="B14" s="34" t="s">
        <v>168</v>
      </c>
      <c r="C14" s="35" t="str">
        <f ca="1">INDIRECT(ADDRESS(2,14,2,1,"学科兴趣数据"))</f>
        <v>E</v>
      </c>
      <c r="L14" s="23" t="s">
        <v>169</v>
      </c>
      <c r="M14" s="11">
        <f ca="1" t="shared" si="1"/>
        <v>1</v>
      </c>
      <c r="N14" s="11" t="s">
        <v>169</v>
      </c>
      <c r="O14" s="11">
        <f ca="1" t="shared" si="0"/>
        <v>16</v>
      </c>
    </row>
    <row r="15" ht="18" customHeight="1" spans="1:15">
      <c r="A15" s="33" t="s">
        <v>39</v>
      </c>
      <c r="B15" s="34" t="s">
        <v>170</v>
      </c>
      <c r="C15" s="35" t="str">
        <f ca="1">INDIRECT(ADDRESS(2,15,2,1,"学科兴趣数据"))</f>
        <v>D</v>
      </c>
      <c r="L15" s="23" t="s">
        <v>171</v>
      </c>
      <c r="M15" s="11">
        <f ca="1" t="shared" si="1"/>
        <v>2</v>
      </c>
      <c r="N15" s="11" t="s">
        <v>171</v>
      </c>
      <c r="O15" s="11">
        <f ca="1" t="shared" si="0"/>
        <v>24</v>
      </c>
    </row>
    <row r="16" ht="18" customHeight="1" spans="1:15">
      <c r="A16" s="33" t="s">
        <v>41</v>
      </c>
      <c r="B16" s="34" t="s">
        <v>172</v>
      </c>
      <c r="C16" s="35" t="str">
        <f ca="1">INDIRECT(ADDRESS(2,16,2,1,"学科兴趣数据"))</f>
        <v>B</v>
      </c>
      <c r="L16" s="23" t="s">
        <v>173</v>
      </c>
      <c r="M16" s="11">
        <f ca="1" t="shared" si="1"/>
        <v>4</v>
      </c>
      <c r="N16" s="11" t="s">
        <v>173</v>
      </c>
      <c r="O16" s="11">
        <f ca="1" t="shared" si="0"/>
        <v>36</v>
      </c>
    </row>
    <row r="17" ht="18" customHeight="1" spans="1:15">
      <c r="A17" s="33" t="s">
        <v>43</v>
      </c>
      <c r="B17" s="34" t="s">
        <v>174</v>
      </c>
      <c r="C17" s="35" t="str">
        <f ca="1">INDIRECT(ADDRESS(2,17,2,1,"学科兴趣数据"))</f>
        <v>E</v>
      </c>
      <c r="L17" s="23" t="s">
        <v>175</v>
      </c>
      <c r="M17" s="11">
        <f ca="1" t="shared" si="1"/>
        <v>1</v>
      </c>
      <c r="N17" s="11" t="s">
        <v>175</v>
      </c>
      <c r="O17" s="11">
        <f ca="1" t="shared" si="0"/>
        <v>14</v>
      </c>
    </row>
    <row r="18" ht="18" customHeight="1" spans="1:13">
      <c r="A18" s="33" t="s">
        <v>45</v>
      </c>
      <c r="B18" s="34" t="s">
        <v>176</v>
      </c>
      <c r="C18" s="35" t="str">
        <f ca="1">INDIRECT(ADDRESS(2,18,2,1,"学科兴趣数据"))</f>
        <v>E</v>
      </c>
      <c r="L18" s="23" t="s">
        <v>153</v>
      </c>
      <c r="M18" s="11">
        <f ca="1" t="shared" si="1"/>
        <v>1</v>
      </c>
    </row>
    <row r="19" ht="18" customHeight="1" spans="1:13">
      <c r="A19" s="33" t="s">
        <v>47</v>
      </c>
      <c r="B19" s="34" t="s">
        <v>177</v>
      </c>
      <c r="C19" s="35" t="str">
        <f ca="1">INDIRECT(ADDRESS(2,19,2,1,"学科兴趣数据"))</f>
        <v>E</v>
      </c>
      <c r="L19" s="23" t="s">
        <v>155</v>
      </c>
      <c r="M19" s="11">
        <f ca="1" t="shared" si="1"/>
        <v>1</v>
      </c>
    </row>
    <row r="20" ht="18" customHeight="1" spans="1:13">
      <c r="A20" s="33" t="s">
        <v>49</v>
      </c>
      <c r="B20" s="34" t="s">
        <v>178</v>
      </c>
      <c r="C20" s="35" t="str">
        <f ca="1">INDIRECT(ADDRESS(2,20,2,1,"学科兴趣数据"))</f>
        <v>D</v>
      </c>
      <c r="L20" s="23" t="s">
        <v>157</v>
      </c>
      <c r="M20" s="11">
        <f ca="1" t="shared" si="1"/>
        <v>2</v>
      </c>
    </row>
    <row r="21" ht="18" customHeight="1" spans="1:13">
      <c r="A21" s="33" t="s">
        <v>51</v>
      </c>
      <c r="B21" s="34" t="s">
        <v>179</v>
      </c>
      <c r="C21" s="35" t="str">
        <f ca="1">INDIRECT(ADDRESS(2,21,2,1,"学科兴趣数据"))</f>
        <v>C</v>
      </c>
      <c r="L21" s="23" t="s">
        <v>159</v>
      </c>
      <c r="M21" s="11">
        <f ca="1" t="shared" si="1"/>
        <v>3</v>
      </c>
    </row>
    <row r="22" ht="18" customHeight="1" spans="1:13">
      <c r="A22" s="33" t="s">
        <v>53</v>
      </c>
      <c r="B22" s="34" t="s">
        <v>180</v>
      </c>
      <c r="C22" s="35" t="str">
        <f ca="1">INDIRECT(ADDRESS(2,22,2,1,"学科兴趣数据"))</f>
        <v>A</v>
      </c>
      <c r="L22" s="23" t="s">
        <v>161</v>
      </c>
      <c r="M22" s="11">
        <f ca="1" t="shared" si="1"/>
        <v>5</v>
      </c>
    </row>
    <row r="23" ht="18" customHeight="1" spans="1:13">
      <c r="A23" s="33" t="s">
        <v>55</v>
      </c>
      <c r="B23" s="34" t="s">
        <v>181</v>
      </c>
      <c r="C23" s="35" t="str">
        <f ca="1">INDIRECT(ADDRESS(2,23,2,1,"学科兴趣数据"))</f>
        <v>E</v>
      </c>
      <c r="L23" s="23" t="s">
        <v>163</v>
      </c>
      <c r="M23" s="11">
        <f ca="1" t="shared" si="1"/>
        <v>1</v>
      </c>
    </row>
    <row r="24" ht="18" customHeight="1" spans="1:13">
      <c r="A24" s="33" t="s">
        <v>57</v>
      </c>
      <c r="B24" s="34" t="s">
        <v>182</v>
      </c>
      <c r="C24" s="35" t="str">
        <f ca="1">INDIRECT(ADDRESS(2,24,2,1,"学科兴趣数据"))</f>
        <v>D</v>
      </c>
      <c r="L24" s="23" t="s">
        <v>165</v>
      </c>
      <c r="M24" s="11">
        <f ca="1" t="shared" si="1"/>
        <v>2</v>
      </c>
    </row>
    <row r="25" ht="18" customHeight="1" spans="1:13">
      <c r="A25" s="33" t="s">
        <v>59</v>
      </c>
      <c r="B25" s="34" t="s">
        <v>183</v>
      </c>
      <c r="C25" s="35" t="str">
        <f ca="1">INDIRECT(ADDRESS(2,25,2,1,"学科兴趣数据"))</f>
        <v>C</v>
      </c>
      <c r="L25" s="23" t="s">
        <v>167</v>
      </c>
      <c r="M25" s="11">
        <f ca="1" t="shared" si="1"/>
        <v>3</v>
      </c>
    </row>
    <row r="26" ht="18" customHeight="1" spans="1:13">
      <c r="A26" s="33" t="s">
        <v>61</v>
      </c>
      <c r="B26" s="34" t="s">
        <v>184</v>
      </c>
      <c r="C26" s="35" t="str">
        <f ca="1">INDIRECT(ADDRESS(2,26,2,1,"学科兴趣数据"))</f>
        <v>E</v>
      </c>
      <c r="L26" s="23" t="s">
        <v>169</v>
      </c>
      <c r="M26" s="11">
        <f ca="1" t="shared" si="1"/>
        <v>1</v>
      </c>
    </row>
    <row r="27" ht="18" customHeight="1" spans="1:13">
      <c r="A27" s="33" t="s">
        <v>63</v>
      </c>
      <c r="B27" s="34" t="s">
        <v>185</v>
      </c>
      <c r="C27" s="35" t="str">
        <f ca="1">INDIRECT(ADDRESS(2,27,2,1,"学科兴趣数据"))</f>
        <v>D</v>
      </c>
      <c r="L27" s="23" t="s">
        <v>171</v>
      </c>
      <c r="M27" s="11">
        <f ca="1" t="shared" si="1"/>
        <v>2</v>
      </c>
    </row>
    <row r="28" ht="18" customHeight="1" spans="1:13">
      <c r="A28" s="33" t="s">
        <v>65</v>
      </c>
      <c r="B28" s="34" t="s">
        <v>186</v>
      </c>
      <c r="C28" s="35" t="str">
        <f ca="1">INDIRECT(ADDRESS(2,28,2,1,"学科兴趣数据"))</f>
        <v>B</v>
      </c>
      <c r="L28" s="23" t="s">
        <v>173</v>
      </c>
      <c r="M28" s="11">
        <f ca="1" t="shared" si="1"/>
        <v>4</v>
      </c>
    </row>
    <row r="29" ht="18" customHeight="1" spans="1:13">
      <c r="A29" s="33" t="s">
        <v>67</v>
      </c>
      <c r="B29" s="34" t="s">
        <v>187</v>
      </c>
      <c r="C29" s="35" t="str">
        <f ca="1">INDIRECT(ADDRESS(2,29,2,1,"学科兴趣数据"))</f>
        <v>E</v>
      </c>
      <c r="L29" s="23" t="s">
        <v>175</v>
      </c>
      <c r="M29" s="11">
        <f ca="1" t="shared" si="1"/>
        <v>1</v>
      </c>
    </row>
    <row r="30" ht="18" customHeight="1" spans="1:13">
      <c r="A30" s="33" t="s">
        <v>69</v>
      </c>
      <c r="B30" s="34" t="s">
        <v>188</v>
      </c>
      <c r="C30" s="35" t="str">
        <f ca="1">INDIRECT(ADDRESS(2,30,2,1,"学科兴趣数据"))</f>
        <v>C</v>
      </c>
      <c r="L30" s="23" t="s">
        <v>153</v>
      </c>
      <c r="M30" s="11">
        <f ca="1" t="shared" si="1"/>
        <v>3</v>
      </c>
    </row>
    <row r="31" ht="18" customHeight="1" spans="1:13">
      <c r="A31" s="33" t="s">
        <v>71</v>
      </c>
      <c r="B31" s="34" t="s">
        <v>189</v>
      </c>
      <c r="C31" s="35" t="str">
        <f ca="1">INDIRECT(ADDRESS(2,31,2,1,"学科兴趣数据"))</f>
        <v>C</v>
      </c>
      <c r="L31" s="23" t="s">
        <v>155</v>
      </c>
      <c r="M31" s="11">
        <f ca="1" t="shared" si="1"/>
        <v>3</v>
      </c>
    </row>
    <row r="32" ht="18" customHeight="1" spans="1:13">
      <c r="A32" s="33" t="s">
        <v>73</v>
      </c>
      <c r="B32" s="34" t="s">
        <v>190</v>
      </c>
      <c r="C32" s="35" t="str">
        <f ca="1">INDIRECT(ADDRESS(2,32,2,1,"学科兴趣数据"))</f>
        <v>D</v>
      </c>
      <c r="L32" s="23" t="s">
        <v>157</v>
      </c>
      <c r="M32" s="11">
        <f ca="1" t="shared" si="1"/>
        <v>2</v>
      </c>
    </row>
    <row r="33" ht="18" customHeight="1" spans="1:13">
      <c r="A33" s="33" t="s">
        <v>75</v>
      </c>
      <c r="B33" s="34" t="s">
        <v>191</v>
      </c>
      <c r="C33" s="35" t="str">
        <f ca="1">INDIRECT(ADDRESS(2,33,2,1,"学科兴趣数据"))</f>
        <v>C</v>
      </c>
      <c r="L33" s="23" t="s">
        <v>159</v>
      </c>
      <c r="M33" s="11">
        <f ca="1" t="shared" si="1"/>
        <v>3</v>
      </c>
    </row>
    <row r="34" ht="18" customHeight="1" spans="1:13">
      <c r="A34" s="33" t="s">
        <v>77</v>
      </c>
      <c r="B34" s="34" t="s">
        <v>192</v>
      </c>
      <c r="C34" s="35" t="str">
        <f ca="1">INDIRECT(ADDRESS(2,34,2,1,"学科兴趣数据"))</f>
        <v>C</v>
      </c>
      <c r="L34" s="23" t="s">
        <v>161</v>
      </c>
      <c r="M34" s="11">
        <f ca="1" t="shared" si="1"/>
        <v>3</v>
      </c>
    </row>
    <row r="35" ht="18" customHeight="1" spans="1:13">
      <c r="A35" s="33" t="s">
        <v>79</v>
      </c>
      <c r="B35" s="34" t="s">
        <v>193</v>
      </c>
      <c r="C35" s="35" t="str">
        <f ca="1">INDIRECT(ADDRESS(2,35,2,1,"学科兴趣数据"))</f>
        <v>C</v>
      </c>
      <c r="L35" s="23" t="s">
        <v>163</v>
      </c>
      <c r="M35" s="11">
        <f ca="1" t="shared" si="1"/>
        <v>3</v>
      </c>
    </row>
    <row r="36" ht="18" customHeight="1" spans="1:13">
      <c r="A36" s="33" t="s">
        <v>81</v>
      </c>
      <c r="B36" s="34" t="s">
        <v>194</v>
      </c>
      <c r="C36" s="35" t="str">
        <f ca="1">INDIRECT(ADDRESS(2,36,2,1,"学科兴趣数据"))</f>
        <v>B</v>
      </c>
      <c r="L36" s="23" t="s">
        <v>165</v>
      </c>
      <c r="M36" s="11">
        <f ca="1" t="shared" si="1"/>
        <v>4</v>
      </c>
    </row>
    <row r="37" ht="18" customHeight="1" spans="1:13">
      <c r="A37" s="33" t="s">
        <v>83</v>
      </c>
      <c r="B37" s="34" t="s">
        <v>195</v>
      </c>
      <c r="C37" s="35" t="str">
        <f ca="1">INDIRECT(ADDRESS(2,37,2,1,"学科兴趣数据"))</f>
        <v>C</v>
      </c>
      <c r="L37" s="23" t="s">
        <v>167</v>
      </c>
      <c r="M37" s="11">
        <f ca="1" t="shared" si="1"/>
        <v>3</v>
      </c>
    </row>
    <row r="38" ht="18" customHeight="1" spans="1:13">
      <c r="A38" s="33" t="s">
        <v>85</v>
      </c>
      <c r="B38" s="34" t="s">
        <v>196</v>
      </c>
      <c r="C38" s="35" t="str">
        <f ca="1">INDIRECT(ADDRESS(2,38,2,1,"学科兴趣数据"))</f>
        <v>E</v>
      </c>
      <c r="L38" s="23" t="s">
        <v>169</v>
      </c>
      <c r="M38" s="11">
        <f ca="1" t="shared" si="1"/>
        <v>1</v>
      </c>
    </row>
    <row r="39" ht="18" customHeight="1" spans="1:13">
      <c r="A39" s="33" t="s">
        <v>87</v>
      </c>
      <c r="B39" s="34" t="s">
        <v>197</v>
      </c>
      <c r="C39" s="35" t="str">
        <f ca="1">INDIRECT(ADDRESS(2,39,2,1,"学科兴趣数据"))</f>
        <v>B</v>
      </c>
      <c r="L39" s="23" t="s">
        <v>171</v>
      </c>
      <c r="M39" s="11">
        <f ca="1" t="shared" si="1"/>
        <v>4</v>
      </c>
    </row>
    <row r="40" ht="18" customHeight="1" spans="1:13">
      <c r="A40" s="33" t="s">
        <v>89</v>
      </c>
      <c r="B40" s="34" t="s">
        <v>198</v>
      </c>
      <c r="C40" s="35" t="str">
        <f ca="1">INDIRECT(ADDRESS(2,40,2,1,"学科兴趣数据"))</f>
        <v>A</v>
      </c>
      <c r="L40" s="23" t="s">
        <v>173</v>
      </c>
      <c r="M40" s="11">
        <f ca="1" t="shared" si="1"/>
        <v>5</v>
      </c>
    </row>
    <row r="41" ht="18" customHeight="1" spans="1:13">
      <c r="A41" s="33" t="s">
        <v>91</v>
      </c>
      <c r="B41" s="34" t="s">
        <v>199</v>
      </c>
      <c r="C41" s="35" t="str">
        <f ca="1">INDIRECT(ADDRESS(2,41,2,1,"学科兴趣数据"))</f>
        <v>E</v>
      </c>
      <c r="L41" s="23" t="s">
        <v>175</v>
      </c>
      <c r="M41" s="11">
        <f ca="1" t="shared" si="1"/>
        <v>1</v>
      </c>
    </row>
    <row r="42" ht="18" customHeight="1" spans="1:13">
      <c r="A42" s="33" t="s">
        <v>93</v>
      </c>
      <c r="B42" s="34" t="s">
        <v>200</v>
      </c>
      <c r="C42" s="35" t="str">
        <f ca="1">INDIRECT(ADDRESS(2,42,2,1,"学科兴趣数据"))</f>
        <v>D</v>
      </c>
      <c r="L42" s="23" t="s">
        <v>153</v>
      </c>
      <c r="M42" s="11">
        <f ca="1" t="shared" si="1"/>
        <v>2</v>
      </c>
    </row>
    <row r="43" ht="18" customHeight="1" spans="1:13">
      <c r="A43" s="33" t="s">
        <v>95</v>
      </c>
      <c r="B43" s="34" t="s">
        <v>201</v>
      </c>
      <c r="C43" s="35" t="str">
        <f ca="1">INDIRECT(ADDRESS(2,43,2,1,"学科兴趣数据"))</f>
        <v>E</v>
      </c>
      <c r="L43" s="23" t="s">
        <v>155</v>
      </c>
      <c r="M43" s="11">
        <f ca="1" t="shared" si="1"/>
        <v>1</v>
      </c>
    </row>
    <row r="44" ht="18" customHeight="1" spans="1:13">
      <c r="A44" s="33" t="s">
        <v>97</v>
      </c>
      <c r="B44" s="34" t="s">
        <v>202</v>
      </c>
      <c r="C44" s="35" t="str">
        <f ca="1">INDIRECT(ADDRESS(2,44,2,1,"学科兴趣数据"))</f>
        <v>C</v>
      </c>
      <c r="L44" s="23" t="s">
        <v>157</v>
      </c>
      <c r="M44" s="11">
        <f ca="1" t="shared" si="1"/>
        <v>3</v>
      </c>
    </row>
    <row r="45" ht="18" customHeight="1" spans="1:13">
      <c r="A45" s="33" t="s">
        <v>99</v>
      </c>
      <c r="B45" s="34" t="s">
        <v>203</v>
      </c>
      <c r="C45" s="35" t="str">
        <f ca="1">INDIRECT(ADDRESS(2,45,2,1,"学科兴趣数据"))</f>
        <v>D</v>
      </c>
      <c r="L45" s="23" t="s">
        <v>159</v>
      </c>
      <c r="M45" s="11">
        <f ca="1" t="shared" si="1"/>
        <v>2</v>
      </c>
    </row>
    <row r="46" ht="18" customHeight="1" spans="1:13">
      <c r="A46" s="33" t="s">
        <v>101</v>
      </c>
      <c r="B46" s="34" t="s">
        <v>204</v>
      </c>
      <c r="C46" s="35" t="str">
        <f ca="1">INDIRECT(ADDRESS(2,46,2,1,"学科兴趣数据"))</f>
        <v>A</v>
      </c>
      <c r="L46" s="23" t="s">
        <v>161</v>
      </c>
      <c r="M46" s="11">
        <f ca="1" t="shared" si="1"/>
        <v>5</v>
      </c>
    </row>
    <row r="47" ht="18" customHeight="1" spans="1:13">
      <c r="A47" s="33" t="s">
        <v>103</v>
      </c>
      <c r="B47" s="34" t="s">
        <v>205</v>
      </c>
      <c r="C47" s="35" t="str">
        <f ca="1">INDIRECT(ADDRESS(2,47,2,1,"学科兴趣数据"))</f>
        <v>E</v>
      </c>
      <c r="L47" s="23" t="s">
        <v>163</v>
      </c>
      <c r="M47" s="11">
        <f ca="1" t="shared" si="1"/>
        <v>1</v>
      </c>
    </row>
    <row r="48" ht="18" customHeight="1" spans="1:13">
      <c r="A48" s="33" t="s">
        <v>105</v>
      </c>
      <c r="B48" s="34" t="s">
        <v>206</v>
      </c>
      <c r="C48" s="35" t="str">
        <f ca="1">INDIRECT(ADDRESS(2,48,2,1,"学科兴趣数据"))</f>
        <v>E</v>
      </c>
      <c r="L48" s="23" t="s">
        <v>165</v>
      </c>
      <c r="M48" s="11">
        <f ca="1" t="shared" si="1"/>
        <v>1</v>
      </c>
    </row>
    <row r="49" ht="18" customHeight="1" spans="1:13">
      <c r="A49" s="33" t="s">
        <v>107</v>
      </c>
      <c r="B49" s="34" t="s">
        <v>207</v>
      </c>
      <c r="C49" s="35" t="str">
        <f ca="1">INDIRECT(ADDRESS(2,49,2,1,"学科兴趣数据"))</f>
        <v>C</v>
      </c>
      <c r="L49" s="23" t="s">
        <v>167</v>
      </c>
      <c r="M49" s="11">
        <f ca="1" t="shared" si="1"/>
        <v>3</v>
      </c>
    </row>
    <row r="50" ht="18" customHeight="1" spans="1:13">
      <c r="A50" s="33" t="s">
        <v>109</v>
      </c>
      <c r="B50" s="34" t="s">
        <v>208</v>
      </c>
      <c r="C50" s="35" t="str">
        <f ca="1">INDIRECT(ADDRESS(2,50,2,1,"学科兴趣数据"))</f>
        <v>E</v>
      </c>
      <c r="L50" s="23" t="s">
        <v>169</v>
      </c>
      <c r="M50" s="11">
        <f ca="1" t="shared" si="1"/>
        <v>1</v>
      </c>
    </row>
    <row r="51" ht="18" customHeight="1" spans="1:13">
      <c r="A51" s="33" t="s">
        <v>111</v>
      </c>
      <c r="B51" s="34" t="s">
        <v>209</v>
      </c>
      <c r="C51" s="35" t="str">
        <f ca="1">INDIRECT(ADDRESS(2,51,2,1,"学科兴趣数据"))</f>
        <v>C</v>
      </c>
      <c r="L51" s="23" t="s">
        <v>171</v>
      </c>
      <c r="M51" s="11">
        <f ca="1" t="shared" si="1"/>
        <v>3</v>
      </c>
    </row>
    <row r="52" ht="18" customHeight="1" spans="1:13">
      <c r="A52" s="33" t="s">
        <v>113</v>
      </c>
      <c r="B52" s="34" t="s">
        <v>210</v>
      </c>
      <c r="C52" s="35" t="str">
        <f ca="1">INDIRECT(ADDRESS(2,52,2,1,"学科兴趣数据"))</f>
        <v>C</v>
      </c>
      <c r="L52" s="23" t="s">
        <v>173</v>
      </c>
      <c r="M52" s="11">
        <f ca="1" t="shared" si="1"/>
        <v>3</v>
      </c>
    </row>
    <row r="53" ht="18" customHeight="1" spans="1:13">
      <c r="A53" s="33" t="s">
        <v>115</v>
      </c>
      <c r="B53" s="34" t="s">
        <v>211</v>
      </c>
      <c r="C53" s="35" t="str">
        <f ca="1">INDIRECT(ADDRESS(2,53,2,1,"学科兴趣数据"))</f>
        <v>E</v>
      </c>
      <c r="L53" s="23" t="s">
        <v>175</v>
      </c>
      <c r="M53" s="11">
        <f ca="1" t="shared" si="1"/>
        <v>1</v>
      </c>
    </row>
    <row r="54" ht="18" customHeight="1" spans="1:13">
      <c r="A54" s="33" t="s">
        <v>117</v>
      </c>
      <c r="B54" s="34" t="s">
        <v>212</v>
      </c>
      <c r="C54" s="35" t="str">
        <f ca="1">INDIRECT(ADDRESS(2,54,2,1,"学科兴趣数据"))</f>
        <v>E</v>
      </c>
      <c r="L54" s="23" t="s">
        <v>153</v>
      </c>
      <c r="M54" s="11">
        <f ca="1" t="shared" si="1"/>
        <v>1</v>
      </c>
    </row>
    <row r="55" ht="18" customHeight="1" spans="1:13">
      <c r="A55" s="33" t="s">
        <v>119</v>
      </c>
      <c r="B55" s="34" t="s">
        <v>213</v>
      </c>
      <c r="C55" s="35" t="str">
        <f ca="1">INDIRECT(ADDRESS(2,55,2,1,"学科兴趣数据"))</f>
        <v>E</v>
      </c>
      <c r="L55" s="23" t="s">
        <v>155</v>
      </c>
      <c r="M55" s="11">
        <f ca="1" t="shared" si="1"/>
        <v>1</v>
      </c>
    </row>
    <row r="56" ht="18" customHeight="1" spans="1:13">
      <c r="A56" s="33" t="s">
        <v>121</v>
      </c>
      <c r="B56" s="34" t="s">
        <v>214</v>
      </c>
      <c r="C56" s="35" t="str">
        <f ca="1">INDIRECT(ADDRESS(2,56,2,1,"学科兴趣数据"))</f>
        <v>D</v>
      </c>
      <c r="L56" s="23" t="s">
        <v>157</v>
      </c>
      <c r="M56" s="11">
        <f ca="1" t="shared" si="1"/>
        <v>2</v>
      </c>
    </row>
    <row r="57" ht="18" customHeight="1" spans="1:13">
      <c r="A57" s="33" t="s">
        <v>123</v>
      </c>
      <c r="B57" s="34" t="s">
        <v>215</v>
      </c>
      <c r="C57" s="35" t="str">
        <f ca="1">INDIRECT(ADDRESS(2,57,2,1,"学科兴趣数据"))</f>
        <v>D</v>
      </c>
      <c r="L57" s="23" t="s">
        <v>159</v>
      </c>
      <c r="M57" s="11">
        <f ca="1" t="shared" si="1"/>
        <v>2</v>
      </c>
    </row>
    <row r="58" ht="18" customHeight="1" spans="1:13">
      <c r="A58" s="33" t="s">
        <v>125</v>
      </c>
      <c r="B58" s="34" t="s">
        <v>216</v>
      </c>
      <c r="C58" s="35" t="str">
        <f ca="1">INDIRECT(ADDRESS(2,58,2,1,"学科兴趣数据"))</f>
        <v>A</v>
      </c>
      <c r="L58" s="23" t="s">
        <v>161</v>
      </c>
      <c r="M58" s="11">
        <f ca="1" t="shared" si="1"/>
        <v>5</v>
      </c>
    </row>
    <row r="59" ht="18" customHeight="1" spans="1:13">
      <c r="A59" s="33" t="s">
        <v>127</v>
      </c>
      <c r="B59" s="34" t="s">
        <v>217</v>
      </c>
      <c r="C59" s="35" t="str">
        <f ca="1">INDIRECT(ADDRESS(2,59,2,1,"学科兴趣数据"))</f>
        <v>D</v>
      </c>
      <c r="L59" s="23" t="s">
        <v>163</v>
      </c>
      <c r="M59" s="11">
        <f ca="1" t="shared" si="1"/>
        <v>2</v>
      </c>
    </row>
    <row r="60" ht="18" customHeight="1" spans="1:13">
      <c r="A60" s="33" t="s">
        <v>129</v>
      </c>
      <c r="B60" s="34" t="s">
        <v>218</v>
      </c>
      <c r="C60" s="35" t="str">
        <f ca="1">INDIRECT(ADDRESS(2,60,2,1,"学科兴趣数据"))</f>
        <v>A</v>
      </c>
      <c r="L60" s="23" t="s">
        <v>165</v>
      </c>
      <c r="M60" s="11">
        <f ca="1" t="shared" si="1"/>
        <v>5</v>
      </c>
    </row>
    <row r="61" ht="18" customHeight="1" spans="1:13">
      <c r="A61" s="33" t="s">
        <v>131</v>
      </c>
      <c r="B61" s="34" t="s">
        <v>219</v>
      </c>
      <c r="C61" s="35" t="str">
        <f ca="1">INDIRECT(ADDRESS(2,61,2,1,"学科兴趣数据"))</f>
        <v>C</v>
      </c>
      <c r="L61" s="23" t="s">
        <v>167</v>
      </c>
      <c r="M61" s="11">
        <f ca="1" t="shared" si="1"/>
        <v>3</v>
      </c>
    </row>
    <row r="62" ht="18" customHeight="1" spans="1:13">
      <c r="A62" s="33" t="s">
        <v>133</v>
      </c>
      <c r="B62" s="34" t="s">
        <v>220</v>
      </c>
      <c r="C62" s="35" t="str">
        <f ca="1">INDIRECT(ADDRESS(2,62,2,1,"学科兴趣数据"))</f>
        <v>E</v>
      </c>
      <c r="L62" s="23" t="s">
        <v>169</v>
      </c>
      <c r="M62" s="11">
        <f ca="1" t="shared" si="1"/>
        <v>1</v>
      </c>
    </row>
    <row r="63" ht="18" customHeight="1" spans="1:13">
      <c r="A63" s="33" t="s">
        <v>135</v>
      </c>
      <c r="B63" s="34" t="s">
        <v>221</v>
      </c>
      <c r="C63" s="35" t="str">
        <f ca="1">INDIRECT(ADDRESS(2,63,2,1,"学科兴趣数据"))</f>
        <v>D</v>
      </c>
      <c r="L63" s="23" t="s">
        <v>171</v>
      </c>
      <c r="M63" s="11">
        <f ca="1" t="shared" si="1"/>
        <v>2</v>
      </c>
    </row>
    <row r="64" ht="18" customHeight="1" spans="1:13">
      <c r="A64" s="33" t="s">
        <v>137</v>
      </c>
      <c r="B64" s="34" t="s">
        <v>222</v>
      </c>
      <c r="C64" s="35" t="str">
        <f ca="1">INDIRECT(ADDRESS(2,64,2,1,"学科兴趣数据"))</f>
        <v>A</v>
      </c>
      <c r="L64" s="23" t="s">
        <v>173</v>
      </c>
      <c r="M64" s="11">
        <f ca="1" t="shared" si="1"/>
        <v>5</v>
      </c>
    </row>
    <row r="65" ht="18" customHeight="1" spans="1:13">
      <c r="A65" s="33" t="s">
        <v>139</v>
      </c>
      <c r="B65" s="34" t="s">
        <v>223</v>
      </c>
      <c r="C65" s="35" t="str">
        <f ca="1">INDIRECT(ADDRESS(2,65,2,1,"学科兴趣数据"))</f>
        <v>E</v>
      </c>
      <c r="L65" s="23" t="s">
        <v>175</v>
      </c>
      <c r="M65" s="11">
        <f ca="1" t="shared" si="1"/>
        <v>1</v>
      </c>
    </row>
    <row r="66" ht="18" customHeight="1" spans="1:13">
      <c r="A66" s="33" t="s">
        <v>224</v>
      </c>
      <c r="B66" s="34" t="s">
        <v>225</v>
      </c>
      <c r="C66" s="35" t="str">
        <f ca="1">INDIRECT(ADDRESS(2,66,2,1,"学科兴趣数据"))</f>
        <v>E</v>
      </c>
      <c r="L66" s="23" t="s">
        <v>153</v>
      </c>
      <c r="M66" s="11">
        <f ca="1" t="shared" si="1"/>
        <v>1</v>
      </c>
    </row>
    <row r="67" ht="18" customHeight="1" spans="1:13">
      <c r="A67" s="33" t="s">
        <v>226</v>
      </c>
      <c r="B67" s="34" t="s">
        <v>227</v>
      </c>
      <c r="C67" s="35" t="str">
        <f ca="1">INDIRECT(ADDRESS(2,67,2,1,"学科兴趣数据"))</f>
        <v>B</v>
      </c>
      <c r="L67" s="23" t="s">
        <v>155</v>
      </c>
      <c r="M67" s="11">
        <f ca="1" t="shared" si="1"/>
        <v>4</v>
      </c>
    </row>
    <row r="68" ht="18" customHeight="1" spans="1:13">
      <c r="A68" s="33" t="s">
        <v>228</v>
      </c>
      <c r="B68" s="34" t="s">
        <v>229</v>
      </c>
      <c r="C68" s="35" t="str">
        <f ca="1">INDIRECT(ADDRESS(2,68,2,1,"学科兴趣数据"))</f>
        <v>C</v>
      </c>
      <c r="L68" s="23" t="s">
        <v>157</v>
      </c>
      <c r="M68" s="11">
        <f ca="1" t="shared" si="1"/>
        <v>3</v>
      </c>
    </row>
    <row r="69" ht="18" customHeight="1" spans="1:13">
      <c r="A69" s="33" t="s">
        <v>230</v>
      </c>
      <c r="B69" s="34" t="s">
        <v>231</v>
      </c>
      <c r="C69" s="35" t="str">
        <f ca="1">INDIRECT(ADDRESS(2,69,2,1,"学科兴趣数据"))</f>
        <v>D</v>
      </c>
      <c r="L69" s="23" t="s">
        <v>159</v>
      </c>
      <c r="M69" s="11">
        <f ca="1" t="shared" si="1"/>
        <v>2</v>
      </c>
    </row>
    <row r="70" ht="18" customHeight="1" spans="1:13">
      <c r="A70" s="33" t="s">
        <v>232</v>
      </c>
      <c r="B70" s="34" t="s">
        <v>233</v>
      </c>
      <c r="C70" s="35" t="str">
        <f ca="1">INDIRECT(ADDRESS(2,70,2,1,"学科兴趣数据"))</f>
        <v>C</v>
      </c>
      <c r="L70" s="23" t="s">
        <v>161</v>
      </c>
      <c r="M70" s="11">
        <f ca="1" t="shared" si="1"/>
        <v>3</v>
      </c>
    </row>
    <row r="71" ht="18" customHeight="1" spans="1:13">
      <c r="A71" s="33" t="s">
        <v>234</v>
      </c>
      <c r="B71" s="34" t="s">
        <v>235</v>
      </c>
      <c r="C71" s="35" t="str">
        <f ca="1">INDIRECT(ADDRESS(2,71,2,1,"学科兴趣数据"))</f>
        <v>E</v>
      </c>
      <c r="L71" s="23" t="s">
        <v>163</v>
      </c>
      <c r="M71" s="11">
        <f ca="1" t="shared" ref="M71:M113" si="2">IF(C71="A",5,IF(C71="B",4,IF(C71="C",3,IF(C71="D",2,IF(C71="E",1,"")))))</f>
        <v>1</v>
      </c>
    </row>
    <row r="72" ht="18" customHeight="1" spans="1:13">
      <c r="A72" s="33" t="s">
        <v>236</v>
      </c>
      <c r="B72" s="34" t="s">
        <v>237</v>
      </c>
      <c r="C72" s="35" t="str">
        <f ca="1">INDIRECT(ADDRESS(2,72,2,1,"学科兴趣数据"))</f>
        <v>E</v>
      </c>
      <c r="L72" s="23" t="s">
        <v>165</v>
      </c>
      <c r="M72" s="11">
        <f ca="1" t="shared" si="2"/>
        <v>1</v>
      </c>
    </row>
    <row r="73" ht="18" customHeight="1" spans="1:13">
      <c r="A73" s="33" t="s">
        <v>238</v>
      </c>
      <c r="B73" s="34" t="s">
        <v>239</v>
      </c>
      <c r="C73" s="35" t="str">
        <f ca="1">INDIRECT(ADDRESS(2,73,2,1,"学科兴趣数据"))</f>
        <v>C</v>
      </c>
      <c r="L73" s="23" t="s">
        <v>167</v>
      </c>
      <c r="M73" s="11">
        <f ca="1" t="shared" si="2"/>
        <v>3</v>
      </c>
    </row>
    <row r="74" ht="18" customHeight="1" spans="1:13">
      <c r="A74" s="33" t="s">
        <v>240</v>
      </c>
      <c r="B74" s="34" t="s">
        <v>241</v>
      </c>
      <c r="C74" s="35" t="str">
        <f ca="1">INDIRECT(ADDRESS(2,74,2,1,"学科兴趣数据"))</f>
        <v>E</v>
      </c>
      <c r="L74" s="23" t="s">
        <v>169</v>
      </c>
      <c r="M74" s="11">
        <f ca="1" t="shared" si="2"/>
        <v>1</v>
      </c>
    </row>
    <row r="75" ht="18" customHeight="1" spans="1:13">
      <c r="A75" s="33" t="s">
        <v>242</v>
      </c>
      <c r="B75" s="34" t="s">
        <v>243</v>
      </c>
      <c r="C75" s="35" t="str">
        <f ca="1">INDIRECT(ADDRESS(2,75,2,1,"学科兴趣数据"))</f>
        <v>C</v>
      </c>
      <c r="L75" s="23" t="s">
        <v>171</v>
      </c>
      <c r="M75" s="11">
        <f ca="1" t="shared" si="2"/>
        <v>3</v>
      </c>
    </row>
    <row r="76" ht="18" customHeight="1" spans="1:13">
      <c r="A76" s="33" t="s">
        <v>244</v>
      </c>
      <c r="B76" s="34" t="s">
        <v>245</v>
      </c>
      <c r="C76" s="35" t="str">
        <f ca="1">INDIRECT(ADDRESS(2,76,2,1,"学科兴趣数据"))</f>
        <v>B</v>
      </c>
      <c r="L76" s="23" t="s">
        <v>173</v>
      </c>
      <c r="M76" s="11">
        <f ca="1" t="shared" si="2"/>
        <v>4</v>
      </c>
    </row>
    <row r="77" ht="18" customHeight="1" spans="1:13">
      <c r="A77" s="33" t="s">
        <v>246</v>
      </c>
      <c r="B77" s="34" t="s">
        <v>247</v>
      </c>
      <c r="C77" s="35" t="str">
        <f ca="1">INDIRECT(ADDRESS(2,77,2,1,"学科兴趣数据"))</f>
        <v>D</v>
      </c>
      <c r="L77" s="23" t="s">
        <v>175</v>
      </c>
      <c r="M77" s="11">
        <f ca="1" t="shared" si="2"/>
        <v>2</v>
      </c>
    </row>
    <row r="78" ht="18" customHeight="1" spans="1:13">
      <c r="A78" s="33" t="s">
        <v>248</v>
      </c>
      <c r="B78" s="34" t="s">
        <v>249</v>
      </c>
      <c r="C78" s="35" t="str">
        <f ca="1">INDIRECT(ADDRESS(2,78,2,1,"学科兴趣数据"))</f>
        <v>E</v>
      </c>
      <c r="L78" s="23" t="s">
        <v>153</v>
      </c>
      <c r="M78" s="11">
        <f ca="1" t="shared" si="2"/>
        <v>1</v>
      </c>
    </row>
    <row r="79" ht="18" customHeight="1" spans="1:13">
      <c r="A79" s="33" t="s">
        <v>250</v>
      </c>
      <c r="B79" s="34" t="s">
        <v>251</v>
      </c>
      <c r="C79" s="35" t="str">
        <f ca="1">INDIRECT(ADDRESS(2,79,2,1,"学科兴趣数据"))</f>
        <v>E</v>
      </c>
      <c r="L79" s="23" t="s">
        <v>155</v>
      </c>
      <c r="M79" s="11">
        <f ca="1" t="shared" si="2"/>
        <v>1</v>
      </c>
    </row>
    <row r="80" ht="18" customHeight="1" spans="1:13">
      <c r="A80" s="33" t="s">
        <v>252</v>
      </c>
      <c r="B80" s="34" t="s">
        <v>253</v>
      </c>
      <c r="C80" s="35" t="str">
        <f ca="1">INDIRECT(ADDRESS(2,80,2,1,"学科兴趣数据"))</f>
        <v>B</v>
      </c>
      <c r="L80" s="23" t="s">
        <v>157</v>
      </c>
      <c r="M80" s="11">
        <f ca="1" t="shared" si="2"/>
        <v>4</v>
      </c>
    </row>
    <row r="81" ht="18" customHeight="1" spans="1:13">
      <c r="A81" s="33" t="s">
        <v>254</v>
      </c>
      <c r="B81" s="34" t="s">
        <v>255</v>
      </c>
      <c r="C81" s="35" t="str">
        <f ca="1">INDIRECT(ADDRESS(2,81,2,1,"学科兴趣数据"))</f>
        <v>B</v>
      </c>
      <c r="L81" s="23" t="s">
        <v>159</v>
      </c>
      <c r="M81" s="11">
        <f ca="1" t="shared" si="2"/>
        <v>4</v>
      </c>
    </row>
    <row r="82" ht="18" customHeight="1" spans="1:13">
      <c r="A82" s="33" t="s">
        <v>256</v>
      </c>
      <c r="B82" s="34" t="s">
        <v>257</v>
      </c>
      <c r="C82" s="35" t="str">
        <f ca="1">INDIRECT(ADDRESS(2,82,2,1,"学科兴趣数据"))</f>
        <v>C</v>
      </c>
      <c r="L82" s="23" t="s">
        <v>161</v>
      </c>
      <c r="M82" s="11">
        <f ca="1" t="shared" si="2"/>
        <v>3</v>
      </c>
    </row>
    <row r="83" ht="18" customHeight="1" spans="1:13">
      <c r="A83" s="33" t="s">
        <v>258</v>
      </c>
      <c r="B83" s="34" t="s">
        <v>259</v>
      </c>
      <c r="C83" s="35" t="str">
        <f ca="1">INDIRECT(ADDRESS(2,83,2,1,"学科兴趣数据"))</f>
        <v>E</v>
      </c>
      <c r="L83" s="23" t="s">
        <v>163</v>
      </c>
      <c r="M83" s="11">
        <f ca="1" t="shared" si="2"/>
        <v>1</v>
      </c>
    </row>
    <row r="84" ht="18" customHeight="1" spans="1:13">
      <c r="A84" s="33" t="s">
        <v>260</v>
      </c>
      <c r="B84" s="34" t="s">
        <v>261</v>
      </c>
      <c r="C84" s="35" t="str">
        <f ca="1">INDIRECT(ADDRESS(2,84,2,1,"学科兴趣数据"))</f>
        <v>D</v>
      </c>
      <c r="L84" s="23" t="s">
        <v>165</v>
      </c>
      <c r="M84" s="11">
        <f ca="1" t="shared" si="2"/>
        <v>2</v>
      </c>
    </row>
    <row r="85" ht="18" customHeight="1" spans="1:13">
      <c r="A85" s="33" t="s">
        <v>262</v>
      </c>
      <c r="B85" s="34" t="s">
        <v>263</v>
      </c>
      <c r="C85" s="35" t="str">
        <f ca="1">INDIRECT(ADDRESS(2,85,2,1,"学科兴趣数据"))</f>
        <v>B</v>
      </c>
      <c r="L85" s="23" t="s">
        <v>167</v>
      </c>
      <c r="M85" s="11">
        <f ca="1" t="shared" si="2"/>
        <v>4</v>
      </c>
    </row>
    <row r="86" ht="18" customHeight="1" spans="1:13">
      <c r="A86" s="33" t="s">
        <v>264</v>
      </c>
      <c r="B86" s="34" t="s">
        <v>265</v>
      </c>
      <c r="C86" s="35" t="str">
        <f ca="1">INDIRECT(ADDRESS(2,86,2,1,"学科兴趣数据"))</f>
        <v>C</v>
      </c>
      <c r="L86" s="23" t="s">
        <v>169</v>
      </c>
      <c r="M86" s="11">
        <f ca="1" t="shared" si="2"/>
        <v>3</v>
      </c>
    </row>
    <row r="87" ht="18" customHeight="1" spans="1:13">
      <c r="A87" s="33" t="s">
        <v>266</v>
      </c>
      <c r="B87" s="34" t="s">
        <v>267</v>
      </c>
      <c r="C87" s="35" t="str">
        <f ca="1">INDIRECT(ADDRESS(2,87,2,1,"学科兴趣数据"))</f>
        <v>C</v>
      </c>
      <c r="L87" s="23" t="s">
        <v>171</v>
      </c>
      <c r="M87" s="11">
        <f ca="1" t="shared" si="2"/>
        <v>3</v>
      </c>
    </row>
    <row r="88" ht="18" customHeight="1" spans="1:13">
      <c r="A88" s="33" t="s">
        <v>268</v>
      </c>
      <c r="B88" s="40" t="s">
        <v>269</v>
      </c>
      <c r="C88" s="35" t="str">
        <f ca="1">INDIRECT(ADDRESS(2,88,2,1,"学科兴趣数据"))</f>
        <v>C</v>
      </c>
      <c r="L88" s="23" t="s">
        <v>173</v>
      </c>
      <c r="M88" s="11">
        <f ca="1" t="shared" si="2"/>
        <v>3</v>
      </c>
    </row>
    <row r="89" ht="18" customHeight="1" spans="1:13">
      <c r="A89" s="33" t="s">
        <v>270</v>
      </c>
      <c r="B89" s="34" t="s">
        <v>271</v>
      </c>
      <c r="C89" s="35" t="str">
        <f ca="1">INDIRECT(ADDRESS(2,89,2,1,"学科兴趣数据"))</f>
        <v>D</v>
      </c>
      <c r="L89" s="23" t="s">
        <v>175</v>
      </c>
      <c r="M89" s="11">
        <f ca="1" t="shared" si="2"/>
        <v>2</v>
      </c>
    </row>
    <row r="90" ht="18" customHeight="1" spans="1:13">
      <c r="A90" s="33" t="s">
        <v>272</v>
      </c>
      <c r="B90" s="34" t="s">
        <v>273</v>
      </c>
      <c r="C90" s="35" t="str">
        <f ca="1">INDIRECT(ADDRESS(2,90,2,1,"学科兴趣数据"))</f>
        <v>D</v>
      </c>
      <c r="L90" s="23" t="s">
        <v>153</v>
      </c>
      <c r="M90" s="11">
        <f ca="1" t="shared" si="2"/>
        <v>2</v>
      </c>
    </row>
    <row r="91" ht="18" customHeight="1" spans="1:13">
      <c r="A91" s="33" t="s">
        <v>274</v>
      </c>
      <c r="B91" s="34" t="s">
        <v>275</v>
      </c>
      <c r="C91" s="35" t="str">
        <f ca="1">INDIRECT(ADDRESS(2,91,2,1,"学科兴趣数据"))</f>
        <v>C</v>
      </c>
      <c r="L91" s="23" t="s">
        <v>155</v>
      </c>
      <c r="M91" s="11">
        <f ca="1" t="shared" si="2"/>
        <v>3</v>
      </c>
    </row>
    <row r="92" ht="18" customHeight="1" spans="1:13">
      <c r="A92" s="33" t="s">
        <v>276</v>
      </c>
      <c r="B92" s="34" t="s">
        <v>277</v>
      </c>
      <c r="C92" s="35" t="str">
        <f ca="1">INDIRECT(ADDRESS(2,92,2,1,"学科兴趣数据"))</f>
        <v>C</v>
      </c>
      <c r="L92" s="23" t="s">
        <v>157</v>
      </c>
      <c r="M92" s="11">
        <f ca="1" t="shared" si="2"/>
        <v>3</v>
      </c>
    </row>
    <row r="93" ht="18" customHeight="1" spans="1:13">
      <c r="A93" s="33" t="s">
        <v>278</v>
      </c>
      <c r="B93" s="34" t="s">
        <v>279</v>
      </c>
      <c r="C93" s="35" t="str">
        <f ca="1">INDIRECT(ADDRESS(2,93,2,1,"学科兴趣数据"))</f>
        <v>B</v>
      </c>
      <c r="L93" s="23" t="s">
        <v>159</v>
      </c>
      <c r="M93" s="11">
        <f ca="1" t="shared" si="2"/>
        <v>4</v>
      </c>
    </row>
    <row r="94" ht="18" customHeight="1" spans="1:13">
      <c r="A94" s="33" t="s">
        <v>280</v>
      </c>
      <c r="B94" s="34" t="s">
        <v>281</v>
      </c>
      <c r="C94" s="35" t="str">
        <f ca="1">INDIRECT(ADDRESS(2,94,2,1,"学科兴趣数据"))</f>
        <v>C</v>
      </c>
      <c r="L94" s="23" t="s">
        <v>161</v>
      </c>
      <c r="M94" s="11">
        <f ca="1" t="shared" si="2"/>
        <v>3</v>
      </c>
    </row>
    <row r="95" ht="18" customHeight="1" spans="1:13">
      <c r="A95" s="33" t="s">
        <v>282</v>
      </c>
      <c r="B95" s="34" t="s">
        <v>283</v>
      </c>
      <c r="C95" s="35" t="str">
        <f ca="1">INDIRECT(ADDRESS(2,95,2,1,"学科兴趣数据"))</f>
        <v>D</v>
      </c>
      <c r="L95" s="23" t="s">
        <v>163</v>
      </c>
      <c r="M95" s="11">
        <f ca="1" t="shared" si="2"/>
        <v>2</v>
      </c>
    </row>
    <row r="96" ht="18" customHeight="1" spans="1:13">
      <c r="A96" s="33" t="s">
        <v>284</v>
      </c>
      <c r="B96" s="34" t="s">
        <v>285</v>
      </c>
      <c r="C96" s="35" t="str">
        <f ca="1">INDIRECT(ADDRESS(2,96,2,1,"学科兴趣数据"))</f>
        <v>D</v>
      </c>
      <c r="L96" s="23" t="s">
        <v>165</v>
      </c>
      <c r="M96" s="11">
        <f ca="1" t="shared" si="2"/>
        <v>2</v>
      </c>
    </row>
    <row r="97" ht="18" customHeight="1" spans="1:13">
      <c r="A97" s="33" t="s">
        <v>286</v>
      </c>
      <c r="B97" s="34" t="s">
        <v>287</v>
      </c>
      <c r="C97" s="35" t="str">
        <f ca="1">INDIRECT(ADDRESS(2,97,2,1,"学科兴趣数据"))</f>
        <v>C</v>
      </c>
      <c r="L97" s="23" t="s">
        <v>167</v>
      </c>
      <c r="M97" s="11">
        <f ca="1" t="shared" si="2"/>
        <v>3</v>
      </c>
    </row>
    <row r="98" ht="18" customHeight="1" spans="1:13">
      <c r="A98" s="33" t="s">
        <v>288</v>
      </c>
      <c r="B98" s="34" t="s">
        <v>289</v>
      </c>
      <c r="C98" s="35" t="str">
        <f ca="1">INDIRECT(ADDRESS(2,98,2,1,"学科兴趣数据"))</f>
        <v>B</v>
      </c>
      <c r="L98" s="23" t="s">
        <v>169</v>
      </c>
      <c r="M98" s="11">
        <f ca="1" t="shared" si="2"/>
        <v>4</v>
      </c>
    </row>
    <row r="99" ht="18" customHeight="1" spans="1:13">
      <c r="A99" s="33" t="s">
        <v>290</v>
      </c>
      <c r="B99" s="34" t="s">
        <v>291</v>
      </c>
      <c r="C99" s="35" t="str">
        <f ca="1">INDIRECT(ADDRESS(2,99,2,1,"学科兴趣数据"))</f>
        <v>D</v>
      </c>
      <c r="L99" s="23" t="s">
        <v>171</v>
      </c>
      <c r="M99" s="11">
        <f ca="1" t="shared" si="2"/>
        <v>2</v>
      </c>
    </row>
    <row r="100" ht="18" customHeight="1" spans="1:13">
      <c r="A100" s="33" t="s">
        <v>292</v>
      </c>
      <c r="B100" s="34" t="s">
        <v>293</v>
      </c>
      <c r="C100" s="35" t="str">
        <f ca="1">INDIRECT(ADDRESS(2,100,2,1,"学科兴趣数据"))</f>
        <v>B</v>
      </c>
      <c r="L100" s="23" t="s">
        <v>173</v>
      </c>
      <c r="M100" s="11">
        <f ca="1" t="shared" si="2"/>
        <v>4</v>
      </c>
    </row>
    <row r="101" ht="18" customHeight="1" spans="1:13">
      <c r="A101" s="33" t="s">
        <v>294</v>
      </c>
      <c r="B101" s="34" t="s">
        <v>295</v>
      </c>
      <c r="C101" s="35" t="str">
        <f ca="1">INDIRECT(ADDRESS(2,101,2,1,"学科兴趣数据"))</f>
        <v>C</v>
      </c>
      <c r="L101" s="23" t="s">
        <v>175</v>
      </c>
      <c r="M101" s="11">
        <f ca="1" t="shared" si="2"/>
        <v>3</v>
      </c>
    </row>
    <row r="102" ht="18" customHeight="1" spans="1:13">
      <c r="A102" s="33" t="s">
        <v>296</v>
      </c>
      <c r="B102" s="34" t="s">
        <v>297</v>
      </c>
      <c r="C102" s="35" t="str">
        <f ca="1">INDIRECT(ADDRESS(2,102,2,1,"学科兴趣数据"))</f>
        <v>D</v>
      </c>
      <c r="L102" s="23" t="s">
        <v>153</v>
      </c>
      <c r="M102" s="11">
        <f ca="1" t="shared" si="2"/>
        <v>2</v>
      </c>
    </row>
    <row r="103" ht="18" customHeight="1" spans="1:13">
      <c r="A103" s="33" t="s">
        <v>298</v>
      </c>
      <c r="B103" s="34" t="s">
        <v>299</v>
      </c>
      <c r="C103" s="35" t="str">
        <f ca="1">INDIRECT(ADDRESS(2,103,2,1,"学科兴趣数据"))</f>
        <v>C</v>
      </c>
      <c r="L103" s="23" t="s">
        <v>155</v>
      </c>
      <c r="M103" s="11">
        <f ca="1" t="shared" si="2"/>
        <v>3</v>
      </c>
    </row>
    <row r="104" ht="18" customHeight="1" spans="1:13">
      <c r="A104" s="33" t="s">
        <v>300</v>
      </c>
      <c r="B104" s="34" t="s">
        <v>301</v>
      </c>
      <c r="C104" s="35" t="str">
        <f ca="1">INDIRECT(ADDRESS(2,104,2,1,"学科兴趣数据"))</f>
        <v>C</v>
      </c>
      <c r="L104" s="23" t="s">
        <v>157</v>
      </c>
      <c r="M104" s="11">
        <f ca="1" t="shared" si="2"/>
        <v>3</v>
      </c>
    </row>
    <row r="105" ht="18" customHeight="1" spans="1:13">
      <c r="A105" s="33" t="s">
        <v>302</v>
      </c>
      <c r="B105" s="34" t="s">
        <v>303</v>
      </c>
      <c r="C105" s="35" t="str">
        <f ca="1">INDIRECT(ADDRESS(2,105,2,1,"学科兴趣数据"))</f>
        <v>C</v>
      </c>
      <c r="L105" s="23" t="s">
        <v>159</v>
      </c>
      <c r="M105" s="11">
        <f ca="1" t="shared" si="2"/>
        <v>3</v>
      </c>
    </row>
    <row r="106" ht="18" customHeight="1" spans="1:13">
      <c r="A106" s="33" t="s">
        <v>304</v>
      </c>
      <c r="B106" s="34" t="s">
        <v>305</v>
      </c>
      <c r="C106" s="35" t="str">
        <f ca="1">INDIRECT(ADDRESS(2,106,2,1,"学科兴趣数据"))</f>
        <v>B</v>
      </c>
      <c r="L106" s="23" t="s">
        <v>161</v>
      </c>
      <c r="M106" s="11">
        <f ca="1" t="shared" si="2"/>
        <v>4</v>
      </c>
    </row>
    <row r="107" ht="18" customHeight="1" spans="1:13">
      <c r="A107" s="33" t="s">
        <v>306</v>
      </c>
      <c r="B107" s="34" t="s">
        <v>307</v>
      </c>
      <c r="C107" s="35" t="str">
        <f ca="1">INDIRECT(ADDRESS(2,107,2,1,"学科兴趣数据"))</f>
        <v>E</v>
      </c>
      <c r="L107" s="23" t="s">
        <v>163</v>
      </c>
      <c r="M107" s="11">
        <f ca="1" t="shared" si="2"/>
        <v>1</v>
      </c>
    </row>
    <row r="108" ht="18" customHeight="1" spans="1:13">
      <c r="A108" s="33" t="s">
        <v>308</v>
      </c>
      <c r="B108" s="34" t="s">
        <v>309</v>
      </c>
      <c r="C108" s="35" t="str">
        <f ca="1">INDIRECT(ADDRESS(2,108,2,1,"学科兴趣数据"))</f>
        <v>B</v>
      </c>
      <c r="L108" s="23" t="s">
        <v>165</v>
      </c>
      <c r="M108" s="11">
        <f ca="1" t="shared" si="2"/>
        <v>4</v>
      </c>
    </row>
    <row r="109" ht="18" customHeight="1" spans="1:13">
      <c r="A109" s="33" t="s">
        <v>310</v>
      </c>
      <c r="B109" s="34" t="s">
        <v>311</v>
      </c>
      <c r="C109" s="35" t="str">
        <f ca="1">INDIRECT(ADDRESS(2,109,2,1,"学科兴趣数据"))</f>
        <v>D</v>
      </c>
      <c r="L109" s="23" t="s">
        <v>167</v>
      </c>
      <c r="M109" s="11">
        <f ca="1" t="shared" si="2"/>
        <v>2</v>
      </c>
    </row>
    <row r="110" ht="18" customHeight="1" spans="1:13">
      <c r="A110" s="33" t="s">
        <v>312</v>
      </c>
      <c r="B110" s="34" t="s">
        <v>313</v>
      </c>
      <c r="C110" s="35" t="str">
        <f ca="1">INDIRECT(ADDRESS(2,110,2,1,"学科兴趣数据"))</f>
        <v>C</v>
      </c>
      <c r="L110" s="23" t="s">
        <v>169</v>
      </c>
      <c r="M110" s="11">
        <f ca="1" t="shared" si="2"/>
        <v>3</v>
      </c>
    </row>
    <row r="111" ht="18" customHeight="1" spans="1:13">
      <c r="A111" s="33" t="s">
        <v>314</v>
      </c>
      <c r="B111" s="34" t="s">
        <v>315</v>
      </c>
      <c r="C111" s="35" t="str">
        <f ca="1">INDIRECT(ADDRESS(2,111,2,1,"学科兴趣数据"))</f>
        <v>C</v>
      </c>
      <c r="L111" s="23" t="s">
        <v>171</v>
      </c>
      <c r="M111" s="11">
        <f ca="1" t="shared" si="2"/>
        <v>3</v>
      </c>
    </row>
    <row r="112" ht="18" customHeight="1" spans="1:13">
      <c r="A112" s="33" t="s">
        <v>316</v>
      </c>
      <c r="B112" s="34" t="s">
        <v>317</v>
      </c>
      <c r="C112" s="35" t="str">
        <f ca="1">INDIRECT(ADDRESS(2,112,2,1,"学科兴趣数据"))</f>
        <v>B</v>
      </c>
      <c r="L112" s="23" t="s">
        <v>173</v>
      </c>
      <c r="M112" s="11">
        <f ca="1" t="shared" si="2"/>
        <v>4</v>
      </c>
    </row>
    <row r="113" ht="18" customHeight="1" spans="1:13">
      <c r="A113" s="33" t="s">
        <v>318</v>
      </c>
      <c r="B113" s="34" t="s">
        <v>319</v>
      </c>
      <c r="C113" s="35" t="str">
        <f ca="1">INDIRECT(ADDRESS(2,113,2,1,"学科兴趣数据"))</f>
        <v>D</v>
      </c>
      <c r="L113" s="23" t="s">
        <v>175</v>
      </c>
      <c r="M113" s="11">
        <f ca="1" t="shared" si="2"/>
        <v>2</v>
      </c>
    </row>
    <row r="114"/>
    <row r="115"/>
    <row r="116"/>
    <row r="117"/>
    <row r="118"/>
    <row r="119"/>
    <row r="120"/>
  </sheetData>
  <mergeCells count="2">
    <mergeCell ref="A2:C2"/>
    <mergeCell ref="A3:C3"/>
  </mergeCells>
  <dataValidations count="1">
    <dataValidation allowBlank="1" showInputMessage="1" showErrorMessage="1" sqref="C6:C88 C89:C90 C91:C113"/>
  </dataValidations>
  <printOptions horizontalCentered="1"/>
  <pageMargins left="0.313888888888889" right="0.313888888888889" top="0.55" bottom="0.354166666666667" header="0.313888888888889" footer="0.313888888888889"/>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Q30"/>
  <sheetViews>
    <sheetView showGridLines="0" workbookViewId="0">
      <selection activeCell="A1" sqref="A1"/>
    </sheetView>
  </sheetViews>
  <sheetFormatPr defaultColWidth="0" defaultRowHeight="13.5" customHeight="1" zeroHeight="1"/>
  <cols>
    <col min="1" max="1" width="9" customWidth="1"/>
    <col min="2" max="2" width="9" style="1" customWidth="1"/>
    <col min="3" max="3" width="8.625" customWidth="1"/>
    <col min="4" max="4" width="12.625" customWidth="1"/>
    <col min="5" max="5" width="9" style="1" customWidth="1"/>
    <col min="6" max="6" width="8.625" customWidth="1"/>
    <col min="7" max="7" width="12.625" customWidth="1"/>
    <col min="8" max="8" width="9" customWidth="1"/>
    <col min="9" max="14" width="9" hidden="1" customWidth="1"/>
    <col min="15" max="17" width="9" style="11" hidden="1" customWidth="1"/>
    <col min="18" max="16384" width="9" hidden="1"/>
  </cols>
  <sheetData>
    <row r="1" ht="33" customHeight="1" spans="4:4">
      <c r="D1" s="12" t="s">
        <v>320</v>
      </c>
    </row>
    <row r="2" ht="11.25" customHeight="1"/>
    <row r="3" ht="21.95" customHeight="1" spans="2:7">
      <c r="B3" s="13" t="str">
        <f ca="1">IF($P$5&lt;108,"您还有"&amp;108-P5&amp;"题没有完成，请继续作答！","经测试，您的各科倾向得分为：")</f>
        <v>经测试，您的各科倾向得分为：</v>
      </c>
      <c r="C3" s="14"/>
      <c r="D3" s="14"/>
      <c r="E3" s="15"/>
      <c r="F3" s="14"/>
      <c r="G3" s="14"/>
    </row>
    <row r="4" ht="21.95" customHeight="1" spans="2:7">
      <c r="B4" s="15"/>
      <c r="C4" s="14"/>
      <c r="D4" s="14"/>
      <c r="E4" s="15"/>
      <c r="F4" s="14"/>
      <c r="G4" s="14"/>
    </row>
    <row r="5" ht="21.95" customHeight="1" spans="2:16">
      <c r="B5" s="16" t="str">
        <f ca="1">IF($P$5&lt;108,"",O6)</f>
        <v>地理</v>
      </c>
      <c r="C5" s="16">
        <f ca="1">IF($P$5&lt;108,"",P6)</f>
        <v>14</v>
      </c>
      <c r="D5" s="17" t="str">
        <f ca="1">IF($P$5&lt;108,"",IF(C5&gt;=39,"很感兴趣",IF(C5&gt;=32,"较感兴趣",IF(C5&gt;=21,"一般兴趣",IF(C5&gt;14,"不大感兴趣","很不感兴趣")))))</f>
        <v>很不感兴趣</v>
      </c>
      <c r="E5" s="16" t="str">
        <f ca="1">IF($P$5&lt;108,"",O12)</f>
        <v>音乐</v>
      </c>
      <c r="F5" s="16">
        <f ca="1">IF($P$5&lt;108,"",P12)</f>
        <v>25</v>
      </c>
      <c r="G5" s="17" t="str">
        <f ca="1">IF($P$5&lt;108,"",IF(F5&gt;=39,"很感兴趣",IF(F5&gt;=32,"较感兴趣",IF(F5&gt;=21,"一般兴趣",IF(F5&gt;14,"不大感兴趣","很不感兴趣")))))</f>
        <v>一般兴趣</v>
      </c>
      <c r="P5" s="18">
        <f ca="1">学科兴趣!O5</f>
        <v>108</v>
      </c>
    </row>
    <row r="6" ht="21.95" customHeight="1" spans="2:17">
      <c r="B6" s="16" t="str">
        <f ca="1" t="shared" ref="B6:C10" si="0">IF($P$5&lt;108,"",O7)</f>
        <v>外语</v>
      </c>
      <c r="C6" s="16">
        <f ca="1" t="shared" si="0"/>
        <v>19</v>
      </c>
      <c r="D6" s="17" t="str">
        <f ca="1" t="shared" ref="D6:D10" si="1">IF($P$5&lt;108,"",IF(C6&gt;=39,"很感兴趣",IF(C6&gt;=32,"较感兴趣",IF(C6&gt;=21,"一般兴趣",IF(C6&gt;14,"不大感兴趣","很不感兴趣")))))</f>
        <v>不大感兴趣</v>
      </c>
      <c r="E6" s="16" t="str">
        <f ca="1" t="shared" ref="E6:F10" si="2">IF($P$5&lt;108,"",O13)</f>
        <v>语文</v>
      </c>
      <c r="F6" s="16">
        <f ca="1" t="shared" si="2"/>
        <v>29</v>
      </c>
      <c r="G6" s="17" t="str">
        <f ca="1" t="shared" ref="G6:G10" si="3">IF($P$5&lt;108,"",IF(F6&gt;=39,"很感兴趣",IF(F6&gt;=32,"较感兴趣",IF(F6&gt;=21,"一般兴趣",IF(F6&gt;14,"不大感兴趣","很不感兴趣")))))</f>
        <v>一般兴趣</v>
      </c>
      <c r="O6" s="18" t="str">
        <f>学科兴趣!N6</f>
        <v>地理</v>
      </c>
      <c r="P6" s="18">
        <f ca="1">学科兴趣!O6</f>
        <v>14</v>
      </c>
      <c r="Q6" s="18">
        <f ca="1">P6+P8+P10+P13</f>
        <v>104</v>
      </c>
    </row>
    <row r="7" ht="21.95" customHeight="1" spans="2:16">
      <c r="B7" s="16" t="str">
        <f ca="1" t="shared" si="0"/>
        <v>历史</v>
      </c>
      <c r="C7" s="16">
        <f ca="1" t="shared" si="0"/>
        <v>25</v>
      </c>
      <c r="D7" s="17" t="str">
        <f ca="1" t="shared" si="1"/>
        <v>一般兴趣</v>
      </c>
      <c r="E7" s="16" t="str">
        <f ca="1" t="shared" si="2"/>
        <v>生物</v>
      </c>
      <c r="F7" s="16">
        <f ca="1" t="shared" si="2"/>
        <v>16</v>
      </c>
      <c r="G7" s="17" t="str">
        <f ca="1" t="shared" si="3"/>
        <v>不大感兴趣</v>
      </c>
      <c r="O7" s="18" t="str">
        <f>学科兴趣!N7</f>
        <v>外语</v>
      </c>
      <c r="P7" s="18">
        <f ca="1">学科兴趣!O7</f>
        <v>19</v>
      </c>
    </row>
    <row r="8" ht="21.95" customHeight="1" spans="2:16">
      <c r="B8" s="16" t="str">
        <f ca="1" t="shared" si="0"/>
        <v>数学</v>
      </c>
      <c r="C8" s="16">
        <f ca="1" t="shared" si="0"/>
        <v>27</v>
      </c>
      <c r="D8" s="17" t="str">
        <f ca="1" t="shared" si="1"/>
        <v>一般兴趣</v>
      </c>
      <c r="E8" s="16" t="str">
        <f ca="1" t="shared" si="2"/>
        <v>物理</v>
      </c>
      <c r="F8" s="16">
        <f ca="1" t="shared" si="2"/>
        <v>24</v>
      </c>
      <c r="G8" s="17" t="str">
        <f ca="1" t="shared" si="3"/>
        <v>一般兴趣</v>
      </c>
      <c r="O8" s="18" t="str">
        <f>学科兴趣!N8</f>
        <v>历史</v>
      </c>
      <c r="P8" s="18">
        <f ca="1">学科兴趣!O8</f>
        <v>25</v>
      </c>
    </row>
    <row r="9" ht="21.95" customHeight="1" spans="2:17">
      <c r="B9" s="16" t="str">
        <f ca="1" t="shared" si="0"/>
        <v>政治</v>
      </c>
      <c r="C9" s="16">
        <f ca="1" t="shared" si="0"/>
        <v>36</v>
      </c>
      <c r="D9" s="17" t="str">
        <f ca="1" t="shared" si="1"/>
        <v>较感兴趣</v>
      </c>
      <c r="E9" s="16" t="str">
        <f ca="1" t="shared" si="2"/>
        <v>体育</v>
      </c>
      <c r="F9" s="16">
        <f ca="1" t="shared" si="2"/>
        <v>36</v>
      </c>
      <c r="G9" s="17" t="str">
        <f ca="1" t="shared" si="3"/>
        <v>较感兴趣</v>
      </c>
      <c r="O9" s="18" t="str">
        <f>学科兴趣!N9</f>
        <v>数学</v>
      </c>
      <c r="P9" s="18">
        <f ca="1">学科兴趣!O9</f>
        <v>27</v>
      </c>
      <c r="Q9" s="18">
        <f ca="1">P9+P14+P15+P17</f>
        <v>81</v>
      </c>
    </row>
    <row r="10" ht="21.95" customHeight="1" spans="2:16">
      <c r="B10" s="16" t="str">
        <f ca="1" t="shared" si="0"/>
        <v>美术</v>
      </c>
      <c r="C10" s="16">
        <f ca="1" t="shared" si="0"/>
        <v>15</v>
      </c>
      <c r="D10" s="17" t="str">
        <f ca="1" t="shared" si="1"/>
        <v>不大感兴趣</v>
      </c>
      <c r="E10" s="16" t="str">
        <f ca="1" t="shared" si="2"/>
        <v>化学</v>
      </c>
      <c r="F10" s="16">
        <f ca="1" t="shared" si="2"/>
        <v>14</v>
      </c>
      <c r="G10" s="17" t="str">
        <f ca="1" t="shared" si="3"/>
        <v>很不感兴趣</v>
      </c>
      <c r="O10" s="18" t="str">
        <f>学科兴趣!N10</f>
        <v>政治</v>
      </c>
      <c r="P10" s="18">
        <f ca="1">学科兴趣!O10</f>
        <v>36</v>
      </c>
    </row>
    <row r="11" ht="21.95" customHeight="1" spans="2:16">
      <c r="B11" s="15"/>
      <c r="C11" s="14"/>
      <c r="D11" s="14"/>
      <c r="E11" s="15"/>
      <c r="F11" s="14"/>
      <c r="G11" s="14"/>
      <c r="O11" s="18" t="str">
        <f>学科兴趣!N11</f>
        <v>美术</v>
      </c>
      <c r="P11" s="18">
        <f ca="1">学科兴趣!O11</f>
        <v>15</v>
      </c>
    </row>
    <row r="12" ht="21.95" customHeight="1" spans="2:16">
      <c r="B12" s="13" t="str">
        <f ca="1">IF($P$5&lt;108,"","您的文理科倾向：")</f>
        <v>您的文理科倾向：</v>
      </c>
      <c r="C12" s="14"/>
      <c r="D12" s="14"/>
      <c r="E12" s="15"/>
      <c r="F12" s="14"/>
      <c r="G12" s="14"/>
      <c r="O12" s="18" t="str">
        <f>学科兴趣!N12</f>
        <v>音乐</v>
      </c>
      <c r="P12" s="18">
        <f ca="1">学科兴趣!O12</f>
        <v>25</v>
      </c>
    </row>
    <row r="13" ht="21.95" customHeight="1" spans="2:16">
      <c r="B13" s="15"/>
      <c r="C13" s="16" t="str">
        <f ca="1">IF($P$5&lt;108,"","得分：")</f>
        <v>得分：</v>
      </c>
      <c r="D13" s="16">
        <f ca="1">IF($P$5&lt;108,"",Q6-Q9)</f>
        <v>23</v>
      </c>
      <c r="E13" s="15"/>
      <c r="F13" s="14"/>
      <c r="G13" s="14"/>
      <c r="O13" s="18" t="str">
        <f>学科兴趣!N13</f>
        <v>语文</v>
      </c>
      <c r="P13" s="18">
        <f ca="1">学科兴趣!O13</f>
        <v>29</v>
      </c>
    </row>
    <row r="14" ht="21.95" customHeight="1" spans="2:16">
      <c r="B14" s="15"/>
      <c r="C14" s="16" t="str">
        <f ca="1">IF($P$5&lt;108,"","类型：")</f>
        <v>类型：</v>
      </c>
      <c r="D14" s="13" t="str">
        <f ca="1">IF($P$5&lt;108,"",IF(D13&gt;=76,"明显文科型",IF(D13&gt;=28,"偏文科型",IF(D13&gt;=-28,"文理无偏型",IF(D13&gt;=-76,"偏理科型","明显理科型")))))</f>
        <v>文理无偏型</v>
      </c>
      <c r="E14" s="15"/>
      <c r="F14" s="14"/>
      <c r="G14" s="14"/>
      <c r="O14" s="18" t="str">
        <f>学科兴趣!N14</f>
        <v>生物</v>
      </c>
      <c r="P14" s="18">
        <f ca="1">学科兴趣!O14</f>
        <v>16</v>
      </c>
    </row>
    <row r="15" ht="21.95" customHeight="1" spans="15:16">
      <c r="O15" s="18" t="str">
        <f>学科兴趣!N15</f>
        <v>物理</v>
      </c>
      <c r="P15" s="18">
        <f ca="1">学科兴趣!O15</f>
        <v>24</v>
      </c>
    </row>
    <row r="16" spans="15:16">
      <c r="O16" s="18" t="str">
        <f>学科兴趣!N16</f>
        <v>体育</v>
      </c>
      <c r="P16" s="18">
        <f ca="1">学科兴趣!O16</f>
        <v>36</v>
      </c>
    </row>
    <row r="17" spans="15:16">
      <c r="O17" s="18" t="str">
        <f>学科兴趣!N17</f>
        <v>化学</v>
      </c>
      <c r="P17" s="18">
        <f ca="1">学科兴趣!O17</f>
        <v>14</v>
      </c>
    </row>
    <row r="18"/>
    <row r="19"/>
    <row r="20"/>
    <row r="21" spans="15:16">
      <c r="O21" s="19"/>
      <c r="P21" s="19"/>
    </row>
    <row r="22" spans="15:16">
      <c r="O22" s="20"/>
      <c r="P22" s="21"/>
    </row>
    <row r="23" spans="15:16">
      <c r="O23" s="20"/>
      <c r="P23" s="21"/>
    </row>
    <row r="24" spans="15:16">
      <c r="O24" s="20"/>
      <c r="P24" s="21"/>
    </row>
    <row r="25" spans="15:16">
      <c r="O25" s="20"/>
      <c r="P25" s="21"/>
    </row>
    <row r="26" spans="15:16">
      <c r="O26" s="20"/>
      <c r="P26" s="21"/>
    </row>
    <row r="27"/>
    <row r="28"/>
    <row r="29"/>
    <row r="30"/>
  </sheetData>
  <sheetProtection password="C64F" sheet="1" objects="1" scenarios="1"/>
  <pageMargins left="0.699305555555556" right="0.699305555555556"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S2"/>
  <sheetViews>
    <sheetView workbookViewId="0">
      <selection activeCell="A2" sqref="$A2:$XFD2"/>
    </sheetView>
  </sheetViews>
  <sheetFormatPr defaultColWidth="9" defaultRowHeight="13.5" outlineLevelRow="1"/>
  <cols>
    <col min="1" max="16384" width="9" style="10"/>
  </cols>
  <sheetData>
    <row r="1" spans="1:71">
      <c r="A1" s="10" t="s">
        <v>12</v>
      </c>
      <c r="B1" s="10" t="s">
        <v>321</v>
      </c>
      <c r="C1" s="10" t="s">
        <v>322</v>
      </c>
      <c r="D1" s="10" t="s">
        <v>323</v>
      </c>
      <c r="E1" s="10" t="s">
        <v>324</v>
      </c>
      <c r="F1" s="10" t="s">
        <v>325</v>
      </c>
      <c r="G1" s="10" t="s">
        <v>326</v>
      </c>
      <c r="H1" s="10" t="s">
        <v>327</v>
      </c>
      <c r="I1" s="10" t="s">
        <v>328</v>
      </c>
      <c r="J1" s="10" t="s">
        <v>329</v>
      </c>
      <c r="K1" s="10" t="s">
        <v>330</v>
      </c>
      <c r="L1" s="10" t="s">
        <v>331</v>
      </c>
      <c r="M1" s="10" t="s">
        <v>332</v>
      </c>
      <c r="N1" s="10" t="s">
        <v>333</v>
      </c>
      <c r="O1" s="10" t="s">
        <v>334</v>
      </c>
      <c r="P1" s="10" t="s">
        <v>335</v>
      </c>
      <c r="Q1" s="10" t="s">
        <v>336</v>
      </c>
      <c r="R1" s="10" t="s">
        <v>337</v>
      </c>
      <c r="S1" s="10" t="s">
        <v>338</v>
      </c>
      <c r="T1" s="10" t="s">
        <v>339</v>
      </c>
      <c r="U1" s="10" t="s">
        <v>340</v>
      </c>
      <c r="V1" s="10" t="s">
        <v>341</v>
      </c>
      <c r="W1" s="10" t="s">
        <v>342</v>
      </c>
      <c r="X1" s="10" t="s">
        <v>343</v>
      </c>
      <c r="Y1" s="10" t="s">
        <v>344</v>
      </c>
      <c r="Z1" s="10" t="s">
        <v>345</v>
      </c>
      <c r="AA1" s="10" t="s">
        <v>346</v>
      </c>
      <c r="AB1" s="10" t="s">
        <v>347</v>
      </c>
      <c r="AC1" s="10" t="s">
        <v>348</v>
      </c>
      <c r="AD1" s="10" t="s">
        <v>349</v>
      </c>
      <c r="AE1" s="10" t="s">
        <v>350</v>
      </c>
      <c r="AF1" s="10" t="s">
        <v>351</v>
      </c>
      <c r="AG1" s="10" t="s">
        <v>352</v>
      </c>
      <c r="AH1" s="10" t="s">
        <v>353</v>
      </c>
      <c r="AI1" s="10" t="s">
        <v>354</v>
      </c>
      <c r="AJ1" s="10" t="s">
        <v>355</v>
      </c>
      <c r="AK1" s="10" t="s">
        <v>356</v>
      </c>
      <c r="AL1" s="10" t="s">
        <v>357</v>
      </c>
      <c r="AM1" s="10" t="s">
        <v>358</v>
      </c>
      <c r="AN1" s="10" t="s">
        <v>359</v>
      </c>
      <c r="AO1" s="10" t="s">
        <v>360</v>
      </c>
      <c r="AP1" s="10" t="s">
        <v>361</v>
      </c>
      <c r="AQ1" s="10" t="s">
        <v>362</v>
      </c>
      <c r="AR1" s="10" t="s">
        <v>363</v>
      </c>
      <c r="AS1" s="10" t="s">
        <v>364</v>
      </c>
      <c r="AT1" s="10" t="s">
        <v>365</v>
      </c>
      <c r="AU1" s="10" t="s">
        <v>366</v>
      </c>
      <c r="AV1" s="10" t="s">
        <v>367</v>
      </c>
      <c r="AW1" s="10" t="s">
        <v>368</v>
      </c>
      <c r="AX1" s="10" t="s">
        <v>369</v>
      </c>
      <c r="AY1" s="10" t="s">
        <v>370</v>
      </c>
      <c r="AZ1" s="10" t="s">
        <v>371</v>
      </c>
      <c r="BA1" s="10" t="s">
        <v>372</v>
      </c>
      <c r="BB1" s="10" t="s">
        <v>373</v>
      </c>
      <c r="BC1" s="10" t="s">
        <v>374</v>
      </c>
      <c r="BD1" s="10" t="s">
        <v>375</v>
      </c>
      <c r="BE1" s="10" t="s">
        <v>376</v>
      </c>
      <c r="BF1" s="10" t="s">
        <v>377</v>
      </c>
      <c r="BG1" s="10" t="s">
        <v>378</v>
      </c>
      <c r="BH1" s="10" t="s">
        <v>379</v>
      </c>
      <c r="BI1" s="10" t="s">
        <v>380</v>
      </c>
      <c r="BJ1" s="10" t="s">
        <v>381</v>
      </c>
      <c r="BK1" s="10" t="s">
        <v>382</v>
      </c>
      <c r="BL1" s="10" t="s">
        <v>383</v>
      </c>
      <c r="BM1" s="10" t="s">
        <v>384</v>
      </c>
      <c r="BN1" s="10" t="s">
        <v>385</v>
      </c>
      <c r="BO1" s="10" t="s">
        <v>386</v>
      </c>
      <c r="BP1" s="10" t="s">
        <v>387</v>
      </c>
      <c r="BQ1" s="10" t="s">
        <v>388</v>
      </c>
      <c r="BR1" s="10" t="s">
        <v>389</v>
      </c>
      <c r="BS1" s="10" t="s">
        <v>390</v>
      </c>
    </row>
    <row r="2" spans="1:71">
      <c r="A2" s="10">
        <v>10</v>
      </c>
      <c r="B2" s="10" t="s">
        <v>391</v>
      </c>
      <c r="C2" s="10" t="s">
        <v>392</v>
      </c>
      <c r="D2" s="10" t="s">
        <v>393</v>
      </c>
      <c r="E2" s="10" t="s">
        <v>394</v>
      </c>
      <c r="F2" s="10" t="s">
        <v>395</v>
      </c>
      <c r="G2" s="10" t="s">
        <v>395</v>
      </c>
      <c r="H2" s="10" t="s">
        <v>395</v>
      </c>
      <c r="I2" s="10" t="s">
        <v>396</v>
      </c>
      <c r="J2" s="10" t="s">
        <v>395</v>
      </c>
      <c r="K2" s="10" t="s">
        <v>395</v>
      </c>
      <c r="L2" s="10" t="s">
        <v>395</v>
      </c>
      <c r="M2" s="10" t="s">
        <v>396</v>
      </c>
      <c r="N2" s="10" t="s">
        <v>395</v>
      </c>
      <c r="O2" s="10" t="s">
        <v>395</v>
      </c>
      <c r="P2" s="10" t="s">
        <v>395</v>
      </c>
      <c r="Q2" s="10" t="s">
        <v>396</v>
      </c>
      <c r="R2" s="10" t="s">
        <v>396</v>
      </c>
      <c r="S2" s="10" t="s">
        <v>395</v>
      </c>
      <c r="T2" s="10" t="s">
        <v>396</v>
      </c>
      <c r="U2" s="10" t="s">
        <v>396</v>
      </c>
      <c r="V2" s="10" t="s">
        <v>396</v>
      </c>
      <c r="W2" s="10" t="s">
        <v>396</v>
      </c>
      <c r="X2" s="10" t="s">
        <v>395</v>
      </c>
      <c r="Y2" s="10" t="s">
        <v>395</v>
      </c>
      <c r="Z2" s="10" t="s">
        <v>395</v>
      </c>
      <c r="AA2" s="10" t="s">
        <v>396</v>
      </c>
      <c r="AB2" s="10" t="s">
        <v>395</v>
      </c>
      <c r="AC2" s="10" t="s">
        <v>396</v>
      </c>
      <c r="AD2" s="10" t="s">
        <v>395</v>
      </c>
      <c r="AE2" s="10" t="s">
        <v>395</v>
      </c>
      <c r="AF2" s="10" t="s">
        <v>395</v>
      </c>
      <c r="AG2" s="10" t="s">
        <v>395</v>
      </c>
      <c r="AH2" s="10" t="s">
        <v>396</v>
      </c>
      <c r="AI2" s="10" t="s">
        <v>395</v>
      </c>
      <c r="AJ2" s="10" t="s">
        <v>396</v>
      </c>
      <c r="AK2" s="10" t="s">
        <v>395</v>
      </c>
      <c r="AL2" s="10" t="s">
        <v>395</v>
      </c>
      <c r="AM2" s="10" t="s">
        <v>395</v>
      </c>
      <c r="AN2" s="10" t="s">
        <v>395</v>
      </c>
      <c r="AO2" s="10" t="s">
        <v>396</v>
      </c>
      <c r="AP2" s="10" t="s">
        <v>395</v>
      </c>
      <c r="AQ2" s="10" t="s">
        <v>396</v>
      </c>
      <c r="AR2" s="10" t="s">
        <v>396</v>
      </c>
      <c r="AS2" s="10" t="s">
        <v>396</v>
      </c>
      <c r="AT2" s="10" t="s">
        <v>396</v>
      </c>
      <c r="AU2" s="10" t="s">
        <v>395</v>
      </c>
      <c r="AV2" s="10" t="s">
        <v>396</v>
      </c>
      <c r="AW2" s="10" t="s">
        <v>396</v>
      </c>
      <c r="AX2" s="10" t="s">
        <v>396</v>
      </c>
      <c r="AY2" s="10" t="s">
        <v>396</v>
      </c>
      <c r="AZ2" s="10" t="s">
        <v>395</v>
      </c>
      <c r="BA2" s="10" t="s">
        <v>396</v>
      </c>
      <c r="BB2" s="10" t="s">
        <v>395</v>
      </c>
      <c r="BC2" s="10" t="s">
        <v>395</v>
      </c>
      <c r="BD2" s="10" t="s">
        <v>396</v>
      </c>
      <c r="BE2" s="10" t="s">
        <v>395</v>
      </c>
      <c r="BF2" s="10" t="s">
        <v>396</v>
      </c>
      <c r="BG2" s="10" t="s">
        <v>395</v>
      </c>
      <c r="BH2" s="10" t="s">
        <v>395</v>
      </c>
      <c r="BI2" s="10" t="s">
        <v>395</v>
      </c>
      <c r="BJ2" s="10" t="s">
        <v>395</v>
      </c>
      <c r="BK2" s="10" t="s">
        <v>396</v>
      </c>
      <c r="BL2" s="10" t="s">
        <v>396</v>
      </c>
      <c r="BM2" s="10" t="s">
        <v>396</v>
      </c>
      <c r="BN2" s="10" t="s">
        <v>397</v>
      </c>
      <c r="BO2" s="10" t="s">
        <v>398</v>
      </c>
      <c r="BP2" s="10" t="s">
        <v>399</v>
      </c>
      <c r="BQ2" s="10" t="s">
        <v>400</v>
      </c>
      <c r="BR2" s="10" t="s">
        <v>401</v>
      </c>
      <c r="BS2" s="10" t="s">
        <v>402</v>
      </c>
    </row>
  </sheetData>
  <pageMargins left="0.699305555555556" right="0.699305555555556"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N2"/>
  <sheetViews>
    <sheetView workbookViewId="0">
      <selection activeCell="A2" sqref="$A2:$XFD2"/>
    </sheetView>
  </sheetViews>
  <sheetFormatPr defaultColWidth="9" defaultRowHeight="13.5" outlineLevelRow="1"/>
  <cols>
    <col min="1" max="16384" width="9" style="10"/>
  </cols>
  <sheetData>
    <row r="1" spans="1:118">
      <c r="A1" s="10" t="s">
        <v>12</v>
      </c>
      <c r="B1" s="10" t="s">
        <v>321</v>
      </c>
      <c r="C1" s="10" t="s">
        <v>322</v>
      </c>
      <c r="D1" s="10" t="s">
        <v>323</v>
      </c>
      <c r="E1" s="10" t="s">
        <v>324</v>
      </c>
      <c r="F1" s="10" t="s">
        <v>403</v>
      </c>
      <c r="G1" s="10" t="s">
        <v>404</v>
      </c>
      <c r="H1" s="10" t="s">
        <v>405</v>
      </c>
      <c r="I1" s="10" t="s">
        <v>406</v>
      </c>
      <c r="J1" s="10" t="s">
        <v>407</v>
      </c>
      <c r="K1" s="10" t="s">
        <v>408</v>
      </c>
      <c r="L1" s="10" t="s">
        <v>409</v>
      </c>
      <c r="M1" s="10" t="s">
        <v>410</v>
      </c>
      <c r="N1" s="10" t="s">
        <v>411</v>
      </c>
      <c r="O1" s="10" t="s">
        <v>412</v>
      </c>
      <c r="P1" s="10" t="s">
        <v>413</v>
      </c>
      <c r="Q1" s="10" t="s">
        <v>414</v>
      </c>
      <c r="R1" s="10" t="s">
        <v>415</v>
      </c>
      <c r="S1" s="10" t="s">
        <v>416</v>
      </c>
      <c r="T1" s="10" t="s">
        <v>417</v>
      </c>
      <c r="U1" s="10" t="s">
        <v>418</v>
      </c>
      <c r="V1" s="10" t="s">
        <v>419</v>
      </c>
      <c r="W1" s="10" t="s">
        <v>420</v>
      </c>
      <c r="X1" s="10" t="s">
        <v>421</v>
      </c>
      <c r="Y1" s="10" t="s">
        <v>422</v>
      </c>
      <c r="Z1" s="10" t="s">
        <v>423</v>
      </c>
      <c r="AA1" s="10" t="s">
        <v>424</v>
      </c>
      <c r="AB1" s="10" t="s">
        <v>425</v>
      </c>
      <c r="AC1" s="10" t="s">
        <v>426</v>
      </c>
      <c r="AD1" s="10" t="s">
        <v>427</v>
      </c>
      <c r="AE1" s="10" t="s">
        <v>428</v>
      </c>
      <c r="AF1" s="10" t="s">
        <v>429</v>
      </c>
      <c r="AG1" s="10" t="s">
        <v>430</v>
      </c>
      <c r="AH1" s="10" t="s">
        <v>431</v>
      </c>
      <c r="AI1" s="10" t="s">
        <v>432</v>
      </c>
      <c r="AJ1" s="10" t="s">
        <v>433</v>
      </c>
      <c r="AK1" s="10" t="s">
        <v>434</v>
      </c>
      <c r="AL1" s="10" t="s">
        <v>435</v>
      </c>
      <c r="AM1" s="10" t="s">
        <v>436</v>
      </c>
      <c r="AN1" s="10" t="s">
        <v>437</v>
      </c>
      <c r="AO1" s="10" t="s">
        <v>438</v>
      </c>
      <c r="AP1" s="10" t="s">
        <v>439</v>
      </c>
      <c r="AQ1" s="10" t="s">
        <v>440</v>
      </c>
      <c r="AR1" s="10" t="s">
        <v>441</v>
      </c>
      <c r="AS1" s="10" t="s">
        <v>442</v>
      </c>
      <c r="AT1" s="10" t="s">
        <v>443</v>
      </c>
      <c r="AU1" s="10" t="s">
        <v>444</v>
      </c>
      <c r="AV1" s="10" t="s">
        <v>445</v>
      </c>
      <c r="AW1" s="10" t="s">
        <v>446</v>
      </c>
      <c r="AX1" s="10" t="s">
        <v>447</v>
      </c>
      <c r="AY1" s="10" t="s">
        <v>448</v>
      </c>
      <c r="AZ1" s="10" t="s">
        <v>449</v>
      </c>
      <c r="BA1" s="10" t="s">
        <v>450</v>
      </c>
      <c r="BB1" s="10" t="s">
        <v>451</v>
      </c>
      <c r="BC1" s="10" t="s">
        <v>452</v>
      </c>
      <c r="BD1" s="10" t="s">
        <v>453</v>
      </c>
      <c r="BE1" s="10" t="s">
        <v>454</v>
      </c>
      <c r="BF1" s="10" t="s">
        <v>455</v>
      </c>
      <c r="BG1" s="10" t="s">
        <v>456</v>
      </c>
      <c r="BH1" s="10" t="s">
        <v>457</v>
      </c>
      <c r="BI1" s="10" t="s">
        <v>458</v>
      </c>
      <c r="BJ1" s="10" t="s">
        <v>459</v>
      </c>
      <c r="BK1" s="10" t="s">
        <v>460</v>
      </c>
      <c r="BL1" s="10" t="s">
        <v>461</v>
      </c>
      <c r="BM1" s="10" t="s">
        <v>462</v>
      </c>
      <c r="BN1" s="10" t="s">
        <v>463</v>
      </c>
      <c r="BO1" s="10" t="s">
        <v>464</v>
      </c>
      <c r="BP1" s="10" t="s">
        <v>465</v>
      </c>
      <c r="BQ1" s="10" t="s">
        <v>466</v>
      </c>
      <c r="BR1" s="10" t="s">
        <v>467</v>
      </c>
      <c r="BS1" s="10" t="s">
        <v>468</v>
      </c>
      <c r="BT1" s="10" t="s">
        <v>469</v>
      </c>
      <c r="BU1" s="10" t="s">
        <v>470</v>
      </c>
      <c r="BV1" s="10" t="s">
        <v>471</v>
      </c>
      <c r="BW1" s="10" t="s">
        <v>472</v>
      </c>
      <c r="BX1" s="10" t="s">
        <v>473</v>
      </c>
      <c r="BY1" s="10" t="s">
        <v>474</v>
      </c>
      <c r="BZ1" s="10" t="s">
        <v>475</v>
      </c>
      <c r="CA1" s="10" t="s">
        <v>476</v>
      </c>
      <c r="CB1" s="10" t="s">
        <v>477</v>
      </c>
      <c r="CC1" s="10" t="s">
        <v>478</v>
      </c>
      <c r="CD1" s="10" t="s">
        <v>479</v>
      </c>
      <c r="CE1" s="10" t="s">
        <v>480</v>
      </c>
      <c r="CF1" s="10" t="s">
        <v>481</v>
      </c>
      <c r="CG1" s="10" t="s">
        <v>482</v>
      </c>
      <c r="CH1" s="10" t="s">
        <v>483</v>
      </c>
      <c r="CI1" s="10" t="s">
        <v>484</v>
      </c>
      <c r="CJ1" s="10" t="s">
        <v>485</v>
      </c>
      <c r="CK1" s="10" t="s">
        <v>486</v>
      </c>
      <c r="CL1" s="10" t="s">
        <v>487</v>
      </c>
      <c r="CM1" s="10" t="s">
        <v>488</v>
      </c>
      <c r="CN1" s="10" t="s">
        <v>489</v>
      </c>
      <c r="CO1" s="10" t="s">
        <v>490</v>
      </c>
      <c r="CP1" s="10" t="s">
        <v>491</v>
      </c>
      <c r="CQ1" s="10" t="s">
        <v>492</v>
      </c>
      <c r="CR1" s="10" t="s">
        <v>493</v>
      </c>
      <c r="CS1" s="10" t="s">
        <v>494</v>
      </c>
      <c r="CT1" s="10" t="s">
        <v>495</v>
      </c>
      <c r="CU1" s="10" t="s">
        <v>496</v>
      </c>
      <c r="CV1" s="10" t="s">
        <v>497</v>
      </c>
      <c r="CW1" s="10" t="s">
        <v>498</v>
      </c>
      <c r="CX1" s="10" t="s">
        <v>499</v>
      </c>
      <c r="CY1" s="10" t="s">
        <v>500</v>
      </c>
      <c r="CZ1" s="10" t="s">
        <v>501</v>
      </c>
      <c r="DA1" s="10" t="s">
        <v>502</v>
      </c>
      <c r="DB1" s="10" t="s">
        <v>503</v>
      </c>
      <c r="DC1" s="10" t="s">
        <v>504</v>
      </c>
      <c r="DD1" s="10" t="s">
        <v>505</v>
      </c>
      <c r="DE1" s="10" t="s">
        <v>506</v>
      </c>
      <c r="DF1" s="10" t="s">
        <v>507</v>
      </c>
      <c r="DG1" s="10" t="s">
        <v>508</v>
      </c>
      <c r="DH1" s="10" t="s">
        <v>509</v>
      </c>
      <c r="DI1" s="10" t="s">
        <v>510</v>
      </c>
      <c r="DJ1" s="10" t="s">
        <v>385</v>
      </c>
      <c r="DK1" s="10" t="s">
        <v>386</v>
      </c>
      <c r="DL1" s="10" t="s">
        <v>387</v>
      </c>
      <c r="DM1" s="10" t="s">
        <v>511</v>
      </c>
      <c r="DN1" s="10" t="s">
        <v>390</v>
      </c>
    </row>
    <row r="2" spans="1:118">
      <c r="A2" s="10">
        <v>7</v>
      </c>
      <c r="B2" s="10" t="s">
        <v>512</v>
      </c>
      <c r="C2" s="10" t="s">
        <v>393</v>
      </c>
      <c r="D2" s="10" t="s">
        <v>393</v>
      </c>
      <c r="E2" s="10" t="s">
        <v>394</v>
      </c>
      <c r="F2" s="10" t="s">
        <v>24</v>
      </c>
      <c r="G2" s="10" t="s">
        <v>513</v>
      </c>
      <c r="H2" s="10" t="s">
        <v>21</v>
      </c>
      <c r="I2" s="10" t="s">
        <v>514</v>
      </c>
      <c r="J2" s="10" t="s">
        <v>27</v>
      </c>
      <c r="K2" s="10" t="s">
        <v>21</v>
      </c>
      <c r="L2" s="10" t="s">
        <v>514</v>
      </c>
      <c r="M2" s="10" t="s">
        <v>27</v>
      </c>
      <c r="N2" s="10" t="s">
        <v>24</v>
      </c>
      <c r="O2" s="10" t="s">
        <v>513</v>
      </c>
      <c r="P2" s="10" t="s">
        <v>514</v>
      </c>
      <c r="Q2" s="10" t="s">
        <v>24</v>
      </c>
      <c r="R2" s="10" t="s">
        <v>24</v>
      </c>
      <c r="S2" s="10" t="s">
        <v>24</v>
      </c>
      <c r="T2" s="10" t="s">
        <v>513</v>
      </c>
      <c r="U2" s="10" t="s">
        <v>21</v>
      </c>
      <c r="V2" s="10" t="s">
        <v>27</v>
      </c>
      <c r="W2" s="10" t="s">
        <v>24</v>
      </c>
      <c r="X2" s="10" t="s">
        <v>513</v>
      </c>
      <c r="Y2" s="10" t="s">
        <v>21</v>
      </c>
      <c r="Z2" s="10" t="s">
        <v>24</v>
      </c>
      <c r="AA2" s="10" t="s">
        <v>513</v>
      </c>
      <c r="AB2" s="10" t="s">
        <v>514</v>
      </c>
      <c r="AC2" s="10" t="s">
        <v>24</v>
      </c>
      <c r="AD2" s="10" t="s">
        <v>21</v>
      </c>
      <c r="AE2" s="10" t="s">
        <v>21</v>
      </c>
      <c r="AF2" s="10" t="s">
        <v>513</v>
      </c>
      <c r="AG2" s="10" t="s">
        <v>21</v>
      </c>
      <c r="AH2" s="10" t="s">
        <v>21</v>
      </c>
      <c r="AI2" s="10" t="s">
        <v>21</v>
      </c>
      <c r="AJ2" s="10" t="s">
        <v>514</v>
      </c>
      <c r="AK2" s="10" t="s">
        <v>21</v>
      </c>
      <c r="AL2" s="10" t="s">
        <v>24</v>
      </c>
      <c r="AM2" s="10" t="s">
        <v>514</v>
      </c>
      <c r="AN2" s="10" t="s">
        <v>27</v>
      </c>
      <c r="AO2" s="10" t="s">
        <v>24</v>
      </c>
      <c r="AP2" s="10" t="s">
        <v>513</v>
      </c>
      <c r="AQ2" s="10" t="s">
        <v>24</v>
      </c>
      <c r="AR2" s="10" t="s">
        <v>21</v>
      </c>
      <c r="AS2" s="10" t="s">
        <v>513</v>
      </c>
      <c r="AT2" s="10" t="s">
        <v>27</v>
      </c>
      <c r="AU2" s="10" t="s">
        <v>24</v>
      </c>
      <c r="AV2" s="10" t="s">
        <v>24</v>
      </c>
      <c r="AW2" s="10" t="s">
        <v>21</v>
      </c>
      <c r="AX2" s="10" t="s">
        <v>24</v>
      </c>
      <c r="AY2" s="10" t="s">
        <v>21</v>
      </c>
      <c r="AZ2" s="10" t="s">
        <v>21</v>
      </c>
      <c r="BA2" s="10" t="s">
        <v>24</v>
      </c>
      <c r="BB2" s="10" t="s">
        <v>24</v>
      </c>
      <c r="BC2" s="10" t="s">
        <v>24</v>
      </c>
      <c r="BD2" s="10" t="s">
        <v>513</v>
      </c>
      <c r="BE2" s="10" t="s">
        <v>513</v>
      </c>
      <c r="BF2" s="10" t="s">
        <v>27</v>
      </c>
      <c r="BG2" s="10" t="s">
        <v>513</v>
      </c>
      <c r="BH2" s="10" t="s">
        <v>27</v>
      </c>
      <c r="BI2" s="10" t="s">
        <v>21</v>
      </c>
      <c r="BJ2" s="10" t="s">
        <v>24</v>
      </c>
      <c r="BK2" s="10" t="s">
        <v>513</v>
      </c>
      <c r="BL2" s="10" t="s">
        <v>27</v>
      </c>
      <c r="BM2" s="10" t="s">
        <v>24</v>
      </c>
      <c r="BN2" s="10" t="s">
        <v>24</v>
      </c>
      <c r="BO2" s="10" t="s">
        <v>514</v>
      </c>
      <c r="BP2" s="10" t="s">
        <v>21</v>
      </c>
      <c r="BQ2" s="10" t="s">
        <v>513</v>
      </c>
      <c r="BR2" s="10" t="s">
        <v>21</v>
      </c>
      <c r="BS2" s="10" t="s">
        <v>24</v>
      </c>
      <c r="BT2" s="10" t="s">
        <v>24</v>
      </c>
      <c r="BU2" s="10" t="s">
        <v>21</v>
      </c>
      <c r="BV2" s="10" t="s">
        <v>24</v>
      </c>
      <c r="BW2" s="10" t="s">
        <v>21</v>
      </c>
      <c r="BX2" s="10" t="s">
        <v>514</v>
      </c>
      <c r="BY2" s="10" t="s">
        <v>513</v>
      </c>
      <c r="BZ2" s="10" t="s">
        <v>24</v>
      </c>
      <c r="CA2" s="10" t="s">
        <v>24</v>
      </c>
      <c r="CB2" s="10" t="s">
        <v>514</v>
      </c>
      <c r="CC2" s="10" t="s">
        <v>514</v>
      </c>
      <c r="CD2" s="10" t="s">
        <v>21</v>
      </c>
      <c r="CE2" s="10" t="s">
        <v>24</v>
      </c>
      <c r="CF2" s="10" t="s">
        <v>513</v>
      </c>
      <c r="CG2" s="10" t="s">
        <v>514</v>
      </c>
      <c r="CH2" s="10" t="s">
        <v>21</v>
      </c>
      <c r="CI2" s="10" t="s">
        <v>21</v>
      </c>
      <c r="CJ2" s="10" t="s">
        <v>21</v>
      </c>
      <c r="CK2" s="10" t="s">
        <v>513</v>
      </c>
      <c r="CL2" s="10" t="s">
        <v>513</v>
      </c>
      <c r="CM2" s="10" t="s">
        <v>21</v>
      </c>
      <c r="CN2" s="10" t="s">
        <v>21</v>
      </c>
      <c r="CO2" s="10" t="s">
        <v>514</v>
      </c>
      <c r="CP2" s="10" t="s">
        <v>21</v>
      </c>
      <c r="CQ2" s="10" t="s">
        <v>513</v>
      </c>
      <c r="CR2" s="10" t="s">
        <v>513</v>
      </c>
      <c r="CS2" s="10" t="s">
        <v>21</v>
      </c>
      <c r="CT2" s="10" t="s">
        <v>514</v>
      </c>
      <c r="CU2" s="10" t="s">
        <v>513</v>
      </c>
      <c r="CV2" s="10" t="s">
        <v>514</v>
      </c>
      <c r="CW2" s="10" t="s">
        <v>21</v>
      </c>
      <c r="CX2" s="10" t="s">
        <v>513</v>
      </c>
      <c r="CY2" s="10" t="s">
        <v>21</v>
      </c>
      <c r="CZ2" s="10" t="s">
        <v>21</v>
      </c>
      <c r="DA2" s="10" t="s">
        <v>21</v>
      </c>
      <c r="DB2" s="10" t="s">
        <v>514</v>
      </c>
      <c r="DC2" s="10" t="s">
        <v>24</v>
      </c>
      <c r="DD2" s="10" t="s">
        <v>514</v>
      </c>
      <c r="DE2" s="10" t="s">
        <v>513</v>
      </c>
      <c r="DF2" s="10" t="s">
        <v>21</v>
      </c>
      <c r="DG2" s="10" t="s">
        <v>21</v>
      </c>
      <c r="DH2" s="10" t="s">
        <v>514</v>
      </c>
      <c r="DI2" s="10" t="s">
        <v>513</v>
      </c>
      <c r="DJ2" s="10" t="s">
        <v>515</v>
      </c>
      <c r="DK2" s="10" t="s">
        <v>516</v>
      </c>
      <c r="DL2" s="10" t="s">
        <v>517</v>
      </c>
      <c r="DM2" s="10" t="s">
        <v>518</v>
      </c>
      <c r="DN2" s="10" t="s">
        <v>519</v>
      </c>
    </row>
  </sheetData>
  <pageMargins left="0.699305555555556" right="0.699305555555556" top="0.75" bottom="0.75" header="0.3" footer="0.3"/>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3:C34"/>
  <sheetViews>
    <sheetView topLeftCell="A16" workbookViewId="0">
      <selection activeCell="C14" sqref="C14"/>
    </sheetView>
  </sheetViews>
  <sheetFormatPr defaultColWidth="9" defaultRowHeight="13.5" outlineLevelCol="2"/>
  <cols>
    <col min="2" max="2" width="81.125" customWidth="1"/>
    <col min="3" max="3" width="54" customWidth="1"/>
  </cols>
  <sheetData>
    <row r="3" ht="14.25" spans="1:3">
      <c r="A3" t="s">
        <v>20</v>
      </c>
      <c r="B3" s="5" t="s">
        <v>520</v>
      </c>
      <c r="C3" s="6" t="s">
        <v>521</v>
      </c>
    </row>
    <row r="4" ht="24" spans="2:2">
      <c r="B4" s="5" t="s">
        <v>522</v>
      </c>
    </row>
    <row r="5" spans="2:2">
      <c r="B5" s="5" t="s">
        <v>523</v>
      </c>
    </row>
    <row r="6" ht="35.25" spans="2:2">
      <c r="B6" s="5" t="s">
        <v>524</v>
      </c>
    </row>
    <row r="7" ht="14.25" spans="1:3">
      <c r="A7" t="s">
        <v>28</v>
      </c>
      <c r="B7" s="5" t="s">
        <v>525</v>
      </c>
      <c r="C7" s="6" t="s">
        <v>526</v>
      </c>
    </row>
    <row r="8" ht="35.25" spans="2:2">
      <c r="B8" s="5" t="s">
        <v>527</v>
      </c>
    </row>
    <row r="9" spans="2:2">
      <c r="B9" s="5" t="s">
        <v>528</v>
      </c>
    </row>
    <row r="10" ht="47.25" spans="2:2">
      <c r="B10" s="5" t="s">
        <v>529</v>
      </c>
    </row>
    <row r="11" ht="14.25" spans="1:3">
      <c r="A11" t="s">
        <v>27</v>
      </c>
      <c r="B11" s="5" t="s">
        <v>530</v>
      </c>
      <c r="C11" s="6" t="s">
        <v>531</v>
      </c>
    </row>
    <row r="12" ht="24" spans="2:2">
      <c r="B12" s="7" t="s">
        <v>532</v>
      </c>
    </row>
    <row r="13" spans="2:2">
      <c r="B13" s="7" t="s">
        <v>533</v>
      </c>
    </row>
    <row r="14" ht="57.75" spans="2:2">
      <c r="B14" s="7" t="s">
        <v>534</v>
      </c>
    </row>
    <row r="15" ht="14.25" spans="1:3">
      <c r="A15" t="s">
        <v>17</v>
      </c>
      <c r="B15" s="5" t="s">
        <v>535</v>
      </c>
      <c r="C15" s="6" t="s">
        <v>536</v>
      </c>
    </row>
    <row r="16" ht="24" spans="2:2">
      <c r="B16" s="5" t="s">
        <v>537</v>
      </c>
    </row>
    <row r="17" spans="2:2">
      <c r="B17" s="5" t="s">
        <v>538</v>
      </c>
    </row>
    <row r="18" ht="24" spans="2:2">
      <c r="B18" s="5" t="s">
        <v>539</v>
      </c>
    </row>
    <row r="19" ht="14.25" spans="1:3">
      <c r="A19" t="s">
        <v>24</v>
      </c>
      <c r="B19" s="5" t="s">
        <v>540</v>
      </c>
      <c r="C19" s="6" t="s">
        <v>541</v>
      </c>
    </row>
    <row r="20" ht="23.25" spans="2:2">
      <c r="B20" s="5" t="s">
        <v>542</v>
      </c>
    </row>
    <row r="21" spans="2:2">
      <c r="B21" s="5" t="s">
        <v>543</v>
      </c>
    </row>
    <row r="22" ht="47.25" spans="2:2">
      <c r="B22" s="5" t="s">
        <v>544</v>
      </c>
    </row>
    <row r="23" ht="14.25" spans="1:3">
      <c r="A23" t="s">
        <v>21</v>
      </c>
      <c r="B23" s="5" t="s">
        <v>545</v>
      </c>
      <c r="C23" s="6" t="s">
        <v>546</v>
      </c>
    </row>
    <row r="24" ht="23.25" spans="2:2">
      <c r="B24" s="7" t="s">
        <v>547</v>
      </c>
    </row>
    <row r="25" spans="2:2">
      <c r="B25" s="5" t="s">
        <v>548</v>
      </c>
    </row>
    <row r="26" ht="33.75" spans="2:2">
      <c r="B26" s="7" t="s">
        <v>549</v>
      </c>
    </row>
    <row r="27" spans="2:2">
      <c r="B27" s="5"/>
    </row>
    <row r="28" spans="2:2">
      <c r="B28" s="5"/>
    </row>
    <row r="29" ht="42" spans="1:2">
      <c r="A29" t="s">
        <v>143</v>
      </c>
      <c r="B29" s="8" t="s">
        <v>550</v>
      </c>
    </row>
    <row r="30" ht="27" spans="1:2">
      <c r="A30" t="s">
        <v>144</v>
      </c>
      <c r="B30" s="9" t="s">
        <v>551</v>
      </c>
    </row>
    <row r="31" ht="27" spans="1:2">
      <c r="A31" t="s">
        <v>147</v>
      </c>
      <c r="B31" s="9" t="s">
        <v>552</v>
      </c>
    </row>
    <row r="32" ht="27" spans="1:2">
      <c r="A32" t="s">
        <v>146</v>
      </c>
      <c r="B32" s="9" t="s">
        <v>553</v>
      </c>
    </row>
    <row r="33" ht="27" spans="1:2">
      <c r="A33" t="s">
        <v>145</v>
      </c>
      <c r="B33" s="9" t="s">
        <v>554</v>
      </c>
    </row>
    <row r="34" ht="27" spans="1:2">
      <c r="A34" t="s">
        <v>142</v>
      </c>
      <c r="B34" s="9" t="s">
        <v>555</v>
      </c>
    </row>
  </sheetData>
  <hyperlinks>
    <hyperlink ref="B10" r:id="rId1" display="【职业建议】 喜欢智力的、抽象的、分析的、独立的定向任务，要求具备智力或分析才能，并将其用于观察、估测、衡量、形成理论、最终解决问题的工作，并具备相应的能力。 如：科学研究人员、教师、工程师、电脑编程人员、医生、系统分析员。 注：工作中调研兴趣强的人做事较为坚持，有韧性，善始善终，调研兴趣弱的如&lt;20% 通常做事容易浅尝辄止，常性也弱。"/>
    <hyperlink ref="B16" r:id="rId2" display="【共同特点】 喜欢与人交往、不断结交新的朋友、善言谈、愿意教导别人。关心社会问题、渴望发挥自己的社会作用。寻求广泛的人际关系，比较看重社会义务和社会道德。 "/>
    <hyperlink ref="B34" r:id="rId3" display="记账员、会计、银行出纳、法庭速记员、成本估算员、税务员、核算员、打字员、办公室职员、统计员、计算机操作员、秘书。"/>
  </hyperlink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启始页</vt:lpstr>
      <vt:lpstr>首页</vt:lpstr>
      <vt:lpstr>题目</vt:lpstr>
      <vt:lpstr>结果</vt:lpstr>
      <vt:lpstr>学科兴趣</vt:lpstr>
      <vt:lpstr>学科兴趣结果</vt:lpstr>
      <vt:lpstr>职业倾向数据</vt:lpstr>
      <vt:lpstr>学科兴趣数据</vt:lpstr>
      <vt:lpstr>类型详解</vt:lpstr>
      <vt:lpstr>职业代码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bestally</dc:creator>
  <cp:lastModifiedBy>豬</cp:lastModifiedBy>
  <dcterms:created xsi:type="dcterms:W3CDTF">2017-04-04T13:28:00Z</dcterms:created>
  <cp:lastPrinted>2017-04-09T07:17:00Z</cp:lastPrinted>
  <dcterms:modified xsi:type="dcterms:W3CDTF">2017-12-20T15:52:15Z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2052-10.1.0.6028</vt:lpwstr>
  </property>
</Properties>
</file>