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U6" i="1" l="1"/>
  <c r="V6" i="1" s="1"/>
  <c r="W6" i="1" s="1"/>
  <c r="U32" i="1" l="1"/>
  <c r="U31" i="1"/>
  <c r="U30" i="1"/>
  <c r="U29" i="1"/>
  <c r="U28" i="1"/>
  <c r="U27" i="1"/>
  <c r="U26" i="1"/>
  <c r="U25" i="1"/>
  <c r="U22" i="1"/>
  <c r="U20" i="1"/>
  <c r="U21" i="1"/>
  <c r="U19" i="1"/>
  <c r="U18" i="1"/>
  <c r="U17" i="1"/>
  <c r="U14" i="1"/>
  <c r="U13" i="1"/>
  <c r="U12" i="1"/>
  <c r="U9" i="1"/>
  <c r="U8" i="1"/>
  <c r="U4" i="1"/>
  <c r="U7" i="1"/>
  <c r="U11" i="1"/>
  <c r="Y6" i="1" l="1"/>
  <c r="Z6" i="1" s="1"/>
  <c r="Y5" i="1"/>
  <c r="Z5" i="1" s="1"/>
  <c r="Z4" i="1"/>
  <c r="Z7" i="1"/>
  <c r="D36" i="1"/>
  <c r="Y32" i="1" l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3" i="1"/>
  <c r="Z23" i="1" s="1"/>
  <c r="Y19" i="1"/>
  <c r="Z19" i="1" s="1"/>
  <c r="Y18" i="1"/>
  <c r="Z18" i="1" s="1"/>
  <c r="Y17" i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X35" i="1" l="1"/>
  <c r="Y35" i="1" s="1"/>
  <c r="Z17" i="1"/>
  <c r="Z8" i="1"/>
  <c r="V32" i="1"/>
  <c r="V30" i="1"/>
  <c r="V29" i="1"/>
  <c r="V28" i="1"/>
  <c r="V27" i="1"/>
  <c r="V26" i="1"/>
  <c r="V25" i="1"/>
  <c r="V23" i="1"/>
  <c r="V22" i="1"/>
  <c r="V21" i="1"/>
  <c r="V20" i="1"/>
  <c r="V19" i="1"/>
  <c r="V18" i="1"/>
  <c r="V14" i="1"/>
  <c r="V13" i="1"/>
  <c r="V12" i="1"/>
  <c r="V9" i="1"/>
  <c r="W9" i="1" s="1"/>
  <c r="V8" i="1"/>
  <c r="V31" i="1"/>
  <c r="W31" i="1" s="1"/>
  <c r="I30" i="1"/>
  <c r="I28" i="1"/>
  <c r="I26" i="1"/>
  <c r="I25" i="1"/>
  <c r="I22" i="1"/>
  <c r="I23" i="1" s="1"/>
  <c r="I21" i="1"/>
  <c r="V17" i="1"/>
  <c r="V11" i="1"/>
  <c r="E5" i="1"/>
  <c r="U5" i="1" s="1"/>
  <c r="I8" i="1"/>
  <c r="L36" i="1" s="1"/>
  <c r="N36" i="1" s="1"/>
  <c r="Z35" i="1" l="1"/>
  <c r="D38" i="1"/>
  <c r="V4" i="1"/>
  <c r="L38" i="1"/>
  <c r="E36" i="1"/>
  <c r="G36" i="1"/>
  <c r="V7" i="1"/>
  <c r="W7" i="1" s="1"/>
  <c r="W8" i="1"/>
  <c r="I19" i="1"/>
  <c r="I20" i="1" s="1"/>
  <c r="W20" i="1" s="1"/>
  <c r="I18" i="1"/>
  <c r="I17" i="1"/>
  <c r="I16" i="1"/>
  <c r="I14" i="1"/>
  <c r="I12" i="1"/>
  <c r="W12" i="1" s="1"/>
  <c r="I13" i="1"/>
  <c r="I11" i="1"/>
  <c r="I10" i="1"/>
  <c r="O36" i="1" l="1"/>
  <c r="Q36" i="1" s="1"/>
  <c r="O38" i="1"/>
  <c r="J36" i="1"/>
  <c r="R36" i="1"/>
  <c r="S36" i="1"/>
  <c r="W11" i="1"/>
  <c r="G38" i="1"/>
  <c r="R38" i="1" s="1"/>
  <c r="V5" i="1"/>
  <c r="W5" i="1" s="1"/>
  <c r="G37" i="1" s="1"/>
  <c r="W4" i="1"/>
  <c r="D37" i="1" s="1"/>
  <c r="L37" i="1"/>
  <c r="L39" i="1" s="1"/>
  <c r="W17" i="1"/>
  <c r="W18" i="1"/>
  <c r="W13" i="1"/>
  <c r="W21" i="1"/>
  <c r="W14" i="1"/>
  <c r="W22" i="1"/>
  <c r="W28" i="1"/>
  <c r="E26" i="1"/>
  <c r="E25" i="1"/>
  <c r="G39" i="1" l="1"/>
  <c r="D39" i="1"/>
  <c r="W19" i="1"/>
  <c r="W23" i="1"/>
  <c r="W30" i="1"/>
  <c r="W27" i="1"/>
  <c r="W25" i="1" l="1"/>
  <c r="O37" i="1" s="1"/>
  <c r="R37" i="1" s="1"/>
  <c r="W29" i="1"/>
  <c r="W26" i="1"/>
  <c r="W32" i="1"/>
  <c r="O39" i="1" l="1"/>
  <c r="R39" i="1" s="1"/>
</calcChain>
</file>

<file path=xl/sharedStrings.xml><?xml version="1.0" encoding="utf-8"?>
<sst xmlns="http://schemas.openxmlformats.org/spreadsheetml/2006/main" count="554" uniqueCount="226">
  <si>
    <t>Время работ, мин</t>
  </si>
  <si>
    <t>он-лайн данные со станции управления клапаном в "PCS"</t>
  </si>
  <si>
    <t>конфигуратор отчетов в "PCS"</t>
  </si>
  <si>
    <t>Дополнительные инструменты</t>
  </si>
  <si>
    <t>на 1 скв.</t>
  </si>
  <si>
    <t>-</t>
  </si>
  <si>
    <t>перед закупочной процедурой</t>
  </si>
  <si>
    <t>раз в год</t>
  </si>
  <si>
    <t>ТАТНЕФТЬ, отдел …</t>
  </si>
  <si>
    <t>раз в месяц</t>
  </si>
  <si>
    <t>Кто принимает результат работ, периодичность отчета об объеме выполненных работ</t>
  </si>
  <si>
    <t>время проверки, мин</t>
  </si>
  <si>
    <t>Исполнитель (вносит данные в PCS)</t>
  </si>
  <si>
    <t xml:space="preserve"> алгоритмы "PCS"</t>
  </si>
  <si>
    <t>алгоритмы "PCS"</t>
  </si>
  <si>
    <t>форма заявки "PCS"</t>
  </si>
  <si>
    <t>основание проведение работ</t>
  </si>
  <si>
    <t>Проверяющий в "PCS"</t>
  </si>
  <si>
    <t>инженер ЦДНГ</t>
  </si>
  <si>
    <t>инженер отдела ….</t>
  </si>
  <si>
    <t>Период выполнения работ</t>
  </si>
  <si>
    <t xml:space="preserve"> форма подтверждения заявки в "PCS"</t>
  </si>
  <si>
    <t>2.1 формирование заявки на монтажные работы в ЭПУ</t>
  </si>
  <si>
    <t>2.2 прием заявки на выполнение работ</t>
  </si>
  <si>
    <t>инженер ЭПУ</t>
  </si>
  <si>
    <t>на 1 заявку</t>
  </si>
  <si>
    <t>инженер НПФ Пакер</t>
  </si>
  <si>
    <t>за сутки до начала работ</t>
  </si>
  <si>
    <t>за двое суток до начала работ</t>
  </si>
  <si>
    <t>диспетчер ЭПУ</t>
  </si>
  <si>
    <t>договор услуги "Авторский надзор" ТАТНЕФТЬ и НПФ Пакер</t>
  </si>
  <si>
    <t>договор услуги "Авторский надзор"</t>
  </si>
  <si>
    <t>актуальный перечень оборудования с учетом модернизаций</t>
  </si>
  <si>
    <t>подтверждение исполнителем работ, что заявка принята</t>
  </si>
  <si>
    <t>на один комплект</t>
  </si>
  <si>
    <t xml:space="preserve">офис
 </t>
  </si>
  <si>
    <t>цех ЭПУ</t>
  </si>
  <si>
    <t>Форма внесения фото и результатов тестирования работоспособности смонтированного оборудования в "PCS"</t>
  </si>
  <si>
    <t>100% все работает и смонтировано правильно</t>
  </si>
  <si>
    <t>автоматически</t>
  </si>
  <si>
    <t>СИМ карта вставленная в станцию управления</t>
  </si>
  <si>
    <t>подписанные акты результата работ</t>
  </si>
  <si>
    <t>принтер</t>
  </si>
  <si>
    <t>офис ЭПУ</t>
  </si>
  <si>
    <t>3.1 формирование заявки на монтажные работы при ПРС/КРС</t>
  </si>
  <si>
    <t>3.2 прием заявки на выполнение работ</t>
  </si>
  <si>
    <t>диспетчер ПРС/КРС</t>
  </si>
  <si>
    <t>инженер ПРС/КРС</t>
  </si>
  <si>
    <t>приложение "PCS" диспетчера ПРС/КРС</t>
  </si>
  <si>
    <t>приложение "PCS" диспетчера ЭПУ</t>
  </si>
  <si>
    <t>фото сделанные мастером ЭПУ через приложение "PCS" в телефоне. Форма внесения номеров в "PCS"</t>
  </si>
  <si>
    <t>мастер ПРС/КРС</t>
  </si>
  <si>
    <t>личный или рабочий смартфон мастера ПРС/КРС</t>
  </si>
  <si>
    <t>устье скв.</t>
  </si>
  <si>
    <t>Место работ исполнителя</t>
  </si>
  <si>
    <t>100% все работает и спуск штатно</t>
  </si>
  <si>
    <t>100% все работает и спущено штатно</t>
  </si>
  <si>
    <t>100% все работает и запущено штатно</t>
  </si>
  <si>
    <t>Мастер ПРС/КРС</t>
  </si>
  <si>
    <t>на месте</t>
  </si>
  <si>
    <t>вагончик мастера</t>
  </si>
  <si>
    <t>персонал ЦДНГ</t>
  </si>
  <si>
    <t>насос в работе</t>
  </si>
  <si>
    <t>После завершения ПРС/КРС</t>
  </si>
  <si>
    <t>замеры выполнены, достоверны</t>
  </si>
  <si>
    <t>1 скв.</t>
  </si>
  <si>
    <t>по заявке</t>
  </si>
  <si>
    <t>один раз в месяц</t>
  </si>
  <si>
    <t>доступ на просмотр информации в АРМИТС</t>
  </si>
  <si>
    <t>офис</t>
  </si>
  <si>
    <t>4.1. запуск, достижение плановых давлений на приеме насоса, стабильная работа, замеры дебита и обводненности</t>
  </si>
  <si>
    <t>4.2. замер дебета, обводненности, давлений по пластам</t>
  </si>
  <si>
    <t>4.3. вывод на требуемые забойные давления</t>
  </si>
  <si>
    <t>работа в режиме</t>
  </si>
  <si>
    <t>архив "PCS" и станции управления УЭЦН</t>
  </si>
  <si>
    <t>доступ в СУ от УЭЦН</t>
  </si>
  <si>
    <t>фото сделанные мастером ПРС/КРС через приложение "PCS" в телефоне. Форма внесения информации в "PCS"</t>
  </si>
  <si>
    <t>Период времени работ</t>
  </si>
  <si>
    <t>8:00 - 17:00</t>
  </si>
  <si>
    <t>Дни выполнения работ</t>
  </si>
  <si>
    <t>рабочие</t>
  </si>
  <si>
    <t>круглосуточно</t>
  </si>
  <si>
    <t>любые</t>
  </si>
  <si>
    <t>предварительная причина отказа, мероприятия для дальнейших действий</t>
  </si>
  <si>
    <t>комплект данных для дальнейшего анализа причины отказа</t>
  </si>
  <si>
    <t>инженер ЦДНГ, мастер КРС/ПРС</t>
  </si>
  <si>
    <t>личный или рабочий смартфон мастера ПРС/КРС, инженера ЦДНГ</t>
  </si>
  <si>
    <t>скв.</t>
  </si>
  <si>
    <t>фото сделанные инженером завода производителя через приложение "PCS" в телефоне. Форма внесения информации в "PCS"</t>
  </si>
  <si>
    <t>инженер завода производителя</t>
  </si>
  <si>
    <t>личный или рабочий смартфон инженера завода производителя</t>
  </si>
  <si>
    <t>завод</t>
  </si>
  <si>
    <t>5.4 заключительный акт с мероприятиями и виновником по отказу</t>
  </si>
  <si>
    <t>информация с "PCS" от этапа подбора компоновки до этапа расследования на заводе</t>
  </si>
  <si>
    <t>качественный анализ для адресных мероприятий</t>
  </si>
  <si>
    <t>в течение 5 дней после расследования на заводе</t>
  </si>
  <si>
    <t>6.1 формирование поскважинного ежемесячного отчета по замерам Q; Р; % обводненности скв. с ПРОК-ОРЭ по утвержденной форме.</t>
  </si>
  <si>
    <t xml:space="preserve">6.2 формирование ежемесячного отчета по наработке, расследованиям, мероприятиям с ПРОК-ОРЭ по утвержденной форме. </t>
  </si>
  <si>
    <t>информация для формирования геологических отчетов</t>
  </si>
  <si>
    <t>актуальная информация по работе ГНО</t>
  </si>
  <si>
    <t>отчет за месяц</t>
  </si>
  <si>
    <t>согласование, подписание</t>
  </si>
  <si>
    <t>инженер отдела …</t>
  </si>
  <si>
    <t>1 раз в месяц</t>
  </si>
  <si>
    <t>форма опросного листа в "PCS"</t>
  </si>
  <si>
    <t>оптимальный состав оборудования с учетом модернизации технологии и узлов</t>
  </si>
  <si>
    <t>Орентировочный объем работ, шт</t>
  </si>
  <si>
    <t>Трудо затраты</t>
  </si>
  <si>
    <t>1 раз в год</t>
  </si>
  <si>
    <t>Наименование действия</t>
  </si>
  <si>
    <t>Содержание действия</t>
  </si>
  <si>
    <t>Инструменты выполнения действия</t>
  </si>
  <si>
    <t>Результат осуществления действия</t>
  </si>
  <si>
    <t>инженер ЭПУ и НПФ Пакер</t>
  </si>
  <si>
    <t>в год</t>
  </si>
  <si>
    <t>инженер ЦДНГ и НПФ Пакер</t>
  </si>
  <si>
    <t>приложение "PCS" инженера отдела …</t>
  </si>
  <si>
    <t>приложение "PCS" инженера НПФ "Пакер"</t>
  </si>
  <si>
    <t>приложение "PCS" инженера или диспетчера ЦДНГ</t>
  </si>
  <si>
    <t>на монтаж завезли то что требуется</t>
  </si>
  <si>
    <t>мастер, инженер ЭПУ</t>
  </si>
  <si>
    <t>за двое суток до постановки бригады ПРС/КРС</t>
  </si>
  <si>
    <t>личный или рабочий смартфон  мастера или инженера ЭПУ</t>
  </si>
  <si>
    <t>соглашение (договор) взаимодействия между ЭПУ и ТАТНЕФТЬ</t>
  </si>
  <si>
    <t>Фото история, зафиксированы параметры работы оборудования при тестировании с УЭЦН</t>
  </si>
  <si>
    <t>мастер или инженер ЭПУ</t>
  </si>
  <si>
    <t>личный или рабочий смартфон  мастера, инженера ЭПУ</t>
  </si>
  <si>
    <t>инженер ПРС/КРС, НПФ Пакер</t>
  </si>
  <si>
    <t>соглашение (договор) взаимодействия между ПРС/КРС и ТАТНЕФТЬ</t>
  </si>
  <si>
    <t>on-lain</t>
  </si>
  <si>
    <t>Документ регулирующий взаимодействие</t>
  </si>
  <si>
    <t>Фото история правильности монтажа</t>
  </si>
  <si>
    <t>1. он-лайн данные со станции управления клапаном в "PCS"
2. он-лайн данные со станции управления УЭЦН в "PCS"</t>
  </si>
  <si>
    <t>СИМ карта вставленная в станцию управления УЭЦН, подключена</t>
  </si>
  <si>
    <t>on-lain данные в "PCS"</t>
  </si>
  <si>
    <t>доступ в АРМИТС для просмотра Q; % воды</t>
  </si>
  <si>
    <t>разово</t>
  </si>
  <si>
    <t>командировка</t>
  </si>
  <si>
    <t>1. Подбор компоновок к годовой закупке и к конкретной скважине перед внедрением</t>
  </si>
  <si>
    <t>3. Монтаж на устье при ПРС/КРС, контроль выполнения работ</t>
  </si>
  <si>
    <t>4. Эксплуатация ГНО</t>
  </si>
  <si>
    <t>5. Отказы, расследования, мероприятия</t>
  </si>
  <si>
    <t>6. Отчеты, мероприятия</t>
  </si>
  <si>
    <t>Стоимость за объем услуг, руб.</t>
  </si>
  <si>
    <t xml:space="preserve"> "PCS"</t>
  </si>
  <si>
    <t>доступ на просмотр информации в АРМИТС, доступ на управление СУ от УЭЦН.</t>
  </si>
  <si>
    <t>в мес</t>
  </si>
  <si>
    <t>часов</t>
  </si>
  <si>
    <t>дней</t>
  </si>
  <si>
    <t>работа 1 раз в год, ежегодно</t>
  </si>
  <si>
    <t>рабочих дней</t>
  </si>
  <si>
    <t>командировочных дней</t>
  </si>
  <si>
    <t>Наименование</t>
  </si>
  <si>
    <t>Себестоимость этой услуги, руб</t>
  </si>
  <si>
    <t>Выручка от этой услуги, руб</t>
  </si>
  <si>
    <t>Прибыль этой услуги, руб</t>
  </si>
  <si>
    <t>разовая работа в офисе, по ранее внедренным скв.</t>
  </si>
  <si>
    <t>разовая услуга, выезд на ранее внедренные но не работающие скв.</t>
  </si>
  <si>
    <t>Время занятости инженера 
НПФ Пакер</t>
  </si>
  <si>
    <t>руб., 1 час работы инженера, себестоимость 1 услуги</t>
  </si>
  <si>
    <t>% + к себестоимости 1 услуги, руб.</t>
  </si>
  <si>
    <t>Доработка модулей в "PCS"</t>
  </si>
  <si>
    <t>описание доработки</t>
  </si>
  <si>
    <t>количество времени работы программиста, час</t>
  </si>
  <si>
    <t>реализовать функцию выгрузки сводной таблицы по выбранным, заполненным опросным листам с подобранным оборудованием по узлам</t>
  </si>
  <si>
    <t>руб., 1 час работы программиста, себестоимость реализации</t>
  </si>
  <si>
    <t>реализовать форму и функцию создания заявки с привязкой оповещения по ролям</t>
  </si>
  <si>
    <t>реализовать функцию подтверждения приема зайвки инженером ЭПУ и НПФ Пакер</t>
  </si>
  <si>
    <t>реализовать форму внесения заводских номеров и полного наименования оборудования (клапан, ТМС, ПЭД, насос, газосепаратор, деспергатор, входной модуль, СУ, доп оборудование) с привязкой к скважине кандидату и заявке</t>
  </si>
  <si>
    <t>реализовать функцию автоматического формирования акта по утвержденной форме</t>
  </si>
  <si>
    <t>доработать форму и функцию создания заявки с привязкой оповещения по ролям</t>
  </si>
  <si>
    <t>доработать функцию подтверждения приема зайвки инженером ПРС/КРС и НПФ Пакер</t>
  </si>
  <si>
    <t>доработать форму внесения заводских номеров и полного наименования оборудования (доп оборудование, кабель, НКТ, пакер, разъеденитель, переводник безопасный, воронка центратор, переводники) с привязкой к скважине кандидату и заявке</t>
  </si>
  <si>
    <t>реализовать форму с последовательностью шагов работ согласно инструкции при ПРС/КРС с фото и текстом из инструкции и внесени фактических фото с замеренными велечинами, там где надо</t>
  </si>
  <si>
    <t>реализовать форму с последовательностью шагов работ согласно инструкции в ЭПУ с фото и текстом из инструкции и внесени фактических фото с замеренными велечинами, там где надо</t>
  </si>
  <si>
    <t>сделать привязку результатов тестирования и полученных велечин для автоматического внесения в акт по монтажу в ЭПУ</t>
  </si>
  <si>
    <t>сделать привязку результатов тестирования и полученных велечин для автоматического внесения в акт по монтажу при КРС/ПРС</t>
  </si>
  <si>
    <t>адаптировать функцию автоматического формирования акта по утвержденной форме при ПРС/КРС</t>
  </si>
  <si>
    <t>создать и утвердить форму сводной таблицы
настроить автоматическую выгрузку замеренных параметров</t>
  </si>
  <si>
    <t>доработать алгоритмы авто регулировки с учетом применения двух клапанной компоновки и с учетом доступа к ЧРЭП от СУ УЭЦН</t>
  </si>
  <si>
    <t>создать электронную инструкцию по выполнению камеральной работы с фиксацей данных и автоматического формирования акта</t>
  </si>
  <si>
    <t>создать электронную инструкцию по выполнению расследования на устье при ПРС/КРС с фиксацей данных и автоматического формирования акта</t>
  </si>
  <si>
    <t>создать электронную инструкцию по выполнению расследования на заводе с фиксацей данных и автоматического формирования акта</t>
  </si>
  <si>
    <t>создать форму для заполнения выводов и мероприятий при формировании итогового акта</t>
  </si>
  <si>
    <t>создать и утвердить форму отчета
создать функцию автоматического формирования отчета</t>
  </si>
  <si>
    <t>затрат, руб</t>
  </si>
  <si>
    <t>определен полностью рабочий, частично рабочий, не рабочий фонд компоновок</t>
  </si>
  <si>
    <t>понимание причин отсутствия показания, ремонт, мероприятия по дальнейшему ремонту</t>
  </si>
  <si>
    <t xml:space="preserve"> - on-lain данные с "PCS";
- on-lain данные с АРМИТС;
- инженерная мысль</t>
  </si>
  <si>
    <t>с правильно подобранным оборудованием выведены на режим по давлениям, по остальным определены мероприятия</t>
  </si>
  <si>
    <t>0.1 диагностика всего фонда внедренного оборудования на предмет наличия связи, работоспособности  
ПРОК-ОРЭ, выработка мероприятий</t>
  </si>
  <si>
    <t>0.2 выезд на устье скв. для проведения работ по диагностике, подключению, ремонту, выводу СУ от УЭЦН в "PCS", там где не работает</t>
  </si>
  <si>
    <t>0.3 оценка фонда компоновок ПРОК-ОРЭ, какие работают в режиме  и не в режиме по забойным давлениям, выработка мероприятий по достижению.</t>
  </si>
  <si>
    <t>1. создание поля для внесение технических и геологических параметров по скважине с внедренным ПРОК-ОРЭ
2. создание формы внесения мероприятий, отчетов.
3. создание функции выгрузки отчетной формы</t>
  </si>
  <si>
    <t>1. создание поля для внесения данных по выполняемым работам полевым инженером</t>
  </si>
  <si>
    <t>1. Создание алгоритмов автоматической оценки состояния фонда скв., автоматического определения причин и мероприятий
2. создание формы внесения мероприятий, выгрузки отчетов</t>
  </si>
  <si>
    <t>доступ в АРМИТС для просмотра и переноса в PCS строения скв., реологических данных</t>
  </si>
  <si>
    <t>форма подтверждения номеров в "PCS"</t>
  </si>
  <si>
    <t>Форма внесения фото и результатов тестирования работоспособности смонтированного оборудования в "PCS" на устье скв.</t>
  </si>
  <si>
    <t>создать вкладку для внесения данных по потенциальным скважинам на внедрение компоновки</t>
  </si>
  <si>
    <t>1.2 формирование свода по типоразмеру и количеству потребного оборудования на год (процедура закупа оборудования)</t>
  </si>
  <si>
    <t>0. Анализ эксплуатации и корректирующие действия, внедренных компоновок без участия завода производителя</t>
  </si>
  <si>
    <r>
      <t xml:space="preserve">1.1 заполнение опросного листа по </t>
    </r>
    <r>
      <rPr>
        <b/>
        <sz val="11"/>
        <color theme="1"/>
        <rFont val="Calibri"/>
        <family val="2"/>
        <charset val="204"/>
        <scheme val="minor"/>
      </rPr>
      <t>предварительным</t>
    </r>
    <r>
      <rPr>
        <sz val="11"/>
        <color theme="1"/>
        <rFont val="Calibri"/>
        <family val="2"/>
        <scheme val="minor"/>
      </rPr>
      <t xml:space="preserve"> параметрам скважин вскрывших два продуктивных пласта для внедрения ОРД</t>
    </r>
  </si>
  <si>
    <t>5.1. камеральное расследование отказа оборудования</t>
  </si>
  <si>
    <t>5.2 расследование демонтажа оборудования при ПРС/КРС</t>
  </si>
  <si>
    <t>5.3 Расследование на заводе производителе отказавшего оборудования</t>
  </si>
  <si>
    <t>2. Монтаж на базе ЭПУ Сервис, контроль выполнения работ</t>
  </si>
  <si>
    <t>3.3 подтверждение заводских номеров в "PCS"</t>
  </si>
  <si>
    <t>3.4 монтажные работы согласно инструкции</t>
  </si>
  <si>
    <t>3.5 мониторинг замеряемых датчиками параметров в режиме реального времени во время тестирования после монтажа</t>
  </si>
  <si>
    <t>3.6 мониторинг замеряемых датчиками параметров в режиме реального времени после спуска 100-200м.</t>
  </si>
  <si>
    <t>3.7 мониторинг замеряемых датчиками параметров в режиме реального времени после стыковки с пакером.</t>
  </si>
  <si>
    <t>3.8 мониторинг герметичности пакера, разъединителя в режиме реального времени, после запуска УЭЦН.</t>
  </si>
  <si>
    <t>3.9 составление акта результатов работ</t>
  </si>
  <si>
    <t>2.3 фото контроль завезенного для монтажа оборудования с внесением заводских номеров в "PCS"</t>
  </si>
  <si>
    <t>2.4 монтажные работы согласно инструкции</t>
  </si>
  <si>
    <t>2.5 мониторинг замеряемых датчиками параметров в режиме реального времени во время тестирования</t>
  </si>
  <si>
    <t>2.6 составление и подписание акта результатов работ</t>
  </si>
  <si>
    <t>Структура работ по проекту "Авторский контроль ПРОК-ОРЭ"</t>
  </si>
  <si>
    <t>Требуемое время инженера программиста для создания требуемого функционала в "PCS"</t>
  </si>
  <si>
    <t>Работа в офисе, ежедневно</t>
  </si>
  <si>
    <t>часов/мес</t>
  </si>
  <si>
    <t>дней/мес</t>
  </si>
  <si>
    <t>итого за год</t>
  </si>
  <si>
    <t xml:space="preserve"> алгоритмы "PCS" + инженер</t>
  </si>
  <si>
    <t>полевой инженер сервиса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</si>
</sst>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0" xfId="0" applyNumberFormat="1" applyBorder="1" applyAlignment="1">
      <alignment horizontal="left" vertical="center" wrapText="1"/>
    </xf>
    <xf numFmtId="16" fontId="0" fillId="0" borderId="14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5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3" fontId="0" fillId="0" borderId="11" xfId="0" applyNumberFormat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 wrapText="1"/>
    </xf>
    <xf numFmtId="3" fontId="0" fillId="0" borderId="13" xfId="0" applyNumberForma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16" xfId="0" applyNumberFormat="1" applyBorder="1" applyAlignment="1">
      <alignment horizontal="center" vertical="center" wrapText="1"/>
    </xf>
    <xf numFmtId="3" fontId="7" fillId="0" borderId="10" xfId="0" applyNumberFormat="1" applyFont="1" applyBorder="1" applyAlignment="1">
      <alignment horizontal="center" vertical="center" wrapText="1"/>
    </xf>
    <xf numFmtId="3" fontId="7" fillId="0" borderId="14" xfId="0" applyNumberFormat="1" applyFont="1" applyBorder="1" applyAlignment="1">
      <alignment horizontal="center" vertical="center" wrapText="1"/>
    </xf>
    <xf numFmtId="3" fontId="0" fillId="0" borderId="10" xfId="0" applyNumberFormat="1" applyFill="1" applyBorder="1" applyAlignment="1">
      <alignment horizontal="center" vertical="center" wrapText="1"/>
    </xf>
    <xf numFmtId="3" fontId="0" fillId="0" borderId="3" xfId="0" applyNumberForma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3" fontId="0" fillId="0" borderId="0" xfId="0" applyNumberFormat="1"/>
    <xf numFmtId="3" fontId="7" fillId="0" borderId="10" xfId="0" applyNumberFormat="1" applyFont="1" applyFill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3" fontId="0" fillId="0" borderId="5" xfId="0" applyNumberFormat="1" applyFill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 wrapText="1"/>
    </xf>
    <xf numFmtId="3" fontId="0" fillId="0" borderId="27" xfId="0" applyNumberFormat="1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3" fontId="0" fillId="0" borderId="27" xfId="0" applyNumberFormat="1" applyFill="1" applyBorder="1" applyAlignment="1">
      <alignment horizontal="center" vertical="center" wrapText="1"/>
    </xf>
    <xf numFmtId="3" fontId="7" fillId="0" borderId="15" xfId="0" applyNumberFormat="1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3" fontId="7" fillId="0" borderId="11" xfId="0" applyNumberFormat="1" applyFont="1" applyBorder="1" applyAlignment="1">
      <alignment horizontal="center" vertical="center" wrapText="1"/>
    </xf>
    <xf numFmtId="3" fontId="0" fillId="0" borderId="15" xfId="0" applyNumberFormat="1" applyBorder="1" applyAlignment="1">
      <alignment horizontal="center" vertical="center" wrapText="1"/>
    </xf>
    <xf numFmtId="3" fontId="0" fillId="0" borderId="1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3" fontId="0" fillId="0" borderId="31" xfId="0" applyNumberFormat="1" applyBorder="1" applyAlignment="1">
      <alignment horizontal="center" vertical="center" wrapText="1"/>
    </xf>
    <xf numFmtId="3" fontId="0" fillId="0" borderId="10" xfId="0" applyNumberFormat="1" applyBorder="1" applyAlignment="1">
      <alignment horizontal="center" vertical="center" wrapText="1"/>
    </xf>
    <xf numFmtId="3" fontId="0" fillId="0" borderId="4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3" fontId="0" fillId="0" borderId="14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7" fillId="0" borderId="22" xfId="0" applyNumberFormat="1" applyFont="1" applyBorder="1" applyAlignment="1">
      <alignment horizontal="center" vertical="center" wrapText="1"/>
    </xf>
    <xf numFmtId="3" fontId="7" fillId="0" borderId="28" xfId="0" applyNumberFormat="1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3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3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3" fontId="0" fillId="0" borderId="17" xfId="0" applyNumberFormat="1" applyBorder="1" applyAlignment="1">
      <alignment horizontal="center" vertical="center" wrapText="1"/>
    </xf>
    <xf numFmtId="3" fontId="0" fillId="0" borderId="26" xfId="0" applyNumberForma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3" fontId="0" fillId="0" borderId="34" xfId="0" applyNumberFormat="1" applyBorder="1" applyAlignment="1">
      <alignment horizontal="center" vertical="center" wrapText="1"/>
    </xf>
    <xf numFmtId="3" fontId="0" fillId="0" borderId="35" xfId="0" applyNumberFormat="1" applyBorder="1" applyAlignment="1">
      <alignment horizontal="center" vertical="center" wrapText="1"/>
    </xf>
    <xf numFmtId="3" fontId="0" fillId="0" borderId="33" xfId="0" applyNumberForma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0" fillId="0" borderId="29" xfId="0" applyNumberForma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tabSelected="1" zoomScale="85" zoomScaleNormal="85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RowHeight="15" x14ac:dyDescent="0.25"/>
  <cols>
    <col min="1" max="1" width="18.140625" style="1" customWidth="1"/>
    <col min="2" max="2" width="27.28515625" style="18" customWidth="1"/>
    <col min="3" max="3" width="20.140625" style="1" customWidth="1"/>
    <col min="4" max="4" width="20.42578125" style="1" customWidth="1"/>
    <col min="5" max="5" width="5.140625" style="1" customWidth="1"/>
    <col min="6" max="6" width="6.140625" style="1" customWidth="1"/>
    <col min="7" max="7" width="5" style="1" customWidth="1"/>
    <col min="8" max="8" width="6.28515625" style="1" customWidth="1"/>
    <col min="9" max="9" width="4.85546875" style="1" customWidth="1"/>
    <col min="10" max="10" width="7.140625" style="1" customWidth="1"/>
    <col min="11" max="11" width="10.5703125" style="1" customWidth="1"/>
    <col min="12" max="12" width="10" style="1" customWidth="1"/>
    <col min="13" max="13" width="12.85546875" style="1" customWidth="1"/>
    <col min="14" max="14" width="10.140625" style="1" customWidth="1"/>
    <col min="15" max="15" width="13.42578125" style="1" customWidth="1"/>
    <col min="16" max="16" width="11.28515625" style="1" customWidth="1"/>
    <col min="17" max="17" width="11" style="1" customWidth="1"/>
    <col min="18" max="18" width="17" customWidth="1"/>
    <col min="19" max="19" width="15.5703125" customWidth="1"/>
    <col min="20" max="20" width="8.85546875" customWidth="1"/>
    <col min="21" max="21" width="11.85546875" style="44" customWidth="1"/>
    <col min="22" max="22" width="11.28515625" style="44" customWidth="1"/>
    <col min="23" max="23" width="10.5703125" style="37" customWidth="1"/>
    <col min="24" max="24" width="30.140625" customWidth="1"/>
    <col min="25" max="25" width="11.140625" customWidth="1"/>
    <col min="26" max="26" width="14.85546875" style="44" customWidth="1"/>
  </cols>
  <sheetData>
    <row r="1" spans="1:26" ht="33" customHeight="1" thickBot="1" x14ac:dyDescent="0.3">
      <c r="A1" s="115" t="s">
        <v>218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94" t="s">
        <v>161</v>
      </c>
      <c r="Y1" s="95"/>
      <c r="Z1" s="96"/>
    </row>
    <row r="2" spans="1:26" ht="20.25" customHeight="1" x14ac:dyDescent="0.25">
      <c r="A2" s="99" t="s">
        <v>109</v>
      </c>
      <c r="B2" s="99" t="s">
        <v>110</v>
      </c>
      <c r="C2" s="99" t="s">
        <v>111</v>
      </c>
      <c r="D2" s="99" t="s">
        <v>112</v>
      </c>
      <c r="E2" s="159" t="s">
        <v>107</v>
      </c>
      <c r="F2" s="160"/>
      <c r="G2" s="160"/>
      <c r="H2" s="160"/>
      <c r="I2" s="160"/>
      <c r="J2" s="160"/>
      <c r="K2" s="160"/>
      <c r="L2" s="161"/>
      <c r="M2" s="99" t="s">
        <v>12</v>
      </c>
      <c r="N2" s="99" t="s">
        <v>17</v>
      </c>
      <c r="O2" s="99" t="s">
        <v>20</v>
      </c>
      <c r="P2" s="99" t="s">
        <v>10</v>
      </c>
      <c r="Q2" s="99"/>
      <c r="R2" s="117" t="s">
        <v>3</v>
      </c>
      <c r="S2" s="121" t="s">
        <v>130</v>
      </c>
      <c r="T2" s="119" t="s">
        <v>54</v>
      </c>
      <c r="U2" s="45">
        <v>1200</v>
      </c>
      <c r="V2" s="39">
        <v>50</v>
      </c>
      <c r="W2" s="113" t="s">
        <v>143</v>
      </c>
      <c r="X2" s="97" t="s">
        <v>162</v>
      </c>
      <c r="Y2" s="99" t="s">
        <v>163</v>
      </c>
      <c r="Z2" s="74">
        <v>1200</v>
      </c>
    </row>
    <row r="3" spans="1:26" ht="78.75" customHeight="1" thickBot="1" x14ac:dyDescent="0.3">
      <c r="A3" s="100"/>
      <c r="B3" s="100"/>
      <c r="C3" s="100"/>
      <c r="D3" s="100"/>
      <c r="E3" s="100" t="s">
        <v>0</v>
      </c>
      <c r="F3" s="100"/>
      <c r="G3" s="100" t="s">
        <v>11</v>
      </c>
      <c r="H3" s="100"/>
      <c r="I3" s="100" t="s">
        <v>106</v>
      </c>
      <c r="J3" s="100"/>
      <c r="K3" s="22" t="s">
        <v>77</v>
      </c>
      <c r="L3" s="22" t="s">
        <v>79</v>
      </c>
      <c r="M3" s="100"/>
      <c r="N3" s="100"/>
      <c r="O3" s="100"/>
      <c r="P3" s="100"/>
      <c r="Q3" s="100"/>
      <c r="R3" s="118"/>
      <c r="S3" s="122"/>
      <c r="T3" s="120"/>
      <c r="U3" s="46" t="s">
        <v>159</v>
      </c>
      <c r="V3" s="40" t="s">
        <v>160</v>
      </c>
      <c r="W3" s="114"/>
      <c r="X3" s="98"/>
      <c r="Y3" s="100"/>
      <c r="Z3" s="68" t="s">
        <v>165</v>
      </c>
    </row>
    <row r="4" spans="1:26" ht="131.25" customHeight="1" x14ac:dyDescent="0.25">
      <c r="A4" s="164" t="s">
        <v>201</v>
      </c>
      <c r="B4" s="83" t="s">
        <v>190</v>
      </c>
      <c r="C4" s="25" t="s">
        <v>134</v>
      </c>
      <c r="D4" s="78" t="s">
        <v>186</v>
      </c>
      <c r="E4" s="90">
        <v>40</v>
      </c>
      <c r="F4" s="26" t="s">
        <v>65</v>
      </c>
      <c r="G4" s="26">
        <v>1</v>
      </c>
      <c r="H4" s="25" t="s">
        <v>65</v>
      </c>
      <c r="I4" s="25">
        <v>133</v>
      </c>
      <c r="J4" s="25" t="s">
        <v>66</v>
      </c>
      <c r="K4" s="8" t="s">
        <v>78</v>
      </c>
      <c r="L4" s="8" t="s">
        <v>80</v>
      </c>
      <c r="M4" s="8" t="s">
        <v>26</v>
      </c>
      <c r="N4" s="8" t="s">
        <v>19</v>
      </c>
      <c r="O4" s="25" t="s">
        <v>66</v>
      </c>
      <c r="P4" s="8" t="s">
        <v>8</v>
      </c>
      <c r="Q4" s="8" t="s">
        <v>136</v>
      </c>
      <c r="R4" s="82" t="s">
        <v>196</v>
      </c>
      <c r="S4" s="9" t="s">
        <v>31</v>
      </c>
      <c r="T4" s="20" t="s">
        <v>35</v>
      </c>
      <c r="U4" s="41">
        <f>((U2*((E4/60)*1)))</f>
        <v>800</v>
      </c>
      <c r="V4" s="41">
        <f>(U4*V2%)+U4</f>
        <v>1200</v>
      </c>
      <c r="W4" s="63">
        <f>V4*I4</f>
        <v>159600</v>
      </c>
      <c r="X4" s="73" t="s">
        <v>193</v>
      </c>
      <c r="Y4" s="53">
        <v>80</v>
      </c>
      <c r="Z4" s="34">
        <f>Y4*Z2</f>
        <v>96000</v>
      </c>
    </row>
    <row r="5" spans="1:26" ht="96.75" customHeight="1" x14ac:dyDescent="0.25">
      <c r="A5" s="165"/>
      <c r="B5" s="84" t="s">
        <v>191</v>
      </c>
      <c r="C5" s="167" t="s">
        <v>225</v>
      </c>
      <c r="D5" s="77" t="s">
        <v>187</v>
      </c>
      <c r="E5" s="89">
        <f>5*60</f>
        <v>300</v>
      </c>
      <c r="F5" s="28" t="s">
        <v>65</v>
      </c>
      <c r="G5" s="28">
        <v>20</v>
      </c>
      <c r="H5" s="27" t="s">
        <v>65</v>
      </c>
      <c r="I5" s="27">
        <v>30</v>
      </c>
      <c r="J5" s="27" t="s">
        <v>66</v>
      </c>
      <c r="K5" s="27" t="s">
        <v>137</v>
      </c>
      <c r="L5" s="27" t="s">
        <v>82</v>
      </c>
      <c r="M5" s="54" t="s">
        <v>26</v>
      </c>
      <c r="N5" s="54" t="s">
        <v>18</v>
      </c>
      <c r="O5" s="27" t="s">
        <v>66</v>
      </c>
      <c r="P5" s="27" t="s">
        <v>8</v>
      </c>
      <c r="Q5" s="27" t="s">
        <v>9</v>
      </c>
      <c r="R5" s="28" t="s">
        <v>5</v>
      </c>
      <c r="S5" s="28" t="s">
        <v>31</v>
      </c>
      <c r="T5" s="81" t="s">
        <v>87</v>
      </c>
      <c r="U5" s="43">
        <f>(((U2*5)*((E5/60)*1)))</f>
        <v>30000</v>
      </c>
      <c r="V5" s="43">
        <f>(U5*V2%)+U5</f>
        <v>45000</v>
      </c>
      <c r="W5" s="64">
        <f>V5*I5</f>
        <v>1350000</v>
      </c>
      <c r="X5" s="70" t="s">
        <v>194</v>
      </c>
      <c r="Y5" s="54">
        <f>4*8</f>
        <v>32</v>
      </c>
      <c r="Z5" s="35">
        <f>Y5*Z2</f>
        <v>38400</v>
      </c>
    </row>
    <row r="6" spans="1:26" ht="125.25" customHeight="1" thickBot="1" x14ac:dyDescent="0.3">
      <c r="A6" s="165"/>
      <c r="B6" s="85" t="s">
        <v>192</v>
      </c>
      <c r="C6" s="79" t="s">
        <v>188</v>
      </c>
      <c r="D6" s="79" t="s">
        <v>189</v>
      </c>
      <c r="E6" s="88">
        <v>30</v>
      </c>
      <c r="F6" s="80" t="s">
        <v>65</v>
      </c>
      <c r="G6" s="80">
        <v>5</v>
      </c>
      <c r="H6" s="29" t="s">
        <v>65</v>
      </c>
      <c r="I6" s="29">
        <v>110</v>
      </c>
      <c r="J6" s="29" t="s">
        <v>66</v>
      </c>
      <c r="K6" s="4" t="s">
        <v>78</v>
      </c>
      <c r="L6" s="4" t="s">
        <v>80</v>
      </c>
      <c r="M6" s="4" t="s">
        <v>26</v>
      </c>
      <c r="N6" s="4" t="s">
        <v>19</v>
      </c>
      <c r="O6" s="29" t="s">
        <v>66</v>
      </c>
      <c r="P6" s="4" t="s">
        <v>8</v>
      </c>
      <c r="Q6" s="4" t="s">
        <v>136</v>
      </c>
      <c r="R6" s="80" t="s">
        <v>135</v>
      </c>
      <c r="S6" s="6" t="s">
        <v>31</v>
      </c>
      <c r="T6" s="30" t="s">
        <v>35</v>
      </c>
      <c r="U6" s="42">
        <f>((U2*((E6/60)*1)))</f>
        <v>600</v>
      </c>
      <c r="V6" s="43">
        <f>(U6*V2%)+U6</f>
        <v>900</v>
      </c>
      <c r="W6" s="64">
        <f>V6*I6</f>
        <v>99000</v>
      </c>
      <c r="X6" s="69" t="s">
        <v>195</v>
      </c>
      <c r="Y6" s="4">
        <f>10*8</f>
        <v>80</v>
      </c>
      <c r="Z6" s="38">
        <f>Y6*Z2</f>
        <v>96000</v>
      </c>
    </row>
    <row r="7" spans="1:26" ht="113.25" customHeight="1" x14ac:dyDescent="0.25">
      <c r="A7" s="162" t="s">
        <v>138</v>
      </c>
      <c r="B7" s="7" t="s">
        <v>202</v>
      </c>
      <c r="C7" s="8" t="s">
        <v>104</v>
      </c>
      <c r="D7" s="8" t="s">
        <v>105</v>
      </c>
      <c r="E7" s="9">
        <v>20</v>
      </c>
      <c r="F7" s="9" t="s">
        <v>4</v>
      </c>
      <c r="G7" s="87">
        <v>10</v>
      </c>
      <c r="H7" s="8" t="s">
        <v>4</v>
      </c>
      <c r="I7" s="8">
        <v>50</v>
      </c>
      <c r="J7" s="8" t="s">
        <v>108</v>
      </c>
      <c r="K7" s="8" t="s">
        <v>78</v>
      </c>
      <c r="L7" s="8" t="s">
        <v>80</v>
      </c>
      <c r="M7" s="8" t="s">
        <v>19</v>
      </c>
      <c r="N7" s="8" t="s">
        <v>26</v>
      </c>
      <c r="O7" s="8" t="s">
        <v>6</v>
      </c>
      <c r="P7" s="8" t="s">
        <v>8</v>
      </c>
      <c r="Q7" s="8" t="s">
        <v>7</v>
      </c>
      <c r="R7" s="8" t="s">
        <v>116</v>
      </c>
      <c r="S7" s="9" t="s">
        <v>31</v>
      </c>
      <c r="T7" s="20" t="s">
        <v>35</v>
      </c>
      <c r="U7" s="41">
        <f>((U2*((G7/60)*1)))</f>
        <v>200</v>
      </c>
      <c r="V7" s="41">
        <f>(U7*V2%)+U7</f>
        <v>300</v>
      </c>
      <c r="W7" s="63">
        <f t="shared" ref="W7" si="0">V7*I7</f>
        <v>15000</v>
      </c>
      <c r="X7" s="73" t="s">
        <v>199</v>
      </c>
      <c r="Y7" s="53">
        <v>16</v>
      </c>
      <c r="Z7" s="34">
        <f>Y7*Z2</f>
        <v>19200</v>
      </c>
    </row>
    <row r="8" spans="1:26" ht="100.5" customHeight="1" thickBot="1" x14ac:dyDescent="0.3">
      <c r="A8" s="163"/>
      <c r="B8" s="5" t="s">
        <v>200</v>
      </c>
      <c r="C8" s="4" t="s">
        <v>13</v>
      </c>
      <c r="D8" s="2" t="s">
        <v>32</v>
      </c>
      <c r="E8" s="86">
        <v>20</v>
      </c>
      <c r="F8" s="3" t="s">
        <v>4</v>
      </c>
      <c r="G8" s="3">
        <v>5</v>
      </c>
      <c r="H8" s="2" t="s">
        <v>4</v>
      </c>
      <c r="I8" s="2">
        <f>I7</f>
        <v>50</v>
      </c>
      <c r="J8" s="4" t="s">
        <v>108</v>
      </c>
      <c r="K8" s="2" t="s">
        <v>78</v>
      </c>
      <c r="L8" s="2" t="s">
        <v>80</v>
      </c>
      <c r="M8" s="2" t="s">
        <v>144</v>
      </c>
      <c r="N8" s="2" t="s">
        <v>26</v>
      </c>
      <c r="O8" s="2" t="s">
        <v>6</v>
      </c>
      <c r="P8" s="2" t="s">
        <v>8</v>
      </c>
      <c r="Q8" s="2" t="s">
        <v>7</v>
      </c>
      <c r="R8" s="2" t="s">
        <v>117</v>
      </c>
      <c r="S8" s="3" t="s">
        <v>30</v>
      </c>
      <c r="T8" s="31" t="s">
        <v>35</v>
      </c>
      <c r="U8" s="43">
        <f>((U2*((E8/60)*1)))</f>
        <v>400</v>
      </c>
      <c r="V8" s="43">
        <f>(U8*V2%)+U8</f>
        <v>600</v>
      </c>
      <c r="W8" s="64">
        <f t="shared" ref="W8:W32" si="1">V8*I8</f>
        <v>30000</v>
      </c>
      <c r="X8" s="70" t="s">
        <v>164</v>
      </c>
      <c r="Y8" s="54">
        <f>9*8</f>
        <v>72</v>
      </c>
      <c r="Z8" s="35">
        <f>Y8*Z2</f>
        <v>86400</v>
      </c>
    </row>
    <row r="9" spans="1:26" ht="81.75" customHeight="1" x14ac:dyDescent="0.25">
      <c r="A9" s="162" t="s">
        <v>206</v>
      </c>
      <c r="B9" s="7" t="s">
        <v>22</v>
      </c>
      <c r="C9" s="53" t="s">
        <v>15</v>
      </c>
      <c r="D9" s="53" t="s">
        <v>16</v>
      </c>
      <c r="E9" s="9">
        <v>15</v>
      </c>
      <c r="F9" s="9" t="s">
        <v>25</v>
      </c>
      <c r="G9" s="87">
        <v>5</v>
      </c>
      <c r="H9" s="53" t="s">
        <v>4</v>
      </c>
      <c r="I9" s="53">
        <v>60</v>
      </c>
      <c r="J9" s="53" t="s">
        <v>114</v>
      </c>
      <c r="K9" s="53" t="s">
        <v>78</v>
      </c>
      <c r="L9" s="53" t="s">
        <v>80</v>
      </c>
      <c r="M9" s="53" t="s">
        <v>18</v>
      </c>
      <c r="N9" s="53" t="s">
        <v>113</v>
      </c>
      <c r="O9" s="53" t="s">
        <v>28</v>
      </c>
      <c r="P9" s="53" t="s">
        <v>8</v>
      </c>
      <c r="Q9" s="53" t="s">
        <v>9</v>
      </c>
      <c r="R9" s="53" t="s">
        <v>118</v>
      </c>
      <c r="S9" s="9" t="s">
        <v>30</v>
      </c>
      <c r="T9" s="20" t="s">
        <v>35</v>
      </c>
      <c r="U9" s="41">
        <f>((U2*((G9/60)*1)))</f>
        <v>100</v>
      </c>
      <c r="V9" s="41">
        <f>(U9*V2%)+U9</f>
        <v>150</v>
      </c>
      <c r="W9" s="63">
        <f t="shared" si="1"/>
        <v>9000</v>
      </c>
      <c r="X9" s="73" t="s">
        <v>166</v>
      </c>
      <c r="Y9" s="53">
        <f>3*8</f>
        <v>24</v>
      </c>
      <c r="Z9" s="34">
        <f>Y9*Z2</f>
        <v>28800</v>
      </c>
    </row>
    <row r="10" spans="1:26" ht="75" x14ac:dyDescent="0.25">
      <c r="A10" s="163"/>
      <c r="B10" s="5" t="s">
        <v>23</v>
      </c>
      <c r="C10" s="54" t="s">
        <v>21</v>
      </c>
      <c r="D10" s="54" t="s">
        <v>33</v>
      </c>
      <c r="E10" s="3">
        <v>2</v>
      </c>
      <c r="F10" s="6" t="s">
        <v>25</v>
      </c>
      <c r="G10" s="3">
        <v>1</v>
      </c>
      <c r="H10" s="54" t="s">
        <v>25</v>
      </c>
      <c r="I10" s="54">
        <f>I9</f>
        <v>60</v>
      </c>
      <c r="J10" s="54" t="s">
        <v>114</v>
      </c>
      <c r="K10" s="54" t="s">
        <v>78</v>
      </c>
      <c r="L10" s="54" t="s">
        <v>80</v>
      </c>
      <c r="M10" s="54" t="s">
        <v>29</v>
      </c>
      <c r="N10" s="54" t="s">
        <v>115</v>
      </c>
      <c r="O10" s="54" t="s">
        <v>27</v>
      </c>
      <c r="P10" s="54" t="s">
        <v>24</v>
      </c>
      <c r="Q10" s="4" t="s">
        <v>9</v>
      </c>
      <c r="R10" s="54" t="s">
        <v>49</v>
      </c>
      <c r="S10" s="54" t="s">
        <v>123</v>
      </c>
      <c r="T10" s="51" t="s">
        <v>35</v>
      </c>
      <c r="U10" s="43">
        <v>0</v>
      </c>
      <c r="V10" s="43">
        <v>0</v>
      </c>
      <c r="W10" s="64">
        <v>0</v>
      </c>
      <c r="X10" s="70" t="s">
        <v>167</v>
      </c>
      <c r="Y10" s="4">
        <f>2*8</f>
        <v>16</v>
      </c>
      <c r="Z10" s="38">
        <f>Y10*Z2</f>
        <v>19200</v>
      </c>
    </row>
    <row r="11" spans="1:26" ht="123.75" customHeight="1" x14ac:dyDescent="0.25">
      <c r="A11" s="163"/>
      <c r="B11" s="5" t="s">
        <v>214</v>
      </c>
      <c r="C11" s="54" t="s">
        <v>50</v>
      </c>
      <c r="D11" s="54" t="s">
        <v>119</v>
      </c>
      <c r="E11" s="3">
        <v>20</v>
      </c>
      <c r="F11" s="3" t="s">
        <v>34</v>
      </c>
      <c r="G11" s="86">
        <v>15</v>
      </c>
      <c r="H11" s="54" t="s">
        <v>34</v>
      </c>
      <c r="I11" s="4">
        <f>I9</f>
        <v>60</v>
      </c>
      <c r="J11" s="4" t="s">
        <v>114</v>
      </c>
      <c r="K11" s="4" t="s">
        <v>78</v>
      </c>
      <c r="L11" s="4" t="s">
        <v>80</v>
      </c>
      <c r="M11" s="54" t="s">
        <v>120</v>
      </c>
      <c r="N11" s="54" t="s">
        <v>115</v>
      </c>
      <c r="O11" s="54" t="s">
        <v>121</v>
      </c>
      <c r="P11" s="54" t="s">
        <v>24</v>
      </c>
      <c r="Q11" s="4" t="s">
        <v>9</v>
      </c>
      <c r="R11" s="54" t="s">
        <v>122</v>
      </c>
      <c r="S11" s="54" t="s">
        <v>123</v>
      </c>
      <c r="T11" s="51" t="s">
        <v>36</v>
      </c>
      <c r="U11" s="43">
        <f>((U2*((G11/60)*1)))</f>
        <v>300</v>
      </c>
      <c r="V11" s="43">
        <f>(U11*V2%)+U11</f>
        <v>450</v>
      </c>
      <c r="W11" s="64">
        <f t="shared" si="1"/>
        <v>27000</v>
      </c>
      <c r="X11" s="70" t="s">
        <v>168</v>
      </c>
      <c r="Y11" s="4">
        <f>10*8</f>
        <v>80</v>
      </c>
      <c r="Z11" s="38">
        <f>Y11*Z2</f>
        <v>96000</v>
      </c>
    </row>
    <row r="12" spans="1:26" ht="138" customHeight="1" x14ac:dyDescent="0.25">
      <c r="A12" s="163"/>
      <c r="B12" s="5" t="s">
        <v>215</v>
      </c>
      <c r="C12" s="54" t="s">
        <v>37</v>
      </c>
      <c r="D12" s="54" t="s">
        <v>124</v>
      </c>
      <c r="E12" s="3">
        <v>240</v>
      </c>
      <c r="F12" s="3" t="s">
        <v>34</v>
      </c>
      <c r="G12" s="86">
        <v>30</v>
      </c>
      <c r="H12" s="54" t="s">
        <v>34</v>
      </c>
      <c r="I12" s="4">
        <f>I9</f>
        <v>60</v>
      </c>
      <c r="J12" s="4" t="s">
        <v>114</v>
      </c>
      <c r="K12" s="4" t="s">
        <v>78</v>
      </c>
      <c r="L12" s="4" t="s">
        <v>80</v>
      </c>
      <c r="M12" s="54" t="s">
        <v>125</v>
      </c>
      <c r="N12" s="54" t="s">
        <v>26</v>
      </c>
      <c r="O12" s="54" t="s">
        <v>121</v>
      </c>
      <c r="P12" s="54" t="s">
        <v>24</v>
      </c>
      <c r="Q12" s="4" t="s">
        <v>9</v>
      </c>
      <c r="R12" s="54" t="s">
        <v>126</v>
      </c>
      <c r="S12" s="54" t="s">
        <v>123</v>
      </c>
      <c r="T12" s="51" t="s">
        <v>36</v>
      </c>
      <c r="U12" s="43">
        <f>((U2*((G12/60)*1)))</f>
        <v>600</v>
      </c>
      <c r="V12" s="43">
        <f>(U12*V2%)+U12</f>
        <v>900</v>
      </c>
      <c r="W12" s="64">
        <f t="shared" si="1"/>
        <v>54000</v>
      </c>
      <c r="X12" s="70" t="s">
        <v>174</v>
      </c>
      <c r="Y12" s="4">
        <f>10*8</f>
        <v>80</v>
      </c>
      <c r="Z12" s="38">
        <f>Y12*Z2</f>
        <v>96000</v>
      </c>
    </row>
    <row r="13" spans="1:26" ht="75" x14ac:dyDescent="0.25">
      <c r="A13" s="163"/>
      <c r="B13" s="5" t="s">
        <v>216</v>
      </c>
      <c r="C13" s="54" t="s">
        <v>1</v>
      </c>
      <c r="D13" s="54" t="s">
        <v>38</v>
      </c>
      <c r="E13" s="3">
        <v>45</v>
      </c>
      <c r="F13" s="3" t="s">
        <v>34</v>
      </c>
      <c r="G13" s="86">
        <v>45</v>
      </c>
      <c r="H13" s="54" t="s">
        <v>34</v>
      </c>
      <c r="I13" s="4">
        <f>I9</f>
        <v>60</v>
      </c>
      <c r="J13" s="4" t="s">
        <v>114</v>
      </c>
      <c r="K13" s="4" t="s">
        <v>78</v>
      </c>
      <c r="L13" s="4" t="s">
        <v>80</v>
      </c>
      <c r="M13" s="54" t="s">
        <v>39</v>
      </c>
      <c r="N13" s="54" t="s">
        <v>26</v>
      </c>
      <c r="O13" s="54" t="s">
        <v>121</v>
      </c>
      <c r="P13" s="54" t="s">
        <v>24</v>
      </c>
      <c r="Q13" s="4" t="s">
        <v>9</v>
      </c>
      <c r="R13" s="54" t="s">
        <v>40</v>
      </c>
      <c r="S13" s="54" t="s">
        <v>123</v>
      </c>
      <c r="T13" s="51" t="s">
        <v>36</v>
      </c>
      <c r="U13" s="43">
        <f>((U2*((G13/60)*1)))</f>
        <v>900</v>
      </c>
      <c r="V13" s="43">
        <f>(U13*V2%)+U13</f>
        <v>1350</v>
      </c>
      <c r="W13" s="64">
        <f t="shared" si="1"/>
        <v>81000</v>
      </c>
      <c r="X13" s="70" t="s">
        <v>175</v>
      </c>
      <c r="Y13" s="4">
        <f>5*8</f>
        <v>40</v>
      </c>
      <c r="Z13" s="38">
        <f>Y13*Z2</f>
        <v>48000</v>
      </c>
    </row>
    <row r="14" spans="1:26" ht="80.25" customHeight="1" thickBot="1" x14ac:dyDescent="0.3">
      <c r="A14" s="166"/>
      <c r="B14" s="10" t="s">
        <v>217</v>
      </c>
      <c r="C14" s="11" t="s">
        <v>2</v>
      </c>
      <c r="D14" s="11" t="s">
        <v>41</v>
      </c>
      <c r="E14" s="12">
        <v>20</v>
      </c>
      <c r="F14" s="12" t="s">
        <v>34</v>
      </c>
      <c r="G14" s="91">
        <v>10</v>
      </c>
      <c r="H14" s="11" t="s">
        <v>34</v>
      </c>
      <c r="I14" s="57">
        <f>I9</f>
        <v>60</v>
      </c>
      <c r="J14" s="57" t="s">
        <v>114</v>
      </c>
      <c r="K14" s="57" t="s">
        <v>78</v>
      </c>
      <c r="L14" s="57" t="s">
        <v>80</v>
      </c>
      <c r="M14" s="11" t="s">
        <v>39</v>
      </c>
      <c r="N14" s="11" t="s">
        <v>26</v>
      </c>
      <c r="O14" s="11" t="s">
        <v>121</v>
      </c>
      <c r="P14" s="11" t="s">
        <v>24</v>
      </c>
      <c r="Q14" s="57" t="s">
        <v>9</v>
      </c>
      <c r="R14" s="13" t="s">
        <v>42</v>
      </c>
      <c r="S14" s="11" t="s">
        <v>123</v>
      </c>
      <c r="T14" s="56" t="s">
        <v>43</v>
      </c>
      <c r="U14" s="47">
        <f>((U2*((G14/60)*1)))</f>
        <v>200</v>
      </c>
      <c r="V14" s="47">
        <f>(U14*V2%)+U14</f>
        <v>300</v>
      </c>
      <c r="W14" s="66">
        <f t="shared" si="1"/>
        <v>18000</v>
      </c>
      <c r="X14" s="72" t="s">
        <v>169</v>
      </c>
      <c r="Y14" s="57">
        <f>5*8</f>
        <v>40</v>
      </c>
      <c r="Z14" s="48">
        <f>Y14*Z2</f>
        <v>48000</v>
      </c>
    </row>
    <row r="15" spans="1:26" ht="75" x14ac:dyDescent="0.25">
      <c r="A15" s="162" t="s">
        <v>139</v>
      </c>
      <c r="B15" s="7" t="s">
        <v>44</v>
      </c>
      <c r="C15" s="53" t="s">
        <v>15</v>
      </c>
      <c r="D15" s="53" t="s">
        <v>16</v>
      </c>
      <c r="E15" s="9">
        <v>15</v>
      </c>
      <c r="F15" s="9" t="s">
        <v>25</v>
      </c>
      <c r="G15" s="9">
        <v>5</v>
      </c>
      <c r="H15" s="53" t="s">
        <v>4</v>
      </c>
      <c r="I15" s="53">
        <v>60</v>
      </c>
      <c r="J15" s="53" t="s">
        <v>114</v>
      </c>
      <c r="K15" s="53" t="s">
        <v>78</v>
      </c>
      <c r="L15" s="53" t="s">
        <v>80</v>
      </c>
      <c r="M15" s="53" t="s">
        <v>18</v>
      </c>
      <c r="N15" s="53" t="s">
        <v>127</v>
      </c>
      <c r="O15" s="53" t="s">
        <v>28</v>
      </c>
      <c r="P15" s="53" t="s">
        <v>18</v>
      </c>
      <c r="Q15" s="53" t="s">
        <v>9</v>
      </c>
      <c r="R15" s="53" t="s">
        <v>118</v>
      </c>
      <c r="S15" s="9" t="s">
        <v>30</v>
      </c>
      <c r="T15" s="20" t="s">
        <v>35</v>
      </c>
      <c r="U15" s="41">
        <v>0</v>
      </c>
      <c r="V15" s="41">
        <v>0</v>
      </c>
      <c r="W15" s="63">
        <v>0</v>
      </c>
      <c r="X15" s="73" t="s">
        <v>170</v>
      </c>
      <c r="Y15" s="53">
        <f>1*8</f>
        <v>8</v>
      </c>
      <c r="Z15" s="34">
        <f>Y15*Z2</f>
        <v>9600</v>
      </c>
    </row>
    <row r="16" spans="1:26" ht="90" x14ac:dyDescent="0.25">
      <c r="A16" s="163"/>
      <c r="B16" s="5" t="s">
        <v>45</v>
      </c>
      <c r="C16" s="54" t="s">
        <v>21</v>
      </c>
      <c r="D16" s="54" t="s">
        <v>33</v>
      </c>
      <c r="E16" s="3">
        <v>2</v>
      </c>
      <c r="F16" s="6" t="s">
        <v>25</v>
      </c>
      <c r="G16" s="3">
        <v>1</v>
      </c>
      <c r="H16" s="54" t="s">
        <v>25</v>
      </c>
      <c r="I16" s="54">
        <f>I15</f>
        <v>60</v>
      </c>
      <c r="J16" s="54" t="s">
        <v>114</v>
      </c>
      <c r="K16" s="54" t="s">
        <v>78</v>
      </c>
      <c r="L16" s="54" t="s">
        <v>80</v>
      </c>
      <c r="M16" s="54" t="s">
        <v>46</v>
      </c>
      <c r="N16" s="54" t="s">
        <v>115</v>
      </c>
      <c r="O16" s="54" t="s">
        <v>27</v>
      </c>
      <c r="P16" s="54" t="s">
        <v>47</v>
      </c>
      <c r="Q16" s="4" t="s">
        <v>9</v>
      </c>
      <c r="R16" s="54" t="s">
        <v>48</v>
      </c>
      <c r="S16" s="54" t="s">
        <v>128</v>
      </c>
      <c r="T16" s="51" t="s">
        <v>35</v>
      </c>
      <c r="U16" s="43">
        <v>0</v>
      </c>
      <c r="V16" s="43">
        <v>0</v>
      </c>
      <c r="W16" s="64">
        <v>0</v>
      </c>
      <c r="X16" s="70" t="s">
        <v>171</v>
      </c>
      <c r="Y16" s="4">
        <f>1*8</f>
        <v>8</v>
      </c>
      <c r="Z16" s="38">
        <f>Y16*Z2</f>
        <v>9600</v>
      </c>
    </row>
    <row r="17" spans="1:26" ht="135.75" customHeight="1" x14ac:dyDescent="0.25">
      <c r="A17" s="163"/>
      <c r="B17" s="5" t="s">
        <v>207</v>
      </c>
      <c r="C17" s="54" t="s">
        <v>197</v>
      </c>
      <c r="D17" s="54" t="s">
        <v>119</v>
      </c>
      <c r="E17" s="3">
        <v>30</v>
      </c>
      <c r="F17" s="3" t="s">
        <v>34</v>
      </c>
      <c r="G17" s="86">
        <v>30</v>
      </c>
      <c r="H17" s="54" t="s">
        <v>34</v>
      </c>
      <c r="I17" s="54">
        <f>I15</f>
        <v>60</v>
      </c>
      <c r="J17" s="54" t="s">
        <v>114</v>
      </c>
      <c r="K17" s="54" t="s">
        <v>81</v>
      </c>
      <c r="L17" s="54" t="s">
        <v>82</v>
      </c>
      <c r="M17" s="54" t="s">
        <v>51</v>
      </c>
      <c r="N17" s="54" t="s">
        <v>26</v>
      </c>
      <c r="O17" s="54" t="s">
        <v>129</v>
      </c>
      <c r="P17" s="54" t="s">
        <v>47</v>
      </c>
      <c r="Q17" s="4" t="s">
        <v>59</v>
      </c>
      <c r="R17" s="54" t="s">
        <v>52</v>
      </c>
      <c r="S17" s="54" t="s">
        <v>128</v>
      </c>
      <c r="T17" s="51" t="s">
        <v>53</v>
      </c>
      <c r="U17" s="43">
        <f>((U2*((G17/60)*1)))</f>
        <v>600</v>
      </c>
      <c r="V17" s="43">
        <f>(U17*V2%)+U17</f>
        <v>900</v>
      </c>
      <c r="W17" s="64">
        <f t="shared" si="1"/>
        <v>54000</v>
      </c>
      <c r="X17" s="70" t="s">
        <v>172</v>
      </c>
      <c r="Y17" s="4">
        <f>2*8</f>
        <v>16</v>
      </c>
      <c r="Z17" s="38">
        <f>Y17*Z7</f>
        <v>307200</v>
      </c>
    </row>
    <row r="18" spans="1:26" ht="112.5" customHeight="1" x14ac:dyDescent="0.25">
      <c r="A18" s="163"/>
      <c r="B18" s="5" t="s">
        <v>208</v>
      </c>
      <c r="C18" s="54" t="s">
        <v>198</v>
      </c>
      <c r="D18" s="54" t="s">
        <v>131</v>
      </c>
      <c r="E18" s="3">
        <v>120</v>
      </c>
      <c r="F18" s="3" t="s">
        <v>34</v>
      </c>
      <c r="G18" s="86">
        <v>20</v>
      </c>
      <c r="H18" s="54" t="s">
        <v>34</v>
      </c>
      <c r="I18" s="54">
        <f>I15</f>
        <v>60</v>
      </c>
      <c r="J18" s="54" t="s">
        <v>114</v>
      </c>
      <c r="K18" s="54" t="s">
        <v>81</v>
      </c>
      <c r="L18" s="54" t="s">
        <v>82</v>
      </c>
      <c r="M18" s="54" t="s">
        <v>51</v>
      </c>
      <c r="N18" s="54" t="s">
        <v>26</v>
      </c>
      <c r="O18" s="54" t="s">
        <v>129</v>
      </c>
      <c r="P18" s="54" t="s">
        <v>47</v>
      </c>
      <c r="Q18" s="4" t="s">
        <v>59</v>
      </c>
      <c r="R18" s="54" t="s">
        <v>52</v>
      </c>
      <c r="S18" s="54" t="s">
        <v>128</v>
      </c>
      <c r="T18" s="51" t="s">
        <v>53</v>
      </c>
      <c r="U18" s="43">
        <f>((U2*((G18/60)*1)))</f>
        <v>400</v>
      </c>
      <c r="V18" s="43">
        <f>(U18*V2%)+U18</f>
        <v>600</v>
      </c>
      <c r="W18" s="64">
        <f t="shared" si="1"/>
        <v>36000</v>
      </c>
      <c r="X18" s="70" t="s">
        <v>173</v>
      </c>
      <c r="Y18" s="4">
        <f>12*8</f>
        <v>96</v>
      </c>
      <c r="Z18" s="38">
        <f>Y18*Z2</f>
        <v>115200</v>
      </c>
    </row>
    <row r="19" spans="1:26" s="24" customFormat="1" ht="126.75" customHeight="1" x14ac:dyDescent="0.25">
      <c r="A19" s="163"/>
      <c r="B19" s="23" t="s">
        <v>209</v>
      </c>
      <c r="C19" s="3" t="s">
        <v>132</v>
      </c>
      <c r="D19" s="3" t="s">
        <v>38</v>
      </c>
      <c r="E19" s="3">
        <v>90</v>
      </c>
      <c r="F19" s="3" t="s">
        <v>34</v>
      </c>
      <c r="G19" s="86">
        <v>45</v>
      </c>
      <c r="H19" s="3" t="s">
        <v>34</v>
      </c>
      <c r="I19" s="3">
        <f>I15</f>
        <v>60</v>
      </c>
      <c r="J19" s="3" t="s">
        <v>114</v>
      </c>
      <c r="K19" s="3" t="s">
        <v>81</v>
      </c>
      <c r="L19" s="3" t="s">
        <v>82</v>
      </c>
      <c r="M19" s="3" t="s">
        <v>39</v>
      </c>
      <c r="N19" s="3" t="s">
        <v>26</v>
      </c>
      <c r="O19" s="3" t="s">
        <v>129</v>
      </c>
      <c r="P19" s="3" t="s">
        <v>47</v>
      </c>
      <c r="Q19" s="6" t="s">
        <v>59</v>
      </c>
      <c r="R19" s="3" t="s">
        <v>133</v>
      </c>
      <c r="S19" s="3" t="s">
        <v>128</v>
      </c>
      <c r="T19" s="31" t="s">
        <v>53</v>
      </c>
      <c r="U19" s="42">
        <f>(((U2*3)*((G19/60)*1)))</f>
        <v>2700</v>
      </c>
      <c r="V19" s="42">
        <f>(U19*V2%)+U19</f>
        <v>4050</v>
      </c>
      <c r="W19" s="65">
        <f t="shared" si="1"/>
        <v>243000</v>
      </c>
      <c r="X19" s="70" t="s">
        <v>176</v>
      </c>
      <c r="Y19" s="3">
        <f>8*3</f>
        <v>24</v>
      </c>
      <c r="Z19" s="36">
        <f>Y19*Z2</f>
        <v>28800</v>
      </c>
    </row>
    <row r="20" spans="1:26" s="24" customFormat="1" ht="96" customHeight="1" x14ac:dyDescent="0.25">
      <c r="A20" s="163"/>
      <c r="B20" s="23" t="s">
        <v>210</v>
      </c>
      <c r="C20" s="3" t="s">
        <v>1</v>
      </c>
      <c r="D20" s="3" t="s">
        <v>55</v>
      </c>
      <c r="E20" s="3">
        <v>30</v>
      </c>
      <c r="F20" s="3" t="s">
        <v>34</v>
      </c>
      <c r="G20" s="86">
        <v>20</v>
      </c>
      <c r="H20" s="3" t="s">
        <v>34</v>
      </c>
      <c r="I20" s="3">
        <f>I19</f>
        <v>60</v>
      </c>
      <c r="J20" s="3" t="s">
        <v>114</v>
      </c>
      <c r="K20" s="3" t="s">
        <v>81</v>
      </c>
      <c r="L20" s="3" t="s">
        <v>82</v>
      </c>
      <c r="M20" s="3" t="s">
        <v>39</v>
      </c>
      <c r="N20" s="3" t="s">
        <v>26</v>
      </c>
      <c r="O20" s="3" t="s">
        <v>5</v>
      </c>
      <c r="P20" s="3" t="s">
        <v>47</v>
      </c>
      <c r="Q20" s="6" t="s">
        <v>59</v>
      </c>
      <c r="R20" s="3" t="s">
        <v>133</v>
      </c>
      <c r="S20" s="3" t="s">
        <v>128</v>
      </c>
      <c r="T20" s="31" t="s">
        <v>53</v>
      </c>
      <c r="U20" s="43">
        <f>((U2*((G20/60)*1)))</f>
        <v>400</v>
      </c>
      <c r="V20" s="43">
        <f>(U20*V2%)+U20</f>
        <v>600</v>
      </c>
      <c r="W20" s="67">
        <f>V20*I20</f>
        <v>36000</v>
      </c>
      <c r="X20" s="71" t="s">
        <v>5</v>
      </c>
      <c r="Y20" s="3">
        <v>0</v>
      </c>
      <c r="Z20" s="36">
        <v>0</v>
      </c>
    </row>
    <row r="21" spans="1:26" ht="90" x14ac:dyDescent="0.25">
      <c r="A21" s="163"/>
      <c r="B21" s="5" t="s">
        <v>211</v>
      </c>
      <c r="C21" s="54" t="s">
        <v>1</v>
      </c>
      <c r="D21" s="54" t="s">
        <v>56</v>
      </c>
      <c r="E21" s="3">
        <v>30</v>
      </c>
      <c r="F21" s="3" t="s">
        <v>34</v>
      </c>
      <c r="G21" s="86">
        <v>30</v>
      </c>
      <c r="H21" s="54" t="s">
        <v>34</v>
      </c>
      <c r="I21" s="54">
        <f>I15</f>
        <v>60</v>
      </c>
      <c r="J21" s="3" t="s">
        <v>114</v>
      </c>
      <c r="K21" s="54" t="s">
        <v>81</v>
      </c>
      <c r="L21" s="54" t="s">
        <v>82</v>
      </c>
      <c r="M21" s="54" t="s">
        <v>39</v>
      </c>
      <c r="N21" s="54" t="s">
        <v>26</v>
      </c>
      <c r="O21" s="54" t="s">
        <v>5</v>
      </c>
      <c r="P21" s="54" t="s">
        <v>47</v>
      </c>
      <c r="Q21" s="4" t="s">
        <v>59</v>
      </c>
      <c r="R21" s="3" t="s">
        <v>133</v>
      </c>
      <c r="S21" s="54" t="s">
        <v>128</v>
      </c>
      <c r="T21" s="51" t="s">
        <v>53</v>
      </c>
      <c r="U21" s="43">
        <f>((U2*((G21/60)*1)))</f>
        <v>600</v>
      </c>
      <c r="V21" s="43">
        <f>(U21*V2%)+U21</f>
        <v>900</v>
      </c>
      <c r="W21" s="64">
        <f t="shared" si="1"/>
        <v>54000</v>
      </c>
      <c r="X21" s="70" t="s">
        <v>5</v>
      </c>
      <c r="Y21" s="54">
        <v>0</v>
      </c>
      <c r="Z21" s="35">
        <v>0</v>
      </c>
    </row>
    <row r="22" spans="1:26" ht="90" x14ac:dyDescent="0.25">
      <c r="A22" s="163"/>
      <c r="B22" s="5" t="s">
        <v>212</v>
      </c>
      <c r="C22" s="54" t="s">
        <v>1</v>
      </c>
      <c r="D22" s="54" t="s">
        <v>57</v>
      </c>
      <c r="E22" s="3">
        <v>120</v>
      </c>
      <c r="F22" s="3" t="s">
        <v>34</v>
      </c>
      <c r="G22" s="86">
        <v>120</v>
      </c>
      <c r="H22" s="54" t="s">
        <v>34</v>
      </c>
      <c r="I22" s="54">
        <f>I15</f>
        <v>60</v>
      </c>
      <c r="J22" s="3" t="s">
        <v>114</v>
      </c>
      <c r="K22" s="54" t="s">
        <v>81</v>
      </c>
      <c r="L22" s="54" t="s">
        <v>82</v>
      </c>
      <c r="M22" s="54" t="s">
        <v>39</v>
      </c>
      <c r="N22" s="54" t="s">
        <v>26</v>
      </c>
      <c r="O22" s="54" t="s">
        <v>5</v>
      </c>
      <c r="P22" s="54" t="s">
        <v>18</v>
      </c>
      <c r="Q22" s="4" t="s">
        <v>9</v>
      </c>
      <c r="R22" s="54" t="s">
        <v>133</v>
      </c>
      <c r="S22" s="54" t="s">
        <v>128</v>
      </c>
      <c r="T22" s="51" t="s">
        <v>53</v>
      </c>
      <c r="U22" s="43">
        <f>((U2*((G22/60)*1)))</f>
        <v>2400</v>
      </c>
      <c r="V22" s="43">
        <f>(U22*V2%)+U22</f>
        <v>3600</v>
      </c>
      <c r="W22" s="64">
        <f t="shared" si="1"/>
        <v>216000</v>
      </c>
      <c r="X22" s="70" t="s">
        <v>5</v>
      </c>
      <c r="Y22" s="54">
        <v>0</v>
      </c>
      <c r="Z22" s="35">
        <v>0</v>
      </c>
    </row>
    <row r="23" spans="1:26" ht="90.75" thickBot="1" x14ac:dyDescent="0.3">
      <c r="A23" s="166"/>
      <c r="B23" s="10" t="s">
        <v>213</v>
      </c>
      <c r="C23" s="11" t="s">
        <v>2</v>
      </c>
      <c r="D23" s="11" t="s">
        <v>41</v>
      </c>
      <c r="E23" s="12">
        <v>10</v>
      </c>
      <c r="F23" s="12" t="s">
        <v>34</v>
      </c>
      <c r="G23" s="12">
        <v>5</v>
      </c>
      <c r="H23" s="11" t="s">
        <v>34</v>
      </c>
      <c r="I23" s="11">
        <f>I22</f>
        <v>60</v>
      </c>
      <c r="J23" s="11" t="s">
        <v>114</v>
      </c>
      <c r="K23" s="11" t="s">
        <v>81</v>
      </c>
      <c r="L23" s="11" t="s">
        <v>82</v>
      </c>
      <c r="M23" s="11" t="s">
        <v>39</v>
      </c>
      <c r="N23" s="11" t="s">
        <v>26</v>
      </c>
      <c r="O23" s="11" t="s">
        <v>5</v>
      </c>
      <c r="P23" s="11" t="s">
        <v>58</v>
      </c>
      <c r="Q23" s="57" t="s">
        <v>59</v>
      </c>
      <c r="R23" s="13" t="s">
        <v>42</v>
      </c>
      <c r="S23" s="11" t="s">
        <v>128</v>
      </c>
      <c r="T23" s="56" t="s">
        <v>60</v>
      </c>
      <c r="U23" s="47">
        <v>0</v>
      </c>
      <c r="V23" s="47">
        <f>(U23*V2%)+U23</f>
        <v>0</v>
      </c>
      <c r="W23" s="66">
        <f t="shared" si="1"/>
        <v>0</v>
      </c>
      <c r="X23" s="72" t="s">
        <v>177</v>
      </c>
      <c r="Y23" s="11">
        <f>8*2</f>
        <v>16</v>
      </c>
      <c r="Z23" s="75">
        <f>Y23*Z2</f>
        <v>19200</v>
      </c>
    </row>
    <row r="24" spans="1:26" ht="81.75" customHeight="1" x14ac:dyDescent="0.25">
      <c r="A24" s="162" t="s">
        <v>140</v>
      </c>
      <c r="B24" s="15" t="s">
        <v>70</v>
      </c>
      <c r="C24" s="53" t="s">
        <v>61</v>
      </c>
      <c r="D24" s="53" t="s">
        <v>62</v>
      </c>
      <c r="E24" s="9" t="s">
        <v>5</v>
      </c>
      <c r="F24" s="9" t="s">
        <v>5</v>
      </c>
      <c r="G24" s="9" t="s">
        <v>5</v>
      </c>
      <c r="H24" s="53" t="s">
        <v>5</v>
      </c>
      <c r="I24" s="53">
        <v>60</v>
      </c>
      <c r="J24" s="53" t="s">
        <v>114</v>
      </c>
      <c r="K24" s="53" t="s">
        <v>81</v>
      </c>
      <c r="L24" s="53" t="s">
        <v>82</v>
      </c>
      <c r="M24" s="53" t="s">
        <v>5</v>
      </c>
      <c r="N24" s="53" t="s">
        <v>5</v>
      </c>
      <c r="O24" s="53" t="s">
        <v>63</v>
      </c>
      <c r="P24" s="53" t="s">
        <v>5</v>
      </c>
      <c r="Q24" s="53" t="s">
        <v>5</v>
      </c>
      <c r="R24" s="53" t="s">
        <v>5</v>
      </c>
      <c r="S24" s="53" t="s">
        <v>5</v>
      </c>
      <c r="T24" s="50" t="s">
        <v>5</v>
      </c>
      <c r="U24" s="41" t="s">
        <v>5</v>
      </c>
      <c r="V24" s="41" t="s">
        <v>5</v>
      </c>
      <c r="W24" s="63" t="s">
        <v>5</v>
      </c>
      <c r="X24" s="73" t="s">
        <v>5</v>
      </c>
      <c r="Y24" s="53">
        <v>0</v>
      </c>
      <c r="Z24" s="34">
        <v>0</v>
      </c>
    </row>
    <row r="25" spans="1:26" ht="75" x14ac:dyDescent="0.25">
      <c r="A25" s="163"/>
      <c r="B25" s="5" t="s">
        <v>71</v>
      </c>
      <c r="C25" s="4" t="s">
        <v>224</v>
      </c>
      <c r="D25" s="54" t="s">
        <v>64</v>
      </c>
      <c r="E25" s="3">
        <f>60*48</f>
        <v>2880</v>
      </c>
      <c r="F25" s="3" t="s">
        <v>65</v>
      </c>
      <c r="G25" s="86">
        <v>20</v>
      </c>
      <c r="H25" s="54" t="s">
        <v>65</v>
      </c>
      <c r="I25" s="4">
        <f>I24</f>
        <v>60</v>
      </c>
      <c r="J25" s="4" t="s">
        <v>114</v>
      </c>
      <c r="K25" s="4" t="s">
        <v>78</v>
      </c>
      <c r="L25" s="4" t="s">
        <v>80</v>
      </c>
      <c r="M25" s="54" t="s">
        <v>39</v>
      </c>
      <c r="N25" s="54" t="s">
        <v>26</v>
      </c>
      <c r="O25" s="54" t="s">
        <v>67</v>
      </c>
      <c r="P25" s="54" t="s">
        <v>18</v>
      </c>
      <c r="Q25" s="4" t="s">
        <v>9</v>
      </c>
      <c r="R25" s="54" t="s">
        <v>68</v>
      </c>
      <c r="S25" s="3" t="s">
        <v>30</v>
      </c>
      <c r="T25" s="51" t="s">
        <v>69</v>
      </c>
      <c r="U25" s="43">
        <f>((U2*((G25/60)*1)))</f>
        <v>400</v>
      </c>
      <c r="V25" s="43">
        <f>(U25*V2%)+U25</f>
        <v>600</v>
      </c>
      <c r="W25" s="64">
        <f t="shared" si="1"/>
        <v>36000</v>
      </c>
      <c r="X25" s="70" t="s">
        <v>178</v>
      </c>
      <c r="Y25" s="54">
        <f>5*8</f>
        <v>40</v>
      </c>
      <c r="Z25" s="35">
        <f>Y25*Z2</f>
        <v>48000</v>
      </c>
    </row>
    <row r="26" spans="1:26" ht="93.75" customHeight="1" thickBot="1" x14ac:dyDescent="0.3">
      <c r="A26" s="166"/>
      <c r="B26" s="16" t="s">
        <v>72</v>
      </c>
      <c r="C26" s="57" t="s">
        <v>224</v>
      </c>
      <c r="D26" s="11" t="s">
        <v>73</v>
      </c>
      <c r="E26" s="12">
        <f>60*24</f>
        <v>1440</v>
      </c>
      <c r="F26" s="12" t="s">
        <v>65</v>
      </c>
      <c r="G26" s="91">
        <v>60</v>
      </c>
      <c r="H26" s="11" t="s">
        <v>65</v>
      </c>
      <c r="I26" s="57">
        <f>I24</f>
        <v>60</v>
      </c>
      <c r="J26" s="57" t="s">
        <v>114</v>
      </c>
      <c r="K26" s="57" t="s">
        <v>78</v>
      </c>
      <c r="L26" s="57" t="s">
        <v>80</v>
      </c>
      <c r="M26" s="11" t="s">
        <v>39</v>
      </c>
      <c r="N26" s="11" t="s">
        <v>26</v>
      </c>
      <c r="O26" s="11" t="s">
        <v>66</v>
      </c>
      <c r="P26" s="11" t="s">
        <v>18</v>
      </c>
      <c r="Q26" s="57" t="s">
        <v>9</v>
      </c>
      <c r="R26" s="11" t="s">
        <v>145</v>
      </c>
      <c r="S26" s="12" t="s">
        <v>30</v>
      </c>
      <c r="T26" s="56" t="s">
        <v>69</v>
      </c>
      <c r="U26" s="47">
        <f>((U2*((G26/60)*1)))</f>
        <v>1200</v>
      </c>
      <c r="V26" s="47">
        <f>(U26*V2%)+U26</f>
        <v>1800</v>
      </c>
      <c r="W26" s="66">
        <f t="shared" si="1"/>
        <v>108000</v>
      </c>
      <c r="X26" s="72" t="s">
        <v>179</v>
      </c>
      <c r="Y26" s="11">
        <f>10*8</f>
        <v>80</v>
      </c>
      <c r="Z26" s="75">
        <f>Y26*Z2</f>
        <v>96000</v>
      </c>
    </row>
    <row r="27" spans="1:26" ht="90" x14ac:dyDescent="0.25">
      <c r="A27" s="162" t="s">
        <v>141</v>
      </c>
      <c r="B27" s="7" t="s">
        <v>203</v>
      </c>
      <c r="C27" s="53" t="s">
        <v>74</v>
      </c>
      <c r="D27" s="53" t="s">
        <v>83</v>
      </c>
      <c r="E27" s="87">
        <v>120</v>
      </c>
      <c r="F27" s="9" t="s">
        <v>65</v>
      </c>
      <c r="G27" s="9">
        <v>20</v>
      </c>
      <c r="H27" s="53" t="s">
        <v>65</v>
      </c>
      <c r="I27" s="53">
        <v>25</v>
      </c>
      <c r="J27" s="53" t="s">
        <v>114</v>
      </c>
      <c r="K27" s="53" t="s">
        <v>78</v>
      </c>
      <c r="L27" s="53" t="s">
        <v>80</v>
      </c>
      <c r="M27" s="53" t="s">
        <v>26</v>
      </c>
      <c r="N27" s="53" t="s">
        <v>18</v>
      </c>
      <c r="O27" s="53" t="s">
        <v>66</v>
      </c>
      <c r="P27" s="53" t="s">
        <v>8</v>
      </c>
      <c r="Q27" s="53" t="s">
        <v>9</v>
      </c>
      <c r="R27" s="53" t="s">
        <v>75</v>
      </c>
      <c r="S27" s="9" t="s">
        <v>30</v>
      </c>
      <c r="T27" s="50" t="s">
        <v>69</v>
      </c>
      <c r="U27" s="41">
        <f>((U2*((E27/60)*1)))</f>
        <v>2400</v>
      </c>
      <c r="V27" s="41">
        <f>(U27*V2%)+U27</f>
        <v>3600</v>
      </c>
      <c r="W27" s="63">
        <f t="shared" si="1"/>
        <v>90000</v>
      </c>
      <c r="X27" s="73" t="s">
        <v>180</v>
      </c>
      <c r="Y27" s="53">
        <f>8*8</f>
        <v>64</v>
      </c>
      <c r="Z27" s="34">
        <f>Y27*Z2</f>
        <v>76800</v>
      </c>
    </row>
    <row r="28" spans="1:26" ht="135.75" customHeight="1" x14ac:dyDescent="0.25">
      <c r="A28" s="163"/>
      <c r="B28" s="5" t="s">
        <v>204</v>
      </c>
      <c r="C28" s="54" t="s">
        <v>76</v>
      </c>
      <c r="D28" s="54" t="s">
        <v>84</v>
      </c>
      <c r="E28" s="6">
        <v>180</v>
      </c>
      <c r="F28" s="6" t="s">
        <v>65</v>
      </c>
      <c r="G28" s="92">
        <v>45</v>
      </c>
      <c r="H28" s="4" t="s">
        <v>65</v>
      </c>
      <c r="I28" s="4">
        <f>I27</f>
        <v>25</v>
      </c>
      <c r="J28" s="4" t="s">
        <v>114</v>
      </c>
      <c r="K28" s="54" t="s">
        <v>81</v>
      </c>
      <c r="L28" s="54" t="s">
        <v>82</v>
      </c>
      <c r="M28" s="4" t="s">
        <v>85</v>
      </c>
      <c r="N28" s="54" t="s">
        <v>26</v>
      </c>
      <c r="O28" s="54" t="s">
        <v>66</v>
      </c>
      <c r="P28" s="4" t="s">
        <v>8</v>
      </c>
      <c r="Q28" s="4" t="s">
        <v>9</v>
      </c>
      <c r="R28" s="54" t="s">
        <v>86</v>
      </c>
      <c r="S28" s="6" t="s">
        <v>30</v>
      </c>
      <c r="T28" s="51" t="s">
        <v>87</v>
      </c>
      <c r="U28" s="43">
        <f>(((U2*3)*((G28/60)*1)))</f>
        <v>2700</v>
      </c>
      <c r="V28" s="43">
        <f>(U28*V2%)+U28</f>
        <v>4050</v>
      </c>
      <c r="W28" s="64">
        <f t="shared" si="1"/>
        <v>101250</v>
      </c>
      <c r="X28" s="69" t="s">
        <v>181</v>
      </c>
      <c r="Y28" s="54">
        <f>5*8</f>
        <v>40</v>
      </c>
      <c r="Z28" s="35">
        <f>Y28*Z2</f>
        <v>48000</v>
      </c>
    </row>
    <row r="29" spans="1:26" ht="165" customHeight="1" x14ac:dyDescent="0.25">
      <c r="A29" s="163"/>
      <c r="B29" s="5" t="s">
        <v>205</v>
      </c>
      <c r="C29" s="54" t="s">
        <v>88</v>
      </c>
      <c r="D29" s="54" t="s">
        <v>84</v>
      </c>
      <c r="E29" s="6">
        <v>180</v>
      </c>
      <c r="F29" s="6" t="s">
        <v>65</v>
      </c>
      <c r="G29" s="92">
        <v>45</v>
      </c>
      <c r="H29" s="4" t="s">
        <v>65</v>
      </c>
      <c r="I29" s="4">
        <v>10</v>
      </c>
      <c r="J29" s="4" t="s">
        <v>114</v>
      </c>
      <c r="K29" s="4" t="s">
        <v>78</v>
      </c>
      <c r="L29" s="4" t="s">
        <v>80</v>
      </c>
      <c r="M29" s="54" t="s">
        <v>89</v>
      </c>
      <c r="N29" s="54" t="s">
        <v>26</v>
      </c>
      <c r="O29" s="54" t="s">
        <v>66</v>
      </c>
      <c r="P29" s="4" t="s">
        <v>8</v>
      </c>
      <c r="Q29" s="4" t="s">
        <v>9</v>
      </c>
      <c r="R29" s="54" t="s">
        <v>90</v>
      </c>
      <c r="S29" s="6" t="s">
        <v>30</v>
      </c>
      <c r="T29" s="32" t="s">
        <v>91</v>
      </c>
      <c r="U29" s="43">
        <f>((U2*((G29/60)*1)))</f>
        <v>900</v>
      </c>
      <c r="V29" s="43">
        <f>(U29*V2%)+U29</f>
        <v>1350</v>
      </c>
      <c r="W29" s="64">
        <f t="shared" si="1"/>
        <v>13500</v>
      </c>
      <c r="X29" s="69" t="s">
        <v>182</v>
      </c>
      <c r="Y29" s="54">
        <f>5*8</f>
        <v>40</v>
      </c>
      <c r="Z29" s="35">
        <f>Y29*Z2</f>
        <v>48000</v>
      </c>
    </row>
    <row r="30" spans="1:26" ht="122.25" customHeight="1" thickBot="1" x14ac:dyDescent="0.3">
      <c r="A30" s="166"/>
      <c r="B30" s="10" t="s">
        <v>92</v>
      </c>
      <c r="C30" s="11" t="s">
        <v>93</v>
      </c>
      <c r="D30" s="11" t="s">
        <v>94</v>
      </c>
      <c r="E30" s="12">
        <v>120</v>
      </c>
      <c r="F30" s="19" t="s">
        <v>65</v>
      </c>
      <c r="G30" s="93">
        <v>20</v>
      </c>
      <c r="H30" s="57" t="s">
        <v>65</v>
      </c>
      <c r="I30" s="57">
        <f>I27</f>
        <v>25</v>
      </c>
      <c r="J30" s="57" t="s">
        <v>114</v>
      </c>
      <c r="K30" s="57" t="s">
        <v>78</v>
      </c>
      <c r="L30" s="57" t="s">
        <v>80</v>
      </c>
      <c r="M30" s="11" t="s">
        <v>26</v>
      </c>
      <c r="N30" s="57" t="s">
        <v>18</v>
      </c>
      <c r="O30" s="11" t="s">
        <v>95</v>
      </c>
      <c r="P30" s="57" t="s">
        <v>8</v>
      </c>
      <c r="Q30" s="57" t="s">
        <v>9</v>
      </c>
      <c r="R30" s="11" t="s">
        <v>5</v>
      </c>
      <c r="S30" s="19" t="s">
        <v>30</v>
      </c>
      <c r="T30" s="56" t="s">
        <v>69</v>
      </c>
      <c r="U30" s="47">
        <f>((U2*((G30/60)*1)))</f>
        <v>400</v>
      </c>
      <c r="V30" s="47">
        <f>(U30*V2%)+U30</f>
        <v>600</v>
      </c>
      <c r="W30" s="66">
        <f t="shared" si="1"/>
        <v>15000</v>
      </c>
      <c r="X30" s="72" t="s">
        <v>183</v>
      </c>
      <c r="Y30" s="11">
        <f>5*8</f>
        <v>40</v>
      </c>
      <c r="Z30" s="75">
        <f>Y30*Z2</f>
        <v>48000</v>
      </c>
    </row>
    <row r="31" spans="1:26" ht="107.25" customHeight="1" x14ac:dyDescent="0.25">
      <c r="A31" s="162" t="s">
        <v>142</v>
      </c>
      <c r="B31" s="7" t="s">
        <v>96</v>
      </c>
      <c r="C31" s="53" t="s">
        <v>14</v>
      </c>
      <c r="D31" s="53" t="s">
        <v>98</v>
      </c>
      <c r="E31" s="87">
        <v>5</v>
      </c>
      <c r="F31" s="9" t="s">
        <v>100</v>
      </c>
      <c r="G31" s="9">
        <v>5</v>
      </c>
      <c r="H31" s="53" t="s">
        <v>101</v>
      </c>
      <c r="I31" s="53">
        <v>120</v>
      </c>
      <c r="J31" s="53" t="s">
        <v>146</v>
      </c>
      <c r="K31" s="53" t="s">
        <v>78</v>
      </c>
      <c r="L31" s="53" t="s">
        <v>80</v>
      </c>
      <c r="M31" s="53" t="s">
        <v>26</v>
      </c>
      <c r="N31" s="53" t="s">
        <v>102</v>
      </c>
      <c r="O31" s="53" t="s">
        <v>103</v>
      </c>
      <c r="P31" s="53" t="s">
        <v>8</v>
      </c>
      <c r="Q31" s="53" t="s">
        <v>9</v>
      </c>
      <c r="R31" s="53" t="s">
        <v>5</v>
      </c>
      <c r="S31" s="20" t="s">
        <v>30</v>
      </c>
      <c r="T31" s="50" t="s">
        <v>69</v>
      </c>
      <c r="U31" s="41">
        <f>((U2*((E31/60)*1)))</f>
        <v>100</v>
      </c>
      <c r="V31" s="41">
        <f>(U31*V2%)+U31</f>
        <v>150</v>
      </c>
      <c r="W31" s="63">
        <f>V31*I31</f>
        <v>18000</v>
      </c>
      <c r="X31" s="73" t="s">
        <v>184</v>
      </c>
      <c r="Y31" s="53">
        <f>7*8</f>
        <v>56</v>
      </c>
      <c r="Z31" s="34">
        <f>Y31*Z2</f>
        <v>67200</v>
      </c>
    </row>
    <row r="32" spans="1:26" ht="87.75" customHeight="1" thickBot="1" x14ac:dyDescent="0.3">
      <c r="A32" s="166"/>
      <c r="B32" s="10" t="s">
        <v>97</v>
      </c>
      <c r="C32" s="57" t="s">
        <v>14</v>
      </c>
      <c r="D32" s="11" t="s">
        <v>99</v>
      </c>
      <c r="E32" s="93">
        <v>5</v>
      </c>
      <c r="F32" s="19" t="s">
        <v>100</v>
      </c>
      <c r="G32" s="19">
        <v>5</v>
      </c>
      <c r="H32" s="57" t="s">
        <v>101</v>
      </c>
      <c r="I32" s="57">
        <v>120</v>
      </c>
      <c r="J32" s="57" t="s">
        <v>146</v>
      </c>
      <c r="K32" s="57" t="s">
        <v>78</v>
      </c>
      <c r="L32" s="57" t="s">
        <v>80</v>
      </c>
      <c r="M32" s="57" t="s">
        <v>26</v>
      </c>
      <c r="N32" s="57" t="s">
        <v>102</v>
      </c>
      <c r="O32" s="57" t="s">
        <v>103</v>
      </c>
      <c r="P32" s="57" t="s">
        <v>8</v>
      </c>
      <c r="Q32" s="57" t="s">
        <v>9</v>
      </c>
      <c r="R32" s="11" t="s">
        <v>5</v>
      </c>
      <c r="S32" s="21" t="s">
        <v>30</v>
      </c>
      <c r="T32" s="33" t="s">
        <v>69</v>
      </c>
      <c r="U32" s="47">
        <f>((U2*((E32/60)*1)))</f>
        <v>100</v>
      </c>
      <c r="V32" s="47">
        <f>(U32*V2%)+U32</f>
        <v>150</v>
      </c>
      <c r="W32" s="66">
        <f t="shared" si="1"/>
        <v>18000</v>
      </c>
      <c r="X32" s="58" t="s">
        <v>184</v>
      </c>
      <c r="Y32" s="57">
        <f>5*8</f>
        <v>40</v>
      </c>
      <c r="Z32" s="48">
        <f>Y32*Z2</f>
        <v>48000</v>
      </c>
    </row>
    <row r="33" spans="1:26" ht="15.75" thickBot="1" x14ac:dyDescent="0.3">
      <c r="A33" s="14"/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37"/>
      <c r="V33" s="37"/>
    </row>
    <row r="34" spans="1:26" ht="53.25" customHeight="1" thickBot="1" x14ac:dyDescent="0.3">
      <c r="B34" s="144" t="s">
        <v>152</v>
      </c>
      <c r="C34" s="145"/>
      <c r="D34" s="146" t="s">
        <v>156</v>
      </c>
      <c r="E34" s="147"/>
      <c r="F34" s="145"/>
      <c r="G34" s="146" t="s">
        <v>157</v>
      </c>
      <c r="H34" s="147"/>
      <c r="I34" s="147"/>
      <c r="J34" s="147"/>
      <c r="K34" s="145"/>
      <c r="L34" s="152" t="s">
        <v>149</v>
      </c>
      <c r="M34" s="152"/>
      <c r="N34" s="152"/>
      <c r="O34" s="146" t="s">
        <v>220</v>
      </c>
      <c r="P34" s="147"/>
      <c r="Q34" s="147"/>
      <c r="R34" s="123" t="s">
        <v>223</v>
      </c>
      <c r="S34" s="124"/>
      <c r="V34" s="101" t="s">
        <v>219</v>
      </c>
      <c r="W34" s="102"/>
      <c r="X34" s="9" t="s">
        <v>147</v>
      </c>
      <c r="Y34" s="59" t="s">
        <v>148</v>
      </c>
      <c r="Z34" s="76" t="s">
        <v>185</v>
      </c>
    </row>
    <row r="35" spans="1:26" ht="32.25" customHeight="1" x14ac:dyDescent="0.25">
      <c r="B35" s="140" t="s">
        <v>158</v>
      </c>
      <c r="C35" s="141"/>
      <c r="D35" s="53" t="s">
        <v>147</v>
      </c>
      <c r="E35" s="153" t="s">
        <v>150</v>
      </c>
      <c r="F35" s="153"/>
      <c r="G35" s="148" t="s">
        <v>147</v>
      </c>
      <c r="H35" s="155"/>
      <c r="I35" s="149"/>
      <c r="J35" s="148" t="s">
        <v>151</v>
      </c>
      <c r="K35" s="149"/>
      <c r="L35" s="148" t="s">
        <v>147</v>
      </c>
      <c r="M35" s="149"/>
      <c r="N35" s="53" t="s">
        <v>148</v>
      </c>
      <c r="O35" s="148" t="s">
        <v>221</v>
      </c>
      <c r="P35" s="149"/>
      <c r="Q35" s="50" t="s">
        <v>222</v>
      </c>
      <c r="R35" s="59" t="s">
        <v>147</v>
      </c>
      <c r="S35" s="60" t="s">
        <v>148</v>
      </c>
      <c r="V35" s="103"/>
      <c r="W35" s="104"/>
      <c r="X35" s="107">
        <f>SUM(Y6:Y32)</f>
        <v>1016</v>
      </c>
      <c r="Y35" s="111">
        <f>X35/8</f>
        <v>127</v>
      </c>
      <c r="Z35" s="109">
        <f>SUM(Z6:Z32)</f>
        <v>1507200</v>
      </c>
    </row>
    <row r="36" spans="1:26" ht="24.75" customHeight="1" thickBot="1" x14ac:dyDescent="0.3">
      <c r="B36" s="142"/>
      <c r="C36" s="143"/>
      <c r="D36" s="55">
        <f>((E4/60)*I4)+((E6/60)*I6)</f>
        <v>143.66666666666666</v>
      </c>
      <c r="E36" s="154">
        <f>D36/8</f>
        <v>17.958333333333332</v>
      </c>
      <c r="F36" s="154"/>
      <c r="G36" s="156">
        <f>(E5/60)*I5</f>
        <v>150</v>
      </c>
      <c r="H36" s="157"/>
      <c r="I36" s="158"/>
      <c r="J36" s="150">
        <f>G36/8</f>
        <v>18.75</v>
      </c>
      <c r="K36" s="151"/>
      <c r="L36" s="150">
        <f>((G7/60)*I8)+((E8/60)*I7)</f>
        <v>24.999999999999996</v>
      </c>
      <c r="M36" s="151"/>
      <c r="N36" s="55">
        <f>L36/8</f>
        <v>3.1249999999999996</v>
      </c>
      <c r="O36" s="150">
        <f>((G11/60)*(I11/12))+((G9/60)*(I9/12))+((G12/60)*(I12/12))+((G13/60)*(I13/12))+((G14/60)*(I14/12))+((G17/60)*(I17/12))+((G18/60)*(I18/12))+((G19/60)*(I19/12))+((G20/60)*(I20/12))+((G21/60)*(I21/12))+((G22/60)*(I22/12))+((G23/60)*(I23/12))+((G25/60)*(I25/12))+((G26/60)*(I26/12))+((E27/60)*(I27/12))+((G28/60)*(I28/12))+((G29/60)*(I29/10))+((G30/60)*(I30/12))+((E31/60)*I31)+((E32/60)*I32)</f>
        <v>65.090277777777771</v>
      </c>
      <c r="P36" s="151"/>
      <c r="Q36" s="52">
        <f>O36/8</f>
        <v>8.1362847222222214</v>
      </c>
      <c r="R36" s="61">
        <f>D36+G36+L36+O36</f>
        <v>383.7569444444444</v>
      </c>
      <c r="S36" s="62">
        <f>E36+J36+N36+Q36</f>
        <v>47.96961805555555</v>
      </c>
      <c r="V36" s="105"/>
      <c r="W36" s="106"/>
      <c r="X36" s="108"/>
      <c r="Y36" s="112"/>
      <c r="Z36" s="110"/>
    </row>
    <row r="37" spans="1:26" ht="24.75" customHeight="1" thickBot="1" x14ac:dyDescent="0.3">
      <c r="B37" s="135" t="s">
        <v>154</v>
      </c>
      <c r="C37" s="136"/>
      <c r="D37" s="137">
        <f>W4+W6</f>
        <v>258600</v>
      </c>
      <c r="E37" s="138"/>
      <c r="F37" s="139"/>
      <c r="G37" s="137">
        <f>W5</f>
        <v>1350000</v>
      </c>
      <c r="H37" s="138"/>
      <c r="I37" s="138"/>
      <c r="J37" s="138"/>
      <c r="K37" s="139"/>
      <c r="L37" s="137">
        <f>W7+W8</f>
        <v>45000</v>
      </c>
      <c r="M37" s="138"/>
      <c r="N37" s="139"/>
      <c r="O37" s="137">
        <f>W9+W11+W12+W13+W14+W17+W18+W19+W20+W21+W22+W23+W25+W26+W27+W28+W29+W30+(W31*12)+(W32*12)</f>
        <v>1623750</v>
      </c>
      <c r="P37" s="138"/>
      <c r="Q37" s="138"/>
      <c r="R37" s="125">
        <f>D37+G37+L37+O37</f>
        <v>3277350</v>
      </c>
      <c r="S37" s="126"/>
    </row>
    <row r="38" spans="1:26" ht="23.25" customHeight="1" thickBot="1" x14ac:dyDescent="0.3">
      <c r="B38" s="135" t="s">
        <v>153</v>
      </c>
      <c r="C38" s="136"/>
      <c r="D38" s="137">
        <f>(U4*I4)+(U6*I6)</f>
        <v>172400</v>
      </c>
      <c r="E38" s="138"/>
      <c r="F38" s="139"/>
      <c r="G38" s="137">
        <f>U5*I5</f>
        <v>900000</v>
      </c>
      <c r="H38" s="138"/>
      <c r="I38" s="138"/>
      <c r="J38" s="138"/>
      <c r="K38" s="139"/>
      <c r="L38" s="137">
        <f>(U7*I7)+(U8*I8)</f>
        <v>30000</v>
      </c>
      <c r="M38" s="138"/>
      <c r="N38" s="139"/>
      <c r="O38" s="137">
        <f>(U9*I9)+(U11*I11)+(U12*I12)+(U13*I13)+(U14*I14)+(U17*I17)+(U18*I18)+(U19*I19)+(U20*I20)+(U21*I21)+(U22*I22)+(U23*I23)+(U25*I25)+(U26*I26)+(U27*I27)+(U28*I28)+(U29*I29)+(U30*I30)+(U31*I31)+(U32*I32)</f>
        <v>818500</v>
      </c>
      <c r="P38" s="138"/>
      <c r="Q38" s="138"/>
      <c r="R38" s="125">
        <f>D38+G38+L38+O38</f>
        <v>1920900</v>
      </c>
      <c r="S38" s="126"/>
    </row>
    <row r="39" spans="1:26" x14ac:dyDescent="0.25">
      <c r="B39" s="129" t="s">
        <v>155</v>
      </c>
      <c r="C39" s="130"/>
      <c r="D39" s="102">
        <f>D37-D38</f>
        <v>86200</v>
      </c>
      <c r="E39" s="102"/>
      <c r="F39" s="102"/>
      <c r="G39" s="102">
        <f>G37-G38</f>
        <v>450000</v>
      </c>
      <c r="H39" s="102"/>
      <c r="I39" s="102"/>
      <c r="J39" s="102"/>
      <c r="K39" s="102"/>
      <c r="L39" s="102">
        <f>L37-L38</f>
        <v>15000</v>
      </c>
      <c r="M39" s="102"/>
      <c r="N39" s="102"/>
      <c r="O39" s="102">
        <f>O37-O38</f>
        <v>805250</v>
      </c>
      <c r="P39" s="102"/>
      <c r="Q39" s="133"/>
      <c r="R39" s="127">
        <f>D39+G39+L39+O39</f>
        <v>1356450</v>
      </c>
      <c r="S39" s="128"/>
    </row>
    <row r="40" spans="1:26" ht="12" customHeight="1" thickBot="1" x14ac:dyDescent="0.3">
      <c r="B40" s="131"/>
      <c r="C40" s="132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34"/>
      <c r="R40" s="108"/>
      <c r="S40" s="110"/>
    </row>
    <row r="41" spans="1:26" x14ac:dyDescent="0.25"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</row>
    <row r="42" spans="1:26" x14ac:dyDescent="0.25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</row>
    <row r="43" spans="1:26" x14ac:dyDescent="0.25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</row>
    <row r="44" spans="1:26" x14ac:dyDescent="0.25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</row>
    <row r="45" spans="1:26" x14ac:dyDescent="0.25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</row>
  </sheetData>
  <mergeCells count="66">
    <mergeCell ref="A31:A32"/>
    <mergeCell ref="A15:A23"/>
    <mergeCell ref="A24:A26"/>
    <mergeCell ref="A27:A30"/>
    <mergeCell ref="A9:A14"/>
    <mergeCell ref="A7:A8"/>
    <mergeCell ref="A2:A3"/>
    <mergeCell ref="B2:B3"/>
    <mergeCell ref="C2:C3"/>
    <mergeCell ref="A4:A6"/>
    <mergeCell ref="E2:L2"/>
    <mergeCell ref="D2:D3"/>
    <mergeCell ref="E3:F3"/>
    <mergeCell ref="G3:H3"/>
    <mergeCell ref="I3:J3"/>
    <mergeCell ref="E35:F35"/>
    <mergeCell ref="E36:F36"/>
    <mergeCell ref="D34:F34"/>
    <mergeCell ref="G34:K34"/>
    <mergeCell ref="G35:I35"/>
    <mergeCell ref="G36:I36"/>
    <mergeCell ref="J35:K35"/>
    <mergeCell ref="J36:K36"/>
    <mergeCell ref="O34:Q34"/>
    <mergeCell ref="O35:P35"/>
    <mergeCell ref="O36:P36"/>
    <mergeCell ref="L34:N34"/>
    <mergeCell ref="L35:M35"/>
    <mergeCell ref="L36:M36"/>
    <mergeCell ref="D37:F37"/>
    <mergeCell ref="G37:K37"/>
    <mergeCell ref="L37:N37"/>
    <mergeCell ref="O37:Q37"/>
    <mergeCell ref="B37:C37"/>
    <mergeCell ref="R34:S34"/>
    <mergeCell ref="R37:S37"/>
    <mergeCell ref="R38:S38"/>
    <mergeCell ref="R39:S40"/>
    <mergeCell ref="B39:C40"/>
    <mergeCell ref="D39:F40"/>
    <mergeCell ref="G39:K40"/>
    <mergeCell ref="L39:N40"/>
    <mergeCell ref="O39:Q40"/>
    <mergeCell ref="B38:C38"/>
    <mergeCell ref="D38:F38"/>
    <mergeCell ref="G38:K38"/>
    <mergeCell ref="L38:N38"/>
    <mergeCell ref="O38:Q38"/>
    <mergeCell ref="B35:C36"/>
    <mergeCell ref="B34:C34"/>
    <mergeCell ref="X1:Z1"/>
    <mergeCell ref="X2:X3"/>
    <mergeCell ref="Y2:Y3"/>
    <mergeCell ref="V34:W36"/>
    <mergeCell ref="X35:X36"/>
    <mergeCell ref="Z35:Z36"/>
    <mergeCell ref="Y35:Y36"/>
    <mergeCell ref="W2:W3"/>
    <mergeCell ref="A1:W1"/>
    <mergeCell ref="O2:O3"/>
    <mergeCell ref="P2:Q3"/>
    <mergeCell ref="R2:R3"/>
    <mergeCell ref="T2:T3"/>
    <mergeCell ref="S2:S3"/>
    <mergeCell ref="M2:M3"/>
    <mergeCell ref="N2:N3"/>
  </mergeCells>
  <pageMargins left="0.25" right="0.25" top="0.75" bottom="0.75" header="0.3" footer="0.3"/>
  <pageSetup paperSize="8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2025-09-12T11:09:54Z</dcterms:modified>
</cp:coreProperties>
</file>