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file-sv.w2.city.chofu.tokyo.jp\0104_財政課\内部\◇新◇公◇会◇計◇\【年間業務】\【令和５年】\0331HP更新\"/>
    </mc:Choice>
  </mc:AlternateContent>
  <bookViews>
    <workbookView xWindow="1275" yWindow="195" windowWidth="21570" windowHeight="12105" tabRatio="652"/>
  </bookViews>
  <sheets>
    <sheet name="有形固定資産 (千円) " sheetId="60" r:id="rId1"/>
    <sheet name="投資及び出資金 (千円)" sheetId="48" r:id="rId2"/>
    <sheet name="基金 (千円)" sheetId="34" r:id="rId3"/>
    <sheet name="貸付金 (千円)" sheetId="50" r:id="rId4"/>
    <sheet name="未収金及び長期延滞債権 (千円)" sheetId="51" r:id="rId5"/>
    <sheet name="地方債（借入先別） (千円) " sheetId="52" r:id="rId6"/>
    <sheet name="地方債（利率別など） (千円)" sheetId="53" r:id="rId7"/>
    <sheet name="引当金 (千円)" sheetId="54" r:id="rId8"/>
    <sheet name="補助金 (千円) " sheetId="56" r:id="rId9"/>
    <sheet name="財源 (千円) " sheetId="59" r:id="rId10"/>
    <sheet name="財源情報 (千円)" sheetId="57" r:id="rId11"/>
    <sheet name="資金明細 (千円)" sheetId="55" r:id="rId12"/>
  </sheets>
  <definedNames>
    <definedName name="AS2DocOpenMode" hidden="1">"AS2DocumentEdit"</definedName>
    <definedName name="_xlnm.Print_Area" localSheetId="7">'引当金 (千円)'!$A$1:$G$9</definedName>
    <definedName name="_xlnm.Print_Area" localSheetId="2">'基金 (千円)'!$B$1:$H$18</definedName>
    <definedName name="_xlnm.Print_Area" localSheetId="9">'財源 (千円) '!$A$1:$G$29</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 '!$A$1:$M$19</definedName>
    <definedName name="_xlnm.Print_Area" localSheetId="6">'地方債（利率別など） (千円)'!$A$1:$L$18</definedName>
    <definedName name="_xlnm.Print_Area" localSheetId="1">'投資及び出資金 (千円)'!$B$1:$M$33</definedName>
    <definedName name="_xlnm.Print_Area" localSheetId="8">'補助金 (千円) '!$A$1:$H$29</definedName>
    <definedName name="_xlnm.Print_Area" localSheetId="4">'未収金及び長期延滞債権 (千円)'!$A$1:$H$21</definedName>
    <definedName name="_xlnm.Print_Area" localSheetId="0">'有形固定資産 (千円) '!$A$1:$S$52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7" l="1"/>
  <c r="C10" i="57"/>
  <c r="C9" i="57"/>
  <c r="C8" i="57"/>
  <c r="C7" i="57"/>
  <c r="C6" i="57"/>
  <c r="D11" i="57"/>
  <c r="F28" i="59"/>
  <c r="F29" i="59"/>
  <c r="F24" i="59"/>
  <c r="F21" i="59"/>
  <c r="P25" i="60" l="1"/>
  <c r="G11" i="57" l="1"/>
  <c r="C5" i="54"/>
  <c r="C6" i="54"/>
  <c r="C7" i="54"/>
  <c r="D15" i="52"/>
  <c r="D14" i="52"/>
  <c r="D12" i="52"/>
  <c r="D8" i="52"/>
  <c r="D45" i="60" l="1"/>
  <c r="D43" i="60"/>
  <c r="F21" i="60"/>
  <c r="F19" i="60"/>
  <c r="F25" i="60"/>
  <c r="D42" i="60" l="1"/>
  <c r="R42" i="60"/>
  <c r="R49" i="60"/>
  <c r="E11" i="57" l="1"/>
  <c r="F6" i="54" l="1"/>
  <c r="F5" i="54"/>
  <c r="D5" i="54"/>
  <c r="G31" i="48" l="1"/>
  <c r="F28" i="56" l="1"/>
  <c r="P48" i="60" l="1"/>
  <c r="P41" i="60"/>
  <c r="P36" i="60"/>
  <c r="P35" i="60"/>
  <c r="P33" i="60"/>
  <c r="N48" i="60"/>
  <c r="N41" i="60"/>
  <c r="N36" i="60"/>
  <c r="N35" i="60"/>
  <c r="N33" i="60"/>
  <c r="L48" i="60"/>
  <c r="J48" i="60"/>
  <c r="J41" i="60"/>
  <c r="J36" i="60"/>
  <c r="J35" i="60"/>
  <c r="J33" i="60"/>
  <c r="H48" i="60"/>
  <c r="H41" i="60"/>
  <c r="H36" i="60"/>
  <c r="H35" i="60"/>
  <c r="H33" i="60"/>
  <c r="F48" i="60"/>
  <c r="F41" i="60"/>
  <c r="F36" i="60"/>
  <c r="F35" i="60"/>
  <c r="F33" i="60"/>
  <c r="D48" i="60"/>
  <c r="D47" i="60"/>
  <c r="D44" i="60"/>
  <c r="D41" i="60"/>
  <c r="D36" i="60"/>
  <c r="D35" i="60"/>
  <c r="D33" i="60"/>
  <c r="D9" i="60"/>
  <c r="F9" i="60"/>
  <c r="H23" i="60" l="1"/>
  <c r="H17" i="60"/>
  <c r="D49" i="60"/>
  <c r="D32" i="60"/>
  <c r="J17" i="60" l="1"/>
  <c r="P17" i="60" s="1"/>
  <c r="D17" i="60"/>
  <c r="F17" i="60"/>
  <c r="H24" i="60"/>
  <c r="H20" i="60"/>
  <c r="H12" i="60"/>
  <c r="H11" i="60"/>
  <c r="H9" i="60"/>
  <c r="F24" i="60"/>
  <c r="F23" i="60"/>
  <c r="F20" i="60"/>
  <c r="F12" i="60"/>
  <c r="F11" i="60"/>
  <c r="J11" i="60" l="1"/>
  <c r="P11" i="60" s="1"/>
  <c r="J9" i="60"/>
  <c r="P9" i="60" s="1"/>
  <c r="N12" i="60"/>
  <c r="N11" i="60"/>
  <c r="L11" i="60"/>
  <c r="D24" i="60"/>
  <c r="D23" i="60"/>
  <c r="J23" i="60" s="1"/>
  <c r="P23" i="60" s="1"/>
  <c r="D21" i="60"/>
  <c r="J21" i="60" s="1"/>
  <c r="P21" i="60" s="1"/>
  <c r="D20" i="60"/>
  <c r="D19" i="60"/>
  <c r="J19" i="60" s="1"/>
  <c r="P19" i="60" s="1"/>
  <c r="D12" i="60"/>
  <c r="J12" i="60" s="1"/>
  <c r="D11" i="60"/>
  <c r="L12" i="60"/>
  <c r="J24" i="60"/>
  <c r="P24" i="60" s="1"/>
  <c r="J14" i="60"/>
  <c r="P14" i="60" s="1"/>
  <c r="J10" i="60"/>
  <c r="P10" i="60" s="1"/>
  <c r="N24" i="60"/>
  <c r="N21" i="60"/>
  <c r="N20" i="60"/>
  <c r="N18" i="60" s="1"/>
  <c r="L24" i="60"/>
  <c r="L21" i="60"/>
  <c r="L20" i="60"/>
  <c r="L8" i="60"/>
  <c r="L25" i="60" s="1"/>
  <c r="F8" i="60"/>
  <c r="J22" i="60"/>
  <c r="P22" i="60" s="1"/>
  <c r="J16" i="60"/>
  <c r="P16" i="60" s="1"/>
  <c r="J15" i="60"/>
  <c r="P15" i="60" s="1"/>
  <c r="R48" i="60"/>
  <c r="R47" i="60"/>
  <c r="R46" i="60"/>
  <c r="R45" i="60"/>
  <c r="R44" i="60"/>
  <c r="R43" i="60"/>
  <c r="P42" i="60"/>
  <c r="N42" i="60"/>
  <c r="L42" i="60"/>
  <c r="J42" i="60"/>
  <c r="H42" i="60"/>
  <c r="F42" i="60"/>
  <c r="R41" i="60"/>
  <c r="R40" i="60"/>
  <c r="R39" i="60"/>
  <c r="R38" i="60"/>
  <c r="R37" i="60"/>
  <c r="R36" i="60"/>
  <c r="R35" i="60"/>
  <c r="R34" i="60"/>
  <c r="R33" i="60"/>
  <c r="P32" i="60"/>
  <c r="P49" i="60" s="1"/>
  <c r="N32" i="60"/>
  <c r="N49" i="60" s="1"/>
  <c r="L32" i="60"/>
  <c r="L49" i="60" s="1"/>
  <c r="J32" i="60"/>
  <c r="H32" i="60"/>
  <c r="H49" i="60" s="1"/>
  <c r="F32" i="60"/>
  <c r="L18" i="60"/>
  <c r="H18" i="60"/>
  <c r="J13" i="60"/>
  <c r="P13" i="60" s="1"/>
  <c r="N8" i="60"/>
  <c r="J49" i="60" l="1"/>
  <c r="F49" i="60"/>
  <c r="D8" i="60"/>
  <c r="J20" i="60"/>
  <c r="P20" i="60" s="1"/>
  <c r="P12" i="60"/>
  <c r="F18" i="60"/>
  <c r="N25" i="60"/>
  <c r="D18" i="60"/>
  <c r="R32" i="60"/>
  <c r="J18" i="60" l="1"/>
  <c r="P18" i="60" s="1"/>
  <c r="D25" i="60"/>
  <c r="F27" i="59" l="1"/>
  <c r="C6" i="55" l="1"/>
  <c r="F25" i="56" l="1"/>
  <c r="F24" i="56"/>
  <c r="F23" i="56"/>
  <c r="F22" i="56"/>
  <c r="F21" i="56"/>
  <c r="F20" i="56"/>
  <c r="F19" i="56"/>
  <c r="F18" i="56"/>
  <c r="F17" i="56"/>
  <c r="F16" i="56"/>
  <c r="F15" i="56"/>
  <c r="F14" i="56"/>
  <c r="F13" i="56"/>
  <c r="F12" i="56"/>
  <c r="F11" i="56"/>
  <c r="F10" i="56"/>
  <c r="F8" i="56"/>
  <c r="F7" i="56"/>
  <c r="F6" i="56"/>
  <c r="F5" i="56"/>
  <c r="B5" i="54" l="1"/>
  <c r="C8" i="54" l="1"/>
  <c r="E8" i="54"/>
  <c r="F7" i="54" l="1"/>
  <c r="D7" i="54"/>
  <c r="D6" i="54"/>
  <c r="D8" i="54" s="1"/>
  <c r="B7" i="54"/>
  <c r="B6" i="54" l="1"/>
  <c r="F8" i="54" l="1"/>
  <c r="B8" i="54"/>
  <c r="J11" i="53"/>
  <c r="I11" i="53"/>
  <c r="H11" i="53"/>
  <c r="G11" i="53"/>
  <c r="F11" i="53"/>
  <c r="E11" i="53"/>
  <c r="D11" i="53"/>
  <c r="C11" i="53"/>
  <c r="D5" i="53"/>
  <c r="C5" i="53"/>
  <c r="B5" i="53" s="1"/>
  <c r="C12" i="52"/>
  <c r="D11" i="52"/>
  <c r="D10" i="52"/>
  <c r="L17" i="52"/>
  <c r="L11" i="52"/>
  <c r="L10" i="52"/>
  <c r="L18" i="52" s="1"/>
  <c r="F11" i="52"/>
  <c r="F10" i="52"/>
  <c r="F7" i="52"/>
  <c r="E15" i="52"/>
  <c r="E14" i="52"/>
  <c r="E12" i="52"/>
  <c r="E10" i="52"/>
  <c r="E8" i="52"/>
  <c r="E7" i="52"/>
  <c r="D17" i="52"/>
  <c r="D7" i="52"/>
  <c r="C17" i="52"/>
  <c r="C15" i="52"/>
  <c r="C14" i="52"/>
  <c r="C11" i="52"/>
  <c r="C10" i="52"/>
  <c r="C8" i="52"/>
  <c r="C7" i="52"/>
  <c r="K18" i="52"/>
  <c r="J18" i="52"/>
  <c r="I18" i="52"/>
  <c r="H18" i="52"/>
  <c r="G18" i="52"/>
  <c r="F18" i="52" l="1"/>
  <c r="E18" i="52"/>
  <c r="D18" i="52"/>
  <c r="C18" i="52"/>
  <c r="H20" i="51" l="1"/>
  <c r="H17" i="51" s="1"/>
  <c r="H7" i="51"/>
  <c r="H21" i="51" s="1"/>
  <c r="G5" i="51"/>
  <c r="G18" i="51"/>
  <c r="G17" i="51"/>
  <c r="G16" i="51"/>
  <c r="G14" i="51"/>
  <c r="G13" i="51"/>
  <c r="G12" i="51"/>
  <c r="G11" i="51"/>
  <c r="G10" i="51"/>
  <c r="G20" i="51" s="1"/>
  <c r="H16" i="51" s="1"/>
  <c r="C7" i="51"/>
  <c r="D20" i="51"/>
  <c r="D7" i="51"/>
  <c r="D21" i="51" s="1"/>
  <c r="D5" i="51"/>
  <c r="C18" i="51"/>
  <c r="C17" i="51"/>
  <c r="C16" i="51"/>
  <c r="C14" i="51"/>
  <c r="C13" i="51"/>
  <c r="C12" i="51"/>
  <c r="C11" i="51"/>
  <c r="C10" i="51"/>
  <c r="C20" i="51" s="1"/>
  <c r="C21" i="51" s="1"/>
  <c r="C5" i="51"/>
  <c r="H5" i="51" l="1"/>
  <c r="H18" i="51"/>
  <c r="C8" i="34" l="1"/>
  <c r="G8" i="34" s="1"/>
  <c r="H7" i="34"/>
  <c r="H17" i="34" s="1"/>
  <c r="H6" i="34"/>
  <c r="H5" i="34"/>
  <c r="H13" i="34"/>
  <c r="H14" i="34"/>
  <c r="H15" i="34"/>
  <c r="H16" i="34"/>
  <c r="H12" i="34"/>
  <c r="H11" i="34"/>
  <c r="H10" i="34"/>
  <c r="H9" i="34"/>
  <c r="H8" i="34"/>
  <c r="C13" i="34"/>
  <c r="G13" i="34" s="1"/>
  <c r="G7" i="34"/>
  <c r="G5" i="34"/>
  <c r="F15" i="34"/>
  <c r="F17" i="34" s="1"/>
  <c r="E16" i="34"/>
  <c r="G16" i="34" s="1"/>
  <c r="C16" i="34"/>
  <c r="C5" i="34"/>
  <c r="C17" i="34" s="1"/>
  <c r="D5" i="34"/>
  <c r="D17" i="34" s="1"/>
  <c r="C15" i="34"/>
  <c r="G15" i="34" s="1"/>
  <c r="C14" i="34"/>
  <c r="G14" i="34" s="1"/>
  <c r="C12" i="34"/>
  <c r="C11" i="34"/>
  <c r="C10" i="34"/>
  <c r="C9" i="34"/>
  <c r="C7" i="34"/>
  <c r="C6" i="34"/>
  <c r="G6" i="34" s="1"/>
  <c r="C11" i="48"/>
  <c r="E17" i="34" l="1"/>
  <c r="K18" i="48"/>
  <c r="K17" i="48"/>
  <c r="K16" i="48"/>
  <c r="K15" i="48"/>
  <c r="K14" i="48"/>
  <c r="K13" i="48"/>
  <c r="K12" i="48"/>
  <c r="K11" i="48"/>
  <c r="J19" i="48"/>
  <c r="H13" i="48"/>
  <c r="G18" i="48"/>
  <c r="G17" i="48"/>
  <c r="G16" i="48"/>
  <c r="G15" i="48"/>
  <c r="G14" i="48"/>
  <c r="G13" i="48"/>
  <c r="G12" i="48"/>
  <c r="G11" i="48"/>
  <c r="H11" i="48" s="1"/>
  <c r="E18" i="48"/>
  <c r="E17" i="48"/>
  <c r="E16" i="48"/>
  <c r="E15" i="48"/>
  <c r="E14" i="48"/>
  <c r="E13" i="48"/>
  <c r="E12" i="48"/>
  <c r="E11" i="48"/>
  <c r="E19" i="48" s="1"/>
  <c r="D18" i="48"/>
  <c r="F18" i="48" s="1"/>
  <c r="D17" i="48"/>
  <c r="D16" i="48"/>
  <c r="F16" i="48" s="1"/>
  <c r="D15" i="48"/>
  <c r="F15" i="48" s="1"/>
  <c r="D14" i="48"/>
  <c r="F14" i="48" s="1"/>
  <c r="D13" i="48"/>
  <c r="F13" i="48" s="1"/>
  <c r="D12" i="48"/>
  <c r="D11" i="48"/>
  <c r="F11" i="48" s="1"/>
  <c r="C18" i="48"/>
  <c r="H18" i="48" s="1"/>
  <c r="C17" i="48"/>
  <c r="C16" i="48"/>
  <c r="H16" i="48" s="1"/>
  <c r="C15" i="48"/>
  <c r="H15" i="48" s="1"/>
  <c r="C14" i="48"/>
  <c r="H14" i="48" s="1"/>
  <c r="C13" i="48"/>
  <c r="C12" i="48"/>
  <c r="L32" i="48"/>
  <c r="L31" i="48"/>
  <c r="L30" i="48"/>
  <c r="L29" i="48"/>
  <c r="L28" i="48"/>
  <c r="L27" i="48"/>
  <c r="L26" i="48"/>
  <c r="L25" i="48"/>
  <c r="L24" i="48"/>
  <c r="H25" i="48"/>
  <c r="H24" i="48"/>
  <c r="G32" i="48"/>
  <c r="G30" i="48"/>
  <c r="G29" i="48"/>
  <c r="G28" i="48"/>
  <c r="G27" i="48"/>
  <c r="G26" i="48"/>
  <c r="G25" i="48"/>
  <c r="G24" i="48"/>
  <c r="E32" i="48"/>
  <c r="E31" i="48"/>
  <c r="E30" i="48"/>
  <c r="F30" i="48" s="1"/>
  <c r="E29" i="48"/>
  <c r="F29" i="48" s="1"/>
  <c r="E28" i="48"/>
  <c r="E27" i="48"/>
  <c r="E26" i="48"/>
  <c r="E25" i="48"/>
  <c r="E24" i="48"/>
  <c r="D31" i="48"/>
  <c r="F31" i="48" s="1"/>
  <c r="D32" i="48"/>
  <c r="F32" i="48" s="1"/>
  <c r="C32" i="48"/>
  <c r="H32" i="48" s="1"/>
  <c r="D30" i="48"/>
  <c r="D29" i="48"/>
  <c r="D28" i="48"/>
  <c r="D27" i="48"/>
  <c r="F27" i="48" s="1"/>
  <c r="D26" i="48"/>
  <c r="F26" i="48" s="1"/>
  <c r="D24" i="48"/>
  <c r="D25" i="48"/>
  <c r="D33" i="48" s="1"/>
  <c r="C31" i="48"/>
  <c r="H31" i="48" s="1"/>
  <c r="C30" i="48"/>
  <c r="H30" i="48" s="1"/>
  <c r="C29" i="48"/>
  <c r="C28" i="48"/>
  <c r="C27" i="48"/>
  <c r="C26" i="48"/>
  <c r="C25" i="48"/>
  <c r="C24" i="48"/>
  <c r="C33" i="48" s="1"/>
  <c r="H17" i="48" l="1"/>
  <c r="F17" i="48"/>
  <c r="I17" i="48" s="1"/>
  <c r="I30" i="48"/>
  <c r="J30" i="48" s="1"/>
  <c r="K30" i="48" s="1"/>
  <c r="H28" i="48"/>
  <c r="F28" i="48"/>
  <c r="I28" i="48" s="1"/>
  <c r="J28" i="48" s="1"/>
  <c r="K28" i="48" s="1"/>
  <c r="F25" i="48"/>
  <c r="I25" i="48" s="1"/>
  <c r="J25" i="48" s="1"/>
  <c r="K25" i="48" s="1"/>
  <c r="I13" i="48"/>
  <c r="H29" i="48"/>
  <c r="I29" i="48" s="1"/>
  <c r="J29" i="48" s="1"/>
  <c r="K29" i="48" s="1"/>
  <c r="I32" i="48"/>
  <c r="J32" i="48" s="1"/>
  <c r="K32" i="48" s="1"/>
  <c r="I18" i="48"/>
  <c r="F24" i="48"/>
  <c r="I24" i="48" s="1"/>
  <c r="J24" i="48" s="1"/>
  <c r="F12" i="48"/>
  <c r="F19" i="48" s="1"/>
  <c r="H27" i="48"/>
  <c r="I27" i="48" s="1"/>
  <c r="J27" i="48" s="1"/>
  <c r="K27" i="48" s="1"/>
  <c r="I31" i="48"/>
  <c r="J31" i="48" s="1"/>
  <c r="K31" i="48" s="1"/>
  <c r="F33" i="48"/>
  <c r="I11" i="48"/>
  <c r="I26" i="48"/>
  <c r="J26" i="48" s="1"/>
  <c r="K26" i="48" s="1"/>
  <c r="I12" i="48"/>
  <c r="I14" i="48"/>
  <c r="I15" i="48"/>
  <c r="I16" i="48"/>
  <c r="G19" i="48"/>
  <c r="H26" i="48"/>
  <c r="C19" i="48"/>
  <c r="D19" i="48"/>
  <c r="K19" i="48"/>
  <c r="L33" i="48"/>
  <c r="G33" i="48"/>
  <c r="E33" i="48"/>
  <c r="I19" i="48" l="1"/>
  <c r="I33" i="48"/>
  <c r="J33" i="48" l="1"/>
  <c r="K24" i="48"/>
  <c r="K33" i="48" s="1"/>
  <c r="F9" i="56"/>
  <c r="F26" i="56" s="1"/>
  <c r="F27" i="56" s="1"/>
  <c r="C10" i="55" l="1"/>
  <c r="B11" i="53"/>
  <c r="G7" i="51" l="1"/>
  <c r="G21" i="51" s="1"/>
  <c r="G12" i="34" l="1"/>
  <c r="G11" i="34"/>
  <c r="G10" i="34"/>
  <c r="G9" i="34"/>
  <c r="G17" i="34" s="1"/>
  <c r="D13" i="51" l="1"/>
  <c r="D16" i="51"/>
  <c r="D11" i="51"/>
  <c r="D10" i="51"/>
  <c r="D18" i="51"/>
  <c r="D14" i="51"/>
  <c r="D12" i="51"/>
  <c r="D17" i="51"/>
  <c r="H10" i="51"/>
  <c r="H12" i="51"/>
  <c r="H13" i="51"/>
  <c r="H14" i="51"/>
  <c r="H11" i="51"/>
  <c r="F11" i="57"/>
  <c r="H8" i="60"/>
  <c r="H25" i="60" s="1"/>
  <c r="J8" i="60" l="1"/>
  <c r="J25" i="60" l="1"/>
  <c r="P8" i="60"/>
</calcChain>
</file>

<file path=xl/sharedStrings.xml><?xml version="1.0" encoding="utf-8"?>
<sst xmlns="http://schemas.openxmlformats.org/spreadsheetml/2006/main" count="400" uniqueCount="303">
  <si>
    <t>土地</t>
    <rPh sb="0" eb="2">
      <t>トチ</t>
    </rPh>
    <phoneticPr fontId="4"/>
  </si>
  <si>
    <t>その他</t>
    <rPh sb="2" eb="3">
      <t>ホカ</t>
    </rPh>
    <phoneticPr fontId="4"/>
  </si>
  <si>
    <t>有価証券</t>
    <rPh sb="0" eb="2">
      <t>ユウカ</t>
    </rPh>
    <rPh sb="2" eb="4">
      <t>ショウケン</t>
    </rPh>
    <phoneticPr fontId="4"/>
  </si>
  <si>
    <t>現金預金</t>
    <rPh sb="0" eb="2">
      <t>ゲンキン</t>
    </rPh>
    <rPh sb="2" eb="4">
      <t>ヨキン</t>
    </rPh>
    <phoneticPr fontId="4"/>
  </si>
  <si>
    <t>合計</t>
    <rPh sb="0" eb="2">
      <t>ゴウケイ</t>
    </rPh>
    <phoneticPr fontId="4"/>
  </si>
  <si>
    <t>【様式第５号】</t>
    <rPh sb="1" eb="3">
      <t>ヨウシキ</t>
    </rPh>
    <rPh sb="3" eb="4">
      <t>ダイ</t>
    </rPh>
    <rPh sb="5" eb="6">
      <t>ゴウ</t>
    </rPh>
    <phoneticPr fontId="10"/>
  </si>
  <si>
    <t>附属明細書</t>
    <rPh sb="0" eb="2">
      <t>フゾク</t>
    </rPh>
    <rPh sb="2" eb="5">
      <t>メイサイショ</t>
    </rPh>
    <phoneticPr fontId="10"/>
  </si>
  <si>
    <t>１．貸借対照表の内容に関する明細</t>
    <rPh sb="2" eb="4">
      <t>タイシャク</t>
    </rPh>
    <rPh sb="4" eb="7">
      <t>タイショウヒョウ</t>
    </rPh>
    <rPh sb="8" eb="10">
      <t>ナイヨウ</t>
    </rPh>
    <rPh sb="11" eb="12">
      <t>カン</t>
    </rPh>
    <rPh sb="14" eb="16">
      <t>メイサイ</t>
    </rPh>
    <phoneticPr fontId="10"/>
  </si>
  <si>
    <t>（１）資産項目の明細</t>
    <rPh sb="3" eb="5">
      <t>シサン</t>
    </rPh>
    <rPh sb="5" eb="7">
      <t>コウモク</t>
    </rPh>
    <rPh sb="8" eb="10">
      <t>メイサイ</t>
    </rPh>
    <phoneticPr fontId="10"/>
  </si>
  <si>
    <t>①有形固定資産の明細</t>
    <rPh sb="1" eb="3">
      <t>ユウケイ</t>
    </rPh>
    <rPh sb="3" eb="5">
      <t>コテイ</t>
    </rPh>
    <rPh sb="5" eb="7">
      <t>シサン</t>
    </rPh>
    <rPh sb="8" eb="10">
      <t>メイサイ</t>
    </rPh>
    <phoneticPr fontId="10"/>
  </si>
  <si>
    <t>区分</t>
    <rPh sb="0" eb="2">
      <t>クブン</t>
    </rPh>
    <phoneticPr fontId="10"/>
  </si>
  <si>
    <t xml:space="preserve">
前年度末残高
（A）</t>
    <rPh sb="1" eb="4">
      <t>ゼンネンド</t>
    </rPh>
    <rPh sb="4" eb="5">
      <t>マツ</t>
    </rPh>
    <rPh sb="5" eb="7">
      <t>ザンダカ</t>
    </rPh>
    <phoneticPr fontId="4"/>
  </si>
  <si>
    <t xml:space="preserve">
本年度増加額
（B）</t>
    <rPh sb="1" eb="4">
      <t>ホンネンド</t>
    </rPh>
    <rPh sb="4" eb="7">
      <t>ゾウカガク</t>
    </rPh>
    <phoneticPr fontId="4"/>
  </si>
  <si>
    <t xml:space="preserve">
本年度減少額
（C）</t>
    <rPh sb="1" eb="4">
      <t>ホンネンド</t>
    </rPh>
    <rPh sb="4" eb="7">
      <t>ゲンショウガク</t>
    </rPh>
    <phoneticPr fontId="4"/>
  </si>
  <si>
    <t>本年度末残高
（A)＋（B)-（C)
（D）</t>
    <rPh sb="0" eb="3">
      <t>ホンネンド</t>
    </rPh>
    <rPh sb="3" eb="4">
      <t>マツ</t>
    </rPh>
    <rPh sb="4" eb="6">
      <t>ザンダカ</t>
    </rPh>
    <phoneticPr fontId="4"/>
  </si>
  <si>
    <t>本年度末
減価償却累計額
（E)</t>
    <rPh sb="0" eb="1">
      <t>ホン</t>
    </rPh>
    <rPh sb="1" eb="4">
      <t>ネンドマツ</t>
    </rPh>
    <rPh sb="5" eb="7">
      <t>ゲンカ</t>
    </rPh>
    <rPh sb="7" eb="9">
      <t>ショウキャク</t>
    </rPh>
    <rPh sb="9" eb="12">
      <t>ルイケイガク</t>
    </rPh>
    <phoneticPr fontId="4"/>
  </si>
  <si>
    <t xml:space="preserve">
本年度償却額
（F)</t>
    <rPh sb="1" eb="4">
      <t>ホンネンド</t>
    </rPh>
    <rPh sb="4" eb="7">
      <t>ショウキャクガク</t>
    </rPh>
    <phoneticPr fontId="4"/>
  </si>
  <si>
    <t xml:space="preserve"> 事業用資産</t>
    <rPh sb="1" eb="4">
      <t>ジギョウヨウ</t>
    </rPh>
    <rPh sb="4" eb="6">
      <t>シサン</t>
    </rPh>
    <phoneticPr fontId="10"/>
  </si>
  <si>
    <t>　  土地</t>
    <rPh sb="3" eb="5">
      <t>トチ</t>
    </rPh>
    <phoneticPr fontId="4"/>
  </si>
  <si>
    <t>　　立木竹</t>
    <rPh sb="2" eb="4">
      <t>タチキ</t>
    </rPh>
    <rPh sb="4" eb="5">
      <t>タケ</t>
    </rPh>
    <phoneticPr fontId="10"/>
  </si>
  <si>
    <t>　　建物</t>
    <rPh sb="2" eb="4">
      <t>タテモノ</t>
    </rPh>
    <phoneticPr fontId="4"/>
  </si>
  <si>
    <t>　　工作物</t>
    <rPh sb="2" eb="5">
      <t>コウサクブツ</t>
    </rPh>
    <phoneticPr fontId="4"/>
  </si>
  <si>
    <t>　　船舶</t>
    <rPh sb="2" eb="4">
      <t>センパク</t>
    </rPh>
    <phoneticPr fontId="10"/>
  </si>
  <si>
    <t>　　浮標等</t>
    <rPh sb="2" eb="4">
      <t>フヒョウ</t>
    </rPh>
    <rPh sb="4" eb="5">
      <t>ナド</t>
    </rPh>
    <phoneticPr fontId="10"/>
  </si>
  <si>
    <t>　　航空機</t>
    <rPh sb="2" eb="5">
      <t>コウクウキ</t>
    </rPh>
    <phoneticPr fontId="10"/>
  </si>
  <si>
    <t>　　その他</t>
    <rPh sb="4" eb="5">
      <t>タ</t>
    </rPh>
    <phoneticPr fontId="4"/>
  </si>
  <si>
    <t>　　建設仮勘定</t>
    <rPh sb="2" eb="4">
      <t>ケンセツ</t>
    </rPh>
    <rPh sb="4" eb="7">
      <t>カリカンジョウ</t>
    </rPh>
    <phoneticPr fontId="10"/>
  </si>
  <si>
    <t xml:space="preserve"> インフラ資産</t>
    <rPh sb="5" eb="7">
      <t>シサン</t>
    </rPh>
    <phoneticPr fontId="10"/>
  </si>
  <si>
    <t>　　土地</t>
    <rPh sb="2" eb="4">
      <t>トチ</t>
    </rPh>
    <phoneticPr fontId="4"/>
  </si>
  <si>
    <t>　　建物</t>
    <rPh sb="2" eb="4">
      <t>タテモノ</t>
    </rPh>
    <phoneticPr fontId="10"/>
  </si>
  <si>
    <t xml:space="preserve"> 物品</t>
    <rPh sb="1" eb="3">
      <t>ブッピン</t>
    </rPh>
    <phoneticPr fontId="4"/>
  </si>
  <si>
    <t>生活インフラ・
国土保全</t>
    <rPh sb="0" eb="2">
      <t>セイカツ</t>
    </rPh>
    <rPh sb="8" eb="10">
      <t>コクド</t>
    </rPh>
    <rPh sb="10" eb="12">
      <t>ホゼン</t>
    </rPh>
    <phoneticPr fontId="4"/>
  </si>
  <si>
    <t>教育</t>
    <rPh sb="0" eb="2">
      <t>キョウイク</t>
    </rPh>
    <phoneticPr fontId="10"/>
  </si>
  <si>
    <t>福祉</t>
    <rPh sb="0" eb="2">
      <t>フクシ</t>
    </rPh>
    <phoneticPr fontId="10"/>
  </si>
  <si>
    <t>環境衛生</t>
    <rPh sb="0" eb="2">
      <t>カンキョウ</t>
    </rPh>
    <rPh sb="2" eb="4">
      <t>エイセイ</t>
    </rPh>
    <phoneticPr fontId="10"/>
  </si>
  <si>
    <t>産業振興</t>
    <rPh sb="0" eb="2">
      <t>サンギョウ</t>
    </rPh>
    <rPh sb="2" eb="4">
      <t>シンコウ</t>
    </rPh>
    <phoneticPr fontId="10"/>
  </si>
  <si>
    <t>消防</t>
    <rPh sb="0" eb="2">
      <t>ショウボウ</t>
    </rPh>
    <phoneticPr fontId="10"/>
  </si>
  <si>
    <t>総務</t>
    <rPh sb="0" eb="2">
      <t>ソウム</t>
    </rPh>
    <phoneticPr fontId="10"/>
  </si>
  <si>
    <t>合計</t>
    <rPh sb="0" eb="2">
      <t>ゴウケイ</t>
    </rPh>
    <phoneticPr fontId="10"/>
  </si>
  <si>
    <t>③投資及び出資金の明細</t>
    <phoneticPr fontId="10"/>
  </si>
  <si>
    <t>市場価格のあるもの</t>
    <rPh sb="0" eb="2">
      <t>シジョウ</t>
    </rPh>
    <rPh sb="2" eb="4">
      <t>カカク</t>
    </rPh>
    <phoneticPr fontId="10"/>
  </si>
  <si>
    <t>銘柄名</t>
    <rPh sb="0" eb="2">
      <t>メイガラ</t>
    </rPh>
    <rPh sb="2" eb="3">
      <t>メイ</t>
    </rPh>
    <phoneticPr fontId="4"/>
  </si>
  <si>
    <t xml:space="preserve">
株数・口数など
（A）</t>
    <rPh sb="1" eb="3">
      <t>カブスウ</t>
    </rPh>
    <rPh sb="4" eb="5">
      <t>クチ</t>
    </rPh>
    <rPh sb="5" eb="6">
      <t>スウ</t>
    </rPh>
    <phoneticPr fontId="4"/>
  </si>
  <si>
    <t xml:space="preserve">
時価単価
（B）</t>
    <rPh sb="1" eb="3">
      <t>ジカ</t>
    </rPh>
    <rPh sb="3" eb="5">
      <t>タンカ</t>
    </rPh>
    <phoneticPr fontId="4"/>
  </si>
  <si>
    <t>貸借対照表計上額
（A）×（B)
（C)</t>
    <rPh sb="0" eb="2">
      <t>タイシャク</t>
    </rPh>
    <rPh sb="2" eb="5">
      <t>タイショウヒョウ</t>
    </rPh>
    <rPh sb="5" eb="8">
      <t>ケイジョウガク</t>
    </rPh>
    <phoneticPr fontId="4"/>
  </si>
  <si>
    <t xml:space="preserve">
取得単価
（D)</t>
    <rPh sb="1" eb="3">
      <t>シュトク</t>
    </rPh>
    <rPh sb="3" eb="5">
      <t>タンカ</t>
    </rPh>
    <phoneticPr fontId="4"/>
  </si>
  <si>
    <t>取得原価
（A）×（D)
（E)</t>
    <rPh sb="0" eb="2">
      <t>シュトク</t>
    </rPh>
    <rPh sb="2" eb="4">
      <t>ゲンカ</t>
    </rPh>
    <phoneticPr fontId="10"/>
  </si>
  <si>
    <t>評価差額
（C）－（E)
（F)</t>
    <rPh sb="0" eb="2">
      <t>ヒョウカ</t>
    </rPh>
    <rPh sb="2" eb="4">
      <t>サガク</t>
    </rPh>
    <phoneticPr fontId="10"/>
  </si>
  <si>
    <t>（参考）財産に関する
調書記載額</t>
    <rPh sb="1" eb="3">
      <t>サンコウ</t>
    </rPh>
    <rPh sb="4" eb="6">
      <t>ザイサン</t>
    </rPh>
    <rPh sb="7" eb="8">
      <t>カン</t>
    </rPh>
    <rPh sb="11" eb="13">
      <t>チョウショ</t>
    </rPh>
    <rPh sb="13" eb="15">
      <t>キサイ</t>
    </rPh>
    <rPh sb="15" eb="16">
      <t>ガク</t>
    </rPh>
    <phoneticPr fontId="10"/>
  </si>
  <si>
    <t>相手先名</t>
    <rPh sb="0" eb="3">
      <t>アイテサキ</t>
    </rPh>
    <rPh sb="3" eb="4">
      <t>メイ</t>
    </rPh>
    <phoneticPr fontId="4"/>
  </si>
  <si>
    <t>出資金額
（貸借対照表計上額）
（A)</t>
    <rPh sb="0" eb="2">
      <t>シュッシ</t>
    </rPh>
    <rPh sb="2" eb="4">
      <t>キンガク</t>
    </rPh>
    <rPh sb="6" eb="8">
      <t>タイシャク</t>
    </rPh>
    <rPh sb="8" eb="11">
      <t>タイショウヒョウ</t>
    </rPh>
    <rPh sb="11" eb="14">
      <t>ケイジョウガク</t>
    </rPh>
    <phoneticPr fontId="4"/>
  </si>
  <si>
    <t xml:space="preserve">
資産
（B)</t>
    <rPh sb="1" eb="3">
      <t>シサン</t>
    </rPh>
    <phoneticPr fontId="4"/>
  </si>
  <si>
    <t xml:space="preserve">
負債
（C)</t>
    <rPh sb="1" eb="3">
      <t>フサイ</t>
    </rPh>
    <phoneticPr fontId="4"/>
  </si>
  <si>
    <t>純資産額
（B）－（C)
（D)</t>
    <rPh sb="0" eb="3">
      <t>ジュンシサン</t>
    </rPh>
    <rPh sb="3" eb="4">
      <t>ガク</t>
    </rPh>
    <phoneticPr fontId="4"/>
  </si>
  <si>
    <t xml:space="preserve">
資本金
（E)</t>
    <rPh sb="1" eb="4">
      <t>シホンキン</t>
    </rPh>
    <phoneticPr fontId="4"/>
  </si>
  <si>
    <t>出資割合（％）
（A）/（E)
（F)</t>
    <rPh sb="0" eb="2">
      <t>シュッシ</t>
    </rPh>
    <rPh sb="2" eb="4">
      <t>ワリアイ</t>
    </rPh>
    <phoneticPr fontId="4"/>
  </si>
  <si>
    <t>実質価額
（D)×（F)
（G)</t>
    <rPh sb="0" eb="2">
      <t>ジッシツ</t>
    </rPh>
    <rPh sb="2" eb="4">
      <t>カガク</t>
    </rPh>
    <phoneticPr fontId="10"/>
  </si>
  <si>
    <t>投資損失引当金
計上額
（H)</t>
    <rPh sb="0" eb="2">
      <t>トウシ</t>
    </rPh>
    <rPh sb="2" eb="4">
      <t>ソンシツ</t>
    </rPh>
    <rPh sb="4" eb="7">
      <t>ヒキアテキン</t>
    </rPh>
    <rPh sb="8" eb="11">
      <t>ケイジョウガク</t>
    </rPh>
    <phoneticPr fontId="10"/>
  </si>
  <si>
    <t xml:space="preserve">
出資金額
（A)</t>
    <rPh sb="1" eb="3">
      <t>シュッシ</t>
    </rPh>
    <rPh sb="3" eb="5">
      <t>キンガク</t>
    </rPh>
    <phoneticPr fontId="4"/>
  </si>
  <si>
    <t xml:space="preserve">
強制評価減
（H)</t>
    <rPh sb="1" eb="3">
      <t>キョウセイ</t>
    </rPh>
    <rPh sb="3" eb="5">
      <t>ヒョウカ</t>
    </rPh>
    <rPh sb="5" eb="6">
      <t>ゲン</t>
    </rPh>
    <phoneticPr fontId="10"/>
  </si>
  <si>
    <t>貸借対照表計上額
（Ａ）－（Ｈ）
（Ｉ）</t>
    <rPh sb="0" eb="2">
      <t>タイシャク</t>
    </rPh>
    <rPh sb="2" eb="5">
      <t>タイショウヒョウ</t>
    </rPh>
    <rPh sb="5" eb="8">
      <t>ケイジョウガク</t>
    </rPh>
    <phoneticPr fontId="10"/>
  </si>
  <si>
    <t>種類</t>
    <rPh sb="0" eb="2">
      <t>シュルイ</t>
    </rPh>
    <phoneticPr fontId="4"/>
  </si>
  <si>
    <t>(参考)財産に関する
調書記載額</t>
    <rPh sb="1" eb="3">
      <t>サンコウ</t>
    </rPh>
    <rPh sb="4" eb="6">
      <t>ザイサン</t>
    </rPh>
    <rPh sb="7" eb="8">
      <t>カン</t>
    </rPh>
    <rPh sb="11" eb="13">
      <t>チョウショ</t>
    </rPh>
    <rPh sb="13" eb="15">
      <t>キサイ</t>
    </rPh>
    <rPh sb="15" eb="16">
      <t>ガク</t>
    </rPh>
    <phoneticPr fontId="4"/>
  </si>
  <si>
    <t>④基金の明細</t>
    <phoneticPr fontId="10"/>
  </si>
  <si>
    <t>相手先名または種別</t>
    <rPh sb="0" eb="3">
      <t>アイテサキ</t>
    </rPh>
    <rPh sb="3" eb="4">
      <t>メイ</t>
    </rPh>
    <rPh sb="7" eb="9">
      <t>シュベツ</t>
    </rPh>
    <phoneticPr fontId="4"/>
  </si>
  <si>
    <t>貸借対照表計上額</t>
    <rPh sb="0" eb="2">
      <t>タイシャク</t>
    </rPh>
    <rPh sb="2" eb="5">
      <t>タイショウヒョウ</t>
    </rPh>
    <rPh sb="5" eb="8">
      <t>ケイジョウガク</t>
    </rPh>
    <phoneticPr fontId="4"/>
  </si>
  <si>
    <t>徴収不能引当金計上額</t>
    <rPh sb="0" eb="2">
      <t>チョウシュウ</t>
    </rPh>
    <rPh sb="2" eb="4">
      <t>フノウ</t>
    </rPh>
    <rPh sb="4" eb="7">
      <t>ヒキアテキン</t>
    </rPh>
    <rPh sb="7" eb="10">
      <t>ケイジョウガク</t>
    </rPh>
    <phoneticPr fontId="4"/>
  </si>
  <si>
    <t>【貸付金】</t>
    <rPh sb="1" eb="4">
      <t>カシツケキン</t>
    </rPh>
    <phoneticPr fontId="4"/>
  </si>
  <si>
    <t>小計</t>
    <rPh sb="0" eb="2">
      <t>ショウケイ</t>
    </rPh>
    <phoneticPr fontId="10"/>
  </si>
  <si>
    <t>【未収金】</t>
    <rPh sb="1" eb="4">
      <t>ミシュウキン</t>
    </rPh>
    <phoneticPr fontId="4"/>
  </si>
  <si>
    <t>税等未収金</t>
    <rPh sb="0" eb="1">
      <t>ゼイ</t>
    </rPh>
    <rPh sb="1" eb="2">
      <t>ナド</t>
    </rPh>
    <rPh sb="2" eb="5">
      <t>ミシュウキン</t>
    </rPh>
    <phoneticPr fontId="10"/>
  </si>
  <si>
    <t>　　固定資産税</t>
    <rPh sb="2" eb="4">
      <t>コテイ</t>
    </rPh>
    <rPh sb="4" eb="7">
      <t>シサンゼイ</t>
    </rPh>
    <phoneticPr fontId="10"/>
  </si>
  <si>
    <t>（２）負債項目の明細</t>
    <rPh sb="3" eb="5">
      <t>フサイ</t>
    </rPh>
    <rPh sb="5" eb="7">
      <t>コウモク</t>
    </rPh>
    <rPh sb="8" eb="10">
      <t>メイサイ</t>
    </rPh>
    <phoneticPr fontId="10"/>
  </si>
  <si>
    <t>①地方債（借入先別）の明細</t>
    <rPh sb="1" eb="4">
      <t>チホウサイ</t>
    </rPh>
    <rPh sb="5" eb="8">
      <t>カリイレサキ</t>
    </rPh>
    <rPh sb="8" eb="9">
      <t>ベツ</t>
    </rPh>
    <rPh sb="11" eb="13">
      <t>メイサイ</t>
    </rPh>
    <phoneticPr fontId="10"/>
  </si>
  <si>
    <t>地方債残高</t>
    <rPh sb="0" eb="3">
      <t>チホウサイ</t>
    </rPh>
    <rPh sb="3" eb="5">
      <t>ザンダカ</t>
    </rPh>
    <phoneticPr fontId="13"/>
  </si>
  <si>
    <t>政府資金</t>
    <rPh sb="0" eb="2">
      <t>セイフ</t>
    </rPh>
    <rPh sb="2" eb="4">
      <t>シキン</t>
    </rPh>
    <phoneticPr fontId="13"/>
  </si>
  <si>
    <t>地方公共団体
金融機構</t>
    <rPh sb="0" eb="2">
      <t>チホウ</t>
    </rPh>
    <rPh sb="2" eb="4">
      <t>コウキョウ</t>
    </rPh>
    <rPh sb="4" eb="6">
      <t>ダンタイ</t>
    </rPh>
    <rPh sb="7" eb="9">
      <t>キンユウ</t>
    </rPh>
    <rPh sb="9" eb="11">
      <t>キコウ</t>
    </rPh>
    <phoneticPr fontId="13"/>
  </si>
  <si>
    <t>市中銀行</t>
    <rPh sb="0" eb="2">
      <t>シチュウ</t>
    </rPh>
    <rPh sb="2" eb="4">
      <t>ギンコウ</t>
    </rPh>
    <phoneticPr fontId="13"/>
  </si>
  <si>
    <t>その他の
金融機関</t>
    <rPh sb="2" eb="3">
      <t>タ</t>
    </rPh>
    <rPh sb="5" eb="7">
      <t>キンユウ</t>
    </rPh>
    <rPh sb="7" eb="9">
      <t>キカン</t>
    </rPh>
    <phoneticPr fontId="13"/>
  </si>
  <si>
    <t>市場公募債</t>
    <rPh sb="0" eb="2">
      <t>シジョウ</t>
    </rPh>
    <rPh sb="2" eb="5">
      <t>コウボサイ</t>
    </rPh>
    <phoneticPr fontId="13"/>
  </si>
  <si>
    <t>その他</t>
    <rPh sb="2" eb="3">
      <t>タ</t>
    </rPh>
    <phoneticPr fontId="13"/>
  </si>
  <si>
    <t>うち1年内償還予定</t>
    <rPh sb="3" eb="5">
      <t>ネンナイ</t>
    </rPh>
    <rPh sb="5" eb="7">
      <t>ショウカン</t>
    </rPh>
    <rPh sb="7" eb="9">
      <t>ヨテイ</t>
    </rPh>
    <phoneticPr fontId="4"/>
  </si>
  <si>
    <t>うち共同発行債</t>
    <rPh sb="2" eb="4">
      <t>キョウドウ</t>
    </rPh>
    <rPh sb="4" eb="6">
      <t>ハッコウ</t>
    </rPh>
    <rPh sb="6" eb="7">
      <t>サイ</t>
    </rPh>
    <phoneticPr fontId="4"/>
  </si>
  <si>
    <t>うち住民公募債</t>
    <rPh sb="2" eb="4">
      <t>ジュウミン</t>
    </rPh>
    <rPh sb="4" eb="7">
      <t>コウボサイ</t>
    </rPh>
    <phoneticPr fontId="4"/>
  </si>
  <si>
    <t>【通常分】</t>
    <rPh sb="1" eb="3">
      <t>ツウジョウ</t>
    </rPh>
    <rPh sb="3" eb="4">
      <t>ブン</t>
    </rPh>
    <phoneticPr fontId="10"/>
  </si>
  <si>
    <t>　　一般公共事業</t>
    <rPh sb="2" eb="4">
      <t>イッパン</t>
    </rPh>
    <rPh sb="4" eb="6">
      <t>コウキョウ</t>
    </rPh>
    <rPh sb="6" eb="8">
      <t>ジギョウ</t>
    </rPh>
    <phoneticPr fontId="10"/>
  </si>
  <si>
    <t>　　公営住宅建設</t>
    <rPh sb="2" eb="4">
      <t>コウエイ</t>
    </rPh>
    <rPh sb="4" eb="6">
      <t>ジュウタク</t>
    </rPh>
    <rPh sb="6" eb="8">
      <t>ケンセツ</t>
    </rPh>
    <phoneticPr fontId="10"/>
  </si>
  <si>
    <t>　　災害復旧</t>
    <rPh sb="2" eb="4">
      <t>サイガイ</t>
    </rPh>
    <rPh sb="4" eb="6">
      <t>フッキュウ</t>
    </rPh>
    <phoneticPr fontId="10"/>
  </si>
  <si>
    <t>　　教育・福祉施設</t>
    <rPh sb="2" eb="4">
      <t>キョウイク</t>
    </rPh>
    <rPh sb="5" eb="7">
      <t>フクシ</t>
    </rPh>
    <rPh sb="7" eb="9">
      <t>シセツ</t>
    </rPh>
    <phoneticPr fontId="10"/>
  </si>
  <si>
    <t>　　一般単独事業</t>
    <rPh sb="2" eb="4">
      <t>イッパン</t>
    </rPh>
    <rPh sb="4" eb="6">
      <t>タンドク</t>
    </rPh>
    <rPh sb="6" eb="8">
      <t>ジギョウ</t>
    </rPh>
    <phoneticPr fontId="10"/>
  </si>
  <si>
    <t>　　その他</t>
    <rPh sb="4" eb="5">
      <t>ホカ</t>
    </rPh>
    <phoneticPr fontId="10"/>
  </si>
  <si>
    <t>【特別分】</t>
    <rPh sb="1" eb="3">
      <t>トクベツ</t>
    </rPh>
    <rPh sb="3" eb="4">
      <t>ブン</t>
    </rPh>
    <phoneticPr fontId="10"/>
  </si>
  <si>
    <t>　　臨時財政対策債</t>
    <rPh sb="2" eb="4">
      <t>リンジ</t>
    </rPh>
    <rPh sb="4" eb="6">
      <t>ザイセイ</t>
    </rPh>
    <rPh sb="6" eb="8">
      <t>タイサク</t>
    </rPh>
    <rPh sb="8" eb="9">
      <t>サイ</t>
    </rPh>
    <phoneticPr fontId="14"/>
  </si>
  <si>
    <t>　　減税補てん債</t>
    <rPh sb="2" eb="4">
      <t>ゲンゼイ</t>
    </rPh>
    <rPh sb="4" eb="5">
      <t>ホ</t>
    </rPh>
    <rPh sb="7" eb="8">
      <t>サイ</t>
    </rPh>
    <phoneticPr fontId="14"/>
  </si>
  <si>
    <t>　　退職手当債</t>
    <rPh sb="2" eb="4">
      <t>タイショク</t>
    </rPh>
    <rPh sb="4" eb="6">
      <t>テアテ</t>
    </rPh>
    <rPh sb="6" eb="7">
      <t>サイ</t>
    </rPh>
    <phoneticPr fontId="14"/>
  </si>
  <si>
    <t>　　その他</t>
    <rPh sb="4" eb="5">
      <t>タ</t>
    </rPh>
    <phoneticPr fontId="14"/>
  </si>
  <si>
    <t>②地方債（利率別）の明細</t>
    <rPh sb="1" eb="4">
      <t>チホウサイ</t>
    </rPh>
    <rPh sb="5" eb="7">
      <t>リリツ</t>
    </rPh>
    <rPh sb="7" eb="8">
      <t>ベツ</t>
    </rPh>
    <rPh sb="10" eb="12">
      <t>メイサイ</t>
    </rPh>
    <phoneticPr fontId="4"/>
  </si>
  <si>
    <t>1.5％以下</t>
    <rPh sb="4" eb="6">
      <t>イカ</t>
    </rPh>
    <phoneticPr fontId="13"/>
  </si>
  <si>
    <t>1.5％超
2.0％以下</t>
    <rPh sb="4" eb="5">
      <t>チョウ</t>
    </rPh>
    <rPh sb="10" eb="12">
      <t>イカ</t>
    </rPh>
    <phoneticPr fontId="13"/>
  </si>
  <si>
    <t>2.0％超
2.5％以下</t>
    <rPh sb="4" eb="5">
      <t>チョウ</t>
    </rPh>
    <rPh sb="10" eb="12">
      <t>イカ</t>
    </rPh>
    <phoneticPr fontId="13"/>
  </si>
  <si>
    <t>2.5％超
3.0％以下</t>
    <rPh sb="4" eb="5">
      <t>チョウ</t>
    </rPh>
    <rPh sb="10" eb="12">
      <t>イカ</t>
    </rPh>
    <phoneticPr fontId="13"/>
  </si>
  <si>
    <t>3.0％超
3.5％以下</t>
    <rPh sb="4" eb="5">
      <t>チョウ</t>
    </rPh>
    <rPh sb="10" eb="12">
      <t>イカ</t>
    </rPh>
    <phoneticPr fontId="13"/>
  </si>
  <si>
    <t>3.5％超
4.0％以下</t>
    <rPh sb="4" eb="5">
      <t>チョウ</t>
    </rPh>
    <rPh sb="10" eb="12">
      <t>イカ</t>
    </rPh>
    <phoneticPr fontId="13"/>
  </si>
  <si>
    <t>4.0％超</t>
    <rPh sb="4" eb="5">
      <t>チョウ</t>
    </rPh>
    <phoneticPr fontId="13"/>
  </si>
  <si>
    <t>③地方債（返済期間別）の明細</t>
    <rPh sb="1" eb="4">
      <t>チホウサイ</t>
    </rPh>
    <rPh sb="5" eb="7">
      <t>ヘンサイ</t>
    </rPh>
    <rPh sb="7" eb="9">
      <t>キカン</t>
    </rPh>
    <rPh sb="9" eb="10">
      <t>ベツ</t>
    </rPh>
    <rPh sb="12" eb="14">
      <t>メイサイ</t>
    </rPh>
    <phoneticPr fontId="4"/>
  </si>
  <si>
    <t>１年以内</t>
    <rPh sb="1" eb="2">
      <t>ネン</t>
    </rPh>
    <rPh sb="2" eb="4">
      <t>イナイ</t>
    </rPh>
    <phoneticPr fontId="4"/>
  </si>
  <si>
    <t>１年超
２年以内</t>
    <rPh sb="1" eb="2">
      <t>ネン</t>
    </rPh>
    <rPh sb="2" eb="3">
      <t>チョウ</t>
    </rPh>
    <rPh sb="5" eb="6">
      <t>ネン</t>
    </rPh>
    <rPh sb="6" eb="8">
      <t>イナイ</t>
    </rPh>
    <phoneticPr fontId="4"/>
  </si>
  <si>
    <t>２年超
３年以内</t>
    <rPh sb="1" eb="2">
      <t>ネン</t>
    </rPh>
    <rPh sb="2" eb="3">
      <t>チョウ</t>
    </rPh>
    <rPh sb="5" eb="6">
      <t>ネン</t>
    </rPh>
    <rPh sb="6" eb="8">
      <t>イナイ</t>
    </rPh>
    <phoneticPr fontId="4"/>
  </si>
  <si>
    <t>３年超
４年以内</t>
    <rPh sb="1" eb="2">
      <t>ネン</t>
    </rPh>
    <rPh sb="2" eb="3">
      <t>チョウ</t>
    </rPh>
    <rPh sb="5" eb="6">
      <t>ネン</t>
    </rPh>
    <rPh sb="6" eb="8">
      <t>イナイ</t>
    </rPh>
    <phoneticPr fontId="4"/>
  </si>
  <si>
    <t>４年超
５年以内</t>
    <rPh sb="1" eb="2">
      <t>ネン</t>
    </rPh>
    <rPh sb="2" eb="3">
      <t>チョウ</t>
    </rPh>
    <rPh sb="5" eb="6">
      <t>ネン</t>
    </rPh>
    <rPh sb="6" eb="8">
      <t>イナイ</t>
    </rPh>
    <phoneticPr fontId="4"/>
  </si>
  <si>
    <t>５年超
10年以内</t>
    <rPh sb="1" eb="2">
      <t>ネン</t>
    </rPh>
    <rPh sb="2" eb="3">
      <t>チョウ</t>
    </rPh>
    <rPh sb="6" eb="7">
      <t>ネン</t>
    </rPh>
    <rPh sb="7" eb="9">
      <t>イナイ</t>
    </rPh>
    <phoneticPr fontId="4"/>
  </si>
  <si>
    <t>10年超
15年以内</t>
    <rPh sb="2" eb="3">
      <t>ネン</t>
    </rPh>
    <rPh sb="3" eb="4">
      <t>チョウ</t>
    </rPh>
    <rPh sb="7" eb="8">
      <t>ネン</t>
    </rPh>
    <rPh sb="8" eb="10">
      <t>イナイ</t>
    </rPh>
    <phoneticPr fontId="4"/>
  </si>
  <si>
    <t>15年超
20年以内</t>
    <rPh sb="2" eb="3">
      <t>ネン</t>
    </rPh>
    <rPh sb="3" eb="4">
      <t>チョウ</t>
    </rPh>
    <rPh sb="7" eb="8">
      <t>ネン</t>
    </rPh>
    <rPh sb="8" eb="10">
      <t>イナイ</t>
    </rPh>
    <phoneticPr fontId="4"/>
  </si>
  <si>
    <t>20年超</t>
    <rPh sb="2" eb="3">
      <t>ネン</t>
    </rPh>
    <rPh sb="3" eb="4">
      <t>チョウ</t>
    </rPh>
    <phoneticPr fontId="4"/>
  </si>
  <si>
    <t>④特定の契約条項が付された地方債の概要</t>
    <rPh sb="1" eb="3">
      <t>トクテイ</t>
    </rPh>
    <rPh sb="4" eb="6">
      <t>ケイヤク</t>
    </rPh>
    <rPh sb="6" eb="8">
      <t>ジョウコウ</t>
    </rPh>
    <rPh sb="9" eb="10">
      <t>フ</t>
    </rPh>
    <rPh sb="13" eb="16">
      <t>チホウサイ</t>
    </rPh>
    <rPh sb="17" eb="19">
      <t>ガイヨウ</t>
    </rPh>
    <phoneticPr fontId="4"/>
  </si>
  <si>
    <t>特定の契約条項が
付された地方債残高</t>
    <rPh sb="0" eb="2">
      <t>トクテイ</t>
    </rPh>
    <rPh sb="3" eb="5">
      <t>ケイヤク</t>
    </rPh>
    <rPh sb="5" eb="7">
      <t>ジョウコウ</t>
    </rPh>
    <rPh sb="9" eb="10">
      <t>フ</t>
    </rPh>
    <rPh sb="13" eb="16">
      <t>チホウサイ</t>
    </rPh>
    <rPh sb="16" eb="18">
      <t>ザンダカ</t>
    </rPh>
    <phoneticPr fontId="13"/>
  </si>
  <si>
    <t>契約条項の概要</t>
    <rPh sb="0" eb="2">
      <t>ケイヤク</t>
    </rPh>
    <rPh sb="2" eb="4">
      <t>ジョウコウ</t>
    </rPh>
    <rPh sb="5" eb="7">
      <t>ガイヨウ</t>
    </rPh>
    <phoneticPr fontId="13"/>
  </si>
  <si>
    <t>区分</t>
    <rPh sb="0" eb="2">
      <t>クブン</t>
    </rPh>
    <phoneticPr fontId="4"/>
  </si>
  <si>
    <t>前年度末残高</t>
    <rPh sb="0" eb="3">
      <t>ゼンネンド</t>
    </rPh>
    <rPh sb="3" eb="4">
      <t>マツ</t>
    </rPh>
    <rPh sb="4" eb="6">
      <t>ザンダカ</t>
    </rPh>
    <phoneticPr fontId="4"/>
  </si>
  <si>
    <t>本年度増加額</t>
    <rPh sb="0" eb="3">
      <t>ホンネンド</t>
    </rPh>
    <rPh sb="3" eb="5">
      <t>ゾウカ</t>
    </rPh>
    <rPh sb="5" eb="6">
      <t>ガク</t>
    </rPh>
    <phoneticPr fontId="4"/>
  </si>
  <si>
    <t>本年度減少額</t>
    <rPh sb="0" eb="3">
      <t>ホンネンド</t>
    </rPh>
    <rPh sb="3" eb="6">
      <t>ゲンショウガク</t>
    </rPh>
    <phoneticPr fontId="4"/>
  </si>
  <si>
    <t>本年度末残高</t>
    <rPh sb="0" eb="3">
      <t>ホンネンド</t>
    </rPh>
    <rPh sb="3" eb="4">
      <t>マツ</t>
    </rPh>
    <rPh sb="4" eb="6">
      <t>ザンダカ</t>
    </rPh>
    <phoneticPr fontId="4"/>
  </si>
  <si>
    <t>目的使用</t>
    <rPh sb="0" eb="2">
      <t>モクテキ</t>
    </rPh>
    <rPh sb="2" eb="4">
      <t>シヨウ</t>
    </rPh>
    <phoneticPr fontId="10"/>
  </si>
  <si>
    <t>その他</t>
    <rPh sb="2" eb="3">
      <t>タ</t>
    </rPh>
    <phoneticPr fontId="10"/>
  </si>
  <si>
    <t>２．行政コスト計算書の内容に関する明細</t>
    <rPh sb="2" eb="4">
      <t>ギョウセイ</t>
    </rPh>
    <rPh sb="7" eb="10">
      <t>ケイサンショ</t>
    </rPh>
    <rPh sb="11" eb="13">
      <t>ナイヨウ</t>
    </rPh>
    <rPh sb="14" eb="15">
      <t>カン</t>
    </rPh>
    <rPh sb="17" eb="19">
      <t>メイサイ</t>
    </rPh>
    <phoneticPr fontId="10"/>
  </si>
  <si>
    <t>（１）補助金等の明細</t>
    <rPh sb="3" eb="7">
      <t>ホジョキンナド</t>
    </rPh>
    <rPh sb="8" eb="10">
      <t>メイサイ</t>
    </rPh>
    <phoneticPr fontId="10"/>
  </si>
  <si>
    <t>名称</t>
    <rPh sb="0" eb="2">
      <t>メイショウ</t>
    </rPh>
    <phoneticPr fontId="10"/>
  </si>
  <si>
    <t>支出目的</t>
    <rPh sb="0" eb="2">
      <t>シシュツ</t>
    </rPh>
    <rPh sb="2" eb="4">
      <t>モクテキ</t>
    </rPh>
    <phoneticPr fontId="10"/>
  </si>
  <si>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0"/>
  </si>
  <si>
    <t>計</t>
    <rPh sb="0" eb="1">
      <t>ケイ</t>
    </rPh>
    <phoneticPr fontId="10"/>
  </si>
  <si>
    <t>（１）資金の明細</t>
    <rPh sb="3" eb="5">
      <t>シキン</t>
    </rPh>
    <rPh sb="6" eb="8">
      <t>メイサイ</t>
    </rPh>
    <phoneticPr fontId="10"/>
  </si>
  <si>
    <t>現金</t>
    <rPh sb="0" eb="2">
      <t>ゲンキン</t>
    </rPh>
    <phoneticPr fontId="4"/>
  </si>
  <si>
    <t>要求払預金</t>
    <rPh sb="0" eb="2">
      <t>ヨウキュウ</t>
    </rPh>
    <rPh sb="2" eb="3">
      <t>ハラ</t>
    </rPh>
    <rPh sb="3" eb="5">
      <t>ヨキン</t>
    </rPh>
    <phoneticPr fontId="4"/>
  </si>
  <si>
    <t>短期投資</t>
    <rPh sb="0" eb="2">
      <t>タンキ</t>
    </rPh>
    <rPh sb="2" eb="4">
      <t>トウシ</t>
    </rPh>
    <phoneticPr fontId="4"/>
  </si>
  <si>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0"/>
  </si>
  <si>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0"/>
  </si>
  <si>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0"/>
  </si>
  <si>
    <t>財政調整基金</t>
    <rPh sb="0" eb="2">
      <t>ザイセイ</t>
    </rPh>
    <rPh sb="2" eb="4">
      <t>チョウセイ</t>
    </rPh>
    <rPh sb="4" eb="6">
      <t>キキン</t>
    </rPh>
    <phoneticPr fontId="4"/>
  </si>
  <si>
    <t>（単位：千円　）</t>
    <rPh sb="1" eb="3">
      <t>タンイ</t>
    </rPh>
    <rPh sb="4" eb="6">
      <t>センエン</t>
    </rPh>
    <phoneticPr fontId="10"/>
  </si>
  <si>
    <t>　　市民税（個人）</t>
    <rPh sb="2" eb="5">
      <t>シミンゼイ</t>
    </rPh>
    <rPh sb="6" eb="8">
      <t>コジン</t>
    </rPh>
    <phoneticPr fontId="10"/>
  </si>
  <si>
    <t>　　市民税（法人）</t>
    <rPh sb="2" eb="5">
      <t>シミンゼイ</t>
    </rPh>
    <rPh sb="6" eb="8">
      <t>ホウジン</t>
    </rPh>
    <phoneticPr fontId="10"/>
  </si>
  <si>
    <t>　　軽自動車税</t>
    <rPh sb="2" eb="6">
      <t>ケイジドウシャ</t>
    </rPh>
    <rPh sb="6" eb="7">
      <t>ゼイ</t>
    </rPh>
    <phoneticPr fontId="4"/>
  </si>
  <si>
    <t>　　都市計画税</t>
    <rPh sb="2" eb="4">
      <t>トシ</t>
    </rPh>
    <rPh sb="4" eb="6">
      <t>ケイカク</t>
    </rPh>
    <rPh sb="6" eb="7">
      <t>ゼイ</t>
    </rPh>
    <phoneticPr fontId="4"/>
  </si>
  <si>
    <t>（単位：千円）</t>
    <rPh sb="1" eb="3">
      <t>タンイ</t>
    </rPh>
    <rPh sb="4" eb="6">
      <t>センエン</t>
    </rPh>
    <phoneticPr fontId="4"/>
  </si>
  <si>
    <t>徴収不能引当金</t>
    <rPh sb="0" eb="2">
      <t>チョウシュウ</t>
    </rPh>
    <rPh sb="2" eb="4">
      <t>フノウ</t>
    </rPh>
    <rPh sb="4" eb="6">
      <t>ヒキアテ</t>
    </rPh>
    <rPh sb="6" eb="7">
      <t>キン</t>
    </rPh>
    <phoneticPr fontId="4"/>
  </si>
  <si>
    <t>退職手当引当金</t>
    <rPh sb="0" eb="2">
      <t>タイショク</t>
    </rPh>
    <rPh sb="2" eb="4">
      <t>テアテ</t>
    </rPh>
    <rPh sb="4" eb="6">
      <t>ヒキアテ</t>
    </rPh>
    <rPh sb="6" eb="7">
      <t>キン</t>
    </rPh>
    <phoneticPr fontId="4"/>
  </si>
  <si>
    <t>賞与等引当金</t>
    <rPh sb="0" eb="2">
      <t>ショウヨ</t>
    </rPh>
    <rPh sb="2" eb="3">
      <t>トウ</t>
    </rPh>
    <rPh sb="3" eb="5">
      <t>ヒキアテ</t>
    </rPh>
    <rPh sb="5" eb="6">
      <t>キン</t>
    </rPh>
    <phoneticPr fontId="4"/>
  </si>
  <si>
    <t>該当なし</t>
    <rPh sb="0" eb="2">
      <t>ガイトウ</t>
    </rPh>
    <phoneticPr fontId="4"/>
  </si>
  <si>
    <t>その他</t>
    <rPh sb="2" eb="3">
      <t>タ</t>
    </rPh>
    <phoneticPr fontId="4"/>
  </si>
  <si>
    <t>④引当金の明細</t>
    <rPh sb="1" eb="4">
      <t>ヒキアテキン</t>
    </rPh>
    <rPh sb="5" eb="7">
      <t>メイサイ</t>
    </rPh>
    <phoneticPr fontId="10"/>
  </si>
  <si>
    <t>金額</t>
    <rPh sb="0" eb="2">
      <t>キンガク</t>
    </rPh>
    <phoneticPr fontId="4"/>
  </si>
  <si>
    <t>相手先等</t>
    <rPh sb="0" eb="3">
      <t>アイテサキ</t>
    </rPh>
    <rPh sb="3" eb="4">
      <t>トウ</t>
    </rPh>
    <phoneticPr fontId="10"/>
  </si>
  <si>
    <t>調布市土地開発公社出資金</t>
    <rPh sb="0" eb="3">
      <t>チョウフシ</t>
    </rPh>
    <rPh sb="3" eb="5">
      <t>トチ</t>
    </rPh>
    <rPh sb="5" eb="7">
      <t>カイハツ</t>
    </rPh>
    <rPh sb="7" eb="9">
      <t>コウシャ</t>
    </rPh>
    <rPh sb="9" eb="12">
      <t>シュッシキン</t>
    </rPh>
    <phoneticPr fontId="4"/>
  </si>
  <si>
    <t>調布エフエム放送株式会社株券</t>
    <rPh sb="0" eb="2">
      <t>チョウフ</t>
    </rPh>
    <rPh sb="6" eb="8">
      <t>ホウソウ</t>
    </rPh>
    <rPh sb="8" eb="12">
      <t>カブシキガイシャ</t>
    </rPh>
    <rPh sb="12" eb="14">
      <t>カブケン</t>
    </rPh>
    <phoneticPr fontId="5"/>
  </si>
  <si>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</si>
  <si>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5"/>
  </si>
  <si>
    <t>調布市社会福祉事業団出捐金</t>
    <rPh sb="0" eb="3">
      <t>チョウフシ</t>
    </rPh>
    <rPh sb="3" eb="5">
      <t>シャカイ</t>
    </rPh>
    <rPh sb="5" eb="7">
      <t>フクシ</t>
    </rPh>
    <rPh sb="7" eb="9">
      <t>ジギョウ</t>
    </rPh>
    <rPh sb="9" eb="10">
      <t>ダン</t>
    </rPh>
    <phoneticPr fontId="5"/>
  </si>
  <si>
    <t>調布市市民サービス公社出捐金</t>
    <rPh sb="0" eb="3">
      <t>チョウフシ</t>
    </rPh>
    <rPh sb="3" eb="5">
      <t>シミン</t>
    </rPh>
    <rPh sb="9" eb="11">
      <t>コウシャ</t>
    </rPh>
    <phoneticPr fontId="5"/>
  </si>
  <si>
    <t>調布市武者小路実篤記念館出捐金</t>
    <rPh sb="0" eb="3">
      <t>チョウフシ</t>
    </rPh>
    <rPh sb="3" eb="7">
      <t>ムシャノコウジ</t>
    </rPh>
    <rPh sb="7" eb="9">
      <t>サネアツ</t>
    </rPh>
    <rPh sb="9" eb="11">
      <t>キネン</t>
    </rPh>
    <rPh sb="11" eb="12">
      <t>カン</t>
    </rPh>
    <phoneticPr fontId="5"/>
  </si>
  <si>
    <t>株式会社東京スタジアム株券</t>
    <rPh sb="0" eb="4">
      <t>カブシキガイシャ</t>
    </rPh>
    <rPh sb="4" eb="6">
      <t>トウキョウ</t>
    </rPh>
    <rPh sb="11" eb="13">
      <t>カブケン</t>
    </rPh>
    <phoneticPr fontId="5"/>
  </si>
  <si>
    <t>東京フットボールクラブ株式会社株券</t>
    <rPh sb="0" eb="2">
      <t>トウキョウ</t>
    </rPh>
    <rPh sb="11" eb="15">
      <t>カブシキガイシャ</t>
    </rPh>
    <rPh sb="15" eb="17">
      <t>カブケン</t>
    </rPh>
    <phoneticPr fontId="5"/>
  </si>
  <si>
    <t>株式会社ココスクエア株券</t>
    <rPh sb="0" eb="4">
      <t>カブシキガイシャ</t>
    </rPh>
    <rPh sb="10" eb="12">
      <t>カブケン</t>
    </rPh>
    <phoneticPr fontId="5"/>
  </si>
  <si>
    <t>農業近代化資金保証出捐金</t>
    <rPh sb="0" eb="2">
      <t>ノウギョウ</t>
    </rPh>
    <rPh sb="2" eb="5">
      <t>キンダイカ</t>
    </rPh>
    <rPh sb="5" eb="7">
      <t>シキン</t>
    </rPh>
    <rPh sb="7" eb="9">
      <t>ホショウ</t>
    </rPh>
    <rPh sb="9" eb="10">
      <t>デ</t>
    </rPh>
    <rPh sb="10" eb="11">
      <t>エン</t>
    </rPh>
    <rPh sb="11" eb="12">
      <t>キン</t>
    </rPh>
    <phoneticPr fontId="5"/>
  </si>
  <si>
    <t>東京しごと財団出捐金</t>
    <rPh sb="0" eb="2">
      <t>トウキョウ</t>
    </rPh>
    <rPh sb="5" eb="7">
      <t>ザイダン</t>
    </rPh>
    <phoneticPr fontId="5"/>
  </si>
  <si>
    <t>東京都農林水産振興財団出捐金</t>
    <rPh sb="0" eb="2">
      <t>トウキョウ</t>
    </rPh>
    <rPh sb="2" eb="3">
      <t>ト</t>
    </rPh>
    <rPh sb="3" eb="5">
      <t>ノウリン</t>
    </rPh>
    <rPh sb="5" eb="7">
      <t>スイサン</t>
    </rPh>
    <rPh sb="7" eb="9">
      <t>シンコウ</t>
    </rPh>
    <rPh sb="9" eb="11">
      <t>ザイダン</t>
    </rPh>
    <phoneticPr fontId="5"/>
  </si>
  <si>
    <t>暴力団追放運動推進都民センター出捐金</t>
    <rPh sb="0" eb="3">
      <t>ボウリョクダン</t>
    </rPh>
    <rPh sb="3" eb="5">
      <t>ツイホウ</t>
    </rPh>
    <rPh sb="5" eb="7">
      <t>ウンドウ</t>
    </rPh>
    <rPh sb="7" eb="9">
      <t>スイシン</t>
    </rPh>
    <rPh sb="9" eb="11">
      <t>トミン</t>
    </rPh>
    <phoneticPr fontId="5"/>
  </si>
  <si>
    <t>多摩南部成年後見センター出資金</t>
    <rPh sb="0" eb="2">
      <t>タマ</t>
    </rPh>
    <rPh sb="2" eb="4">
      <t>ナンブ</t>
    </rPh>
    <rPh sb="4" eb="6">
      <t>セイネン</t>
    </rPh>
    <rPh sb="6" eb="8">
      <t>コウケン</t>
    </rPh>
    <rPh sb="12" eb="14">
      <t>シュッシ</t>
    </rPh>
    <rPh sb="14" eb="15">
      <t>キン</t>
    </rPh>
    <phoneticPr fontId="5"/>
  </si>
  <si>
    <t>地方公共団体金融機構出資金</t>
    <rPh sb="0" eb="2">
      <t>チホウ</t>
    </rPh>
    <rPh sb="2" eb="4">
      <t>コウキョウ</t>
    </rPh>
    <rPh sb="4" eb="6">
      <t>ダンタイ</t>
    </rPh>
    <rPh sb="6" eb="8">
      <t>キンユウ</t>
    </rPh>
    <rPh sb="8" eb="10">
      <t>キコウ</t>
    </rPh>
    <rPh sb="10" eb="13">
      <t>シュッシキン</t>
    </rPh>
    <phoneticPr fontId="5"/>
  </si>
  <si>
    <t>減債基金</t>
    <rPh sb="0" eb="2">
      <t>ゲンサイ</t>
    </rPh>
    <rPh sb="2" eb="4">
      <t>キキン</t>
    </rPh>
    <phoneticPr fontId="4"/>
  </si>
  <si>
    <t>公共施設整備基金</t>
    <rPh sb="0" eb="2">
      <t>コウキョウ</t>
    </rPh>
    <rPh sb="2" eb="4">
      <t>シセツ</t>
    </rPh>
    <rPh sb="4" eb="6">
      <t>セイビ</t>
    </rPh>
    <rPh sb="6" eb="8">
      <t>キキン</t>
    </rPh>
    <phoneticPr fontId="5"/>
  </si>
  <si>
    <t>国際交流平和基金</t>
    <rPh sb="0" eb="2">
      <t>コクサイ</t>
    </rPh>
    <rPh sb="2" eb="4">
      <t>コウリュウ</t>
    </rPh>
    <rPh sb="4" eb="6">
      <t>ヘイワ</t>
    </rPh>
    <rPh sb="6" eb="8">
      <t>キキン</t>
    </rPh>
    <phoneticPr fontId="5"/>
  </si>
  <si>
    <t>都市基盤整備事業基金</t>
    <rPh sb="0" eb="2">
      <t>トシ</t>
    </rPh>
    <rPh sb="2" eb="4">
      <t>キバン</t>
    </rPh>
    <rPh sb="4" eb="6">
      <t>セイビ</t>
    </rPh>
    <rPh sb="6" eb="8">
      <t>ジギョウ</t>
    </rPh>
    <rPh sb="8" eb="10">
      <t>キキン</t>
    </rPh>
    <phoneticPr fontId="5"/>
  </si>
  <si>
    <t>ふるさとのみどりと環境を守り育てる基金</t>
    <rPh sb="9" eb="11">
      <t>カンキョウ</t>
    </rPh>
    <rPh sb="12" eb="13">
      <t>マモ</t>
    </rPh>
    <rPh sb="14" eb="15">
      <t>ソダ</t>
    </rPh>
    <rPh sb="17" eb="19">
      <t>キキン</t>
    </rPh>
    <phoneticPr fontId="5"/>
  </si>
  <si>
    <t>職員退職手当基金</t>
    <rPh sb="0" eb="2">
      <t>ショクイン</t>
    </rPh>
    <rPh sb="2" eb="4">
      <t>タイショク</t>
    </rPh>
    <rPh sb="4" eb="6">
      <t>テアテ</t>
    </rPh>
    <rPh sb="6" eb="8">
      <t>キキン</t>
    </rPh>
    <phoneticPr fontId="5"/>
  </si>
  <si>
    <t>美術作品等取得基金</t>
    <rPh sb="0" eb="2">
      <t>ビジュツ</t>
    </rPh>
    <rPh sb="2" eb="4">
      <t>サクヒン</t>
    </rPh>
    <rPh sb="4" eb="5">
      <t>トウ</t>
    </rPh>
    <rPh sb="5" eb="7">
      <t>シュトク</t>
    </rPh>
    <rPh sb="7" eb="9">
      <t>キキン</t>
    </rPh>
    <phoneticPr fontId="5"/>
  </si>
  <si>
    <t>⑤貸付金の明細</t>
    <rPh sb="1" eb="3">
      <t>カシツケ</t>
    </rPh>
    <rPh sb="3" eb="4">
      <t>キン</t>
    </rPh>
    <rPh sb="5" eb="7">
      <t>メイサイ</t>
    </rPh>
    <phoneticPr fontId="10"/>
  </si>
  <si>
    <t>長期貸付金</t>
    <rPh sb="0" eb="2">
      <t>チョウキ</t>
    </rPh>
    <rPh sb="2" eb="4">
      <t>カシツケ</t>
    </rPh>
    <rPh sb="4" eb="5">
      <t>キン</t>
    </rPh>
    <phoneticPr fontId="4"/>
  </si>
  <si>
    <t>短期貸付金</t>
    <rPh sb="0" eb="2">
      <t>タンキ</t>
    </rPh>
    <rPh sb="2" eb="4">
      <t>カシツケ</t>
    </rPh>
    <rPh sb="4" eb="5">
      <t>キン</t>
    </rPh>
    <phoneticPr fontId="4"/>
  </si>
  <si>
    <t>（参考）
貸付金計</t>
    <rPh sb="1" eb="3">
      <t>サンコウ</t>
    </rPh>
    <rPh sb="5" eb="7">
      <t>カシツケ</t>
    </rPh>
    <rPh sb="7" eb="8">
      <t>キン</t>
    </rPh>
    <rPh sb="8" eb="9">
      <t>ケイ</t>
    </rPh>
    <phoneticPr fontId="4"/>
  </si>
  <si>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4"/>
  </si>
  <si>
    <t>緊急援護資金等貸付金</t>
    <rPh sb="0" eb="2">
      <t>キンキュウ</t>
    </rPh>
    <rPh sb="2" eb="4">
      <t>エンゴ</t>
    </rPh>
    <rPh sb="4" eb="6">
      <t>シキン</t>
    </rPh>
    <rPh sb="6" eb="7">
      <t>トウ</t>
    </rPh>
    <rPh sb="7" eb="9">
      <t>カシツケ</t>
    </rPh>
    <rPh sb="9" eb="10">
      <t>キン</t>
    </rPh>
    <phoneticPr fontId="4"/>
  </si>
  <si>
    <t>　　使用料及び手数料</t>
    <rPh sb="2" eb="5">
      <t>シヨウリョウ</t>
    </rPh>
    <rPh sb="5" eb="6">
      <t>オヨ</t>
    </rPh>
    <rPh sb="7" eb="10">
      <t>テスウリョウ</t>
    </rPh>
    <phoneticPr fontId="4"/>
  </si>
  <si>
    <t>緊急援護資金貸付金</t>
    <rPh sb="0" eb="2">
      <t>キンキュウ</t>
    </rPh>
    <rPh sb="2" eb="4">
      <t>エンゴ</t>
    </rPh>
    <rPh sb="4" eb="6">
      <t>シキン</t>
    </rPh>
    <rPh sb="6" eb="8">
      <t>カシツケ</t>
    </rPh>
    <rPh sb="8" eb="9">
      <t>キン</t>
    </rPh>
    <phoneticPr fontId="4"/>
  </si>
  <si>
    <t>その他の未収金</t>
    <rPh sb="2" eb="3">
      <t>タ</t>
    </rPh>
    <rPh sb="4" eb="7">
      <t>ミシュウキン</t>
    </rPh>
    <phoneticPr fontId="4"/>
  </si>
  <si>
    <t>　　諸収入</t>
    <rPh sb="2" eb="3">
      <t>ショ</t>
    </rPh>
    <rPh sb="3" eb="5">
      <t>シュウニュウ</t>
    </rPh>
    <phoneticPr fontId="4"/>
  </si>
  <si>
    <t>　　分担金及び負担金</t>
    <rPh sb="2" eb="5">
      <t>ブンタンキン</t>
    </rPh>
    <rPh sb="5" eb="6">
      <t>オヨ</t>
    </rPh>
    <rPh sb="7" eb="10">
      <t>フタンキン</t>
    </rPh>
    <phoneticPr fontId="4"/>
  </si>
  <si>
    <t>認証保育所運営費等補助金</t>
  </si>
  <si>
    <t>東京たま広域資源循環組合負担金</t>
  </si>
  <si>
    <t>ふじみ衛生組合負担金</t>
  </si>
  <si>
    <t>調布市文化・コミュニティ振興財団補助金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</si>
  <si>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</si>
  <si>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</si>
  <si>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</si>
  <si>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</si>
  <si>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</si>
  <si>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</si>
  <si>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0"/>
  </si>
  <si>
    <t>（１）財源の明細</t>
    <rPh sb="3" eb="5">
      <t>ザイゲン</t>
    </rPh>
    <rPh sb="6" eb="8">
      <t>メイサイ</t>
    </rPh>
    <phoneticPr fontId="10"/>
  </si>
  <si>
    <t>会計</t>
    <rPh sb="0" eb="2">
      <t>カイケイ</t>
    </rPh>
    <phoneticPr fontId="10"/>
  </si>
  <si>
    <t>一般会計</t>
    <rPh sb="0" eb="2">
      <t>イッパン</t>
    </rPh>
    <rPh sb="2" eb="4">
      <t>カイケイ</t>
    </rPh>
    <phoneticPr fontId="10"/>
  </si>
  <si>
    <t>財源の内容</t>
    <rPh sb="0" eb="2">
      <t>ザイゲン</t>
    </rPh>
    <rPh sb="3" eb="5">
      <t>ナイヨウ</t>
    </rPh>
    <phoneticPr fontId="10"/>
  </si>
  <si>
    <t>その他の補助金等</t>
    <rPh sb="2" eb="3">
      <t>タ</t>
    </rPh>
    <rPh sb="4" eb="8">
      <t>ホジョキントウ</t>
    </rPh>
    <phoneticPr fontId="4"/>
  </si>
  <si>
    <t>税収等</t>
    <rPh sb="0" eb="3">
      <t>ゼイシュウトウ</t>
    </rPh>
    <phoneticPr fontId="4"/>
  </si>
  <si>
    <t>小計</t>
    <rPh sb="0" eb="2">
      <t>ショウケイ</t>
    </rPh>
    <phoneticPr fontId="4"/>
  </si>
  <si>
    <t>国県等補助金</t>
    <rPh sb="0" eb="1">
      <t>クニ</t>
    </rPh>
    <rPh sb="1" eb="2">
      <t>ケン</t>
    </rPh>
    <rPh sb="2" eb="3">
      <t>トウ</t>
    </rPh>
    <rPh sb="3" eb="6">
      <t>ホジョキン</t>
    </rPh>
    <phoneticPr fontId="4"/>
  </si>
  <si>
    <t>国庫支出金</t>
    <rPh sb="0" eb="2">
      <t>コッコ</t>
    </rPh>
    <rPh sb="2" eb="5">
      <t>シシュツキン</t>
    </rPh>
    <phoneticPr fontId="4"/>
  </si>
  <si>
    <t>都支出金</t>
    <rPh sb="0" eb="1">
      <t>ト</t>
    </rPh>
    <rPh sb="1" eb="4">
      <t>シシュツキン</t>
    </rPh>
    <phoneticPr fontId="4"/>
  </si>
  <si>
    <t>計</t>
    <rPh sb="0" eb="1">
      <t>ケイ</t>
    </rPh>
    <phoneticPr fontId="4"/>
  </si>
  <si>
    <t>資本的
補助金</t>
    <rPh sb="0" eb="3">
      <t>シホンテキ</t>
    </rPh>
    <rPh sb="4" eb="7">
      <t>ホジョキン</t>
    </rPh>
    <phoneticPr fontId="4"/>
  </si>
  <si>
    <t>経常的
補助金</t>
    <rPh sb="0" eb="2">
      <t>ケイジョウ</t>
    </rPh>
    <rPh sb="2" eb="3">
      <t>テキ</t>
    </rPh>
    <rPh sb="4" eb="7">
      <t>ホジョキン</t>
    </rPh>
    <phoneticPr fontId="4"/>
  </si>
  <si>
    <t>（２）財源情報の明細</t>
    <rPh sb="3" eb="5">
      <t>ザイゲン</t>
    </rPh>
    <rPh sb="5" eb="7">
      <t>ジョウホウ</t>
    </rPh>
    <rPh sb="8" eb="10">
      <t>メイサイ</t>
    </rPh>
    <phoneticPr fontId="6"/>
  </si>
  <si>
    <t>区分</t>
    <rPh sb="0" eb="2">
      <t>クブン</t>
    </rPh>
    <phoneticPr fontId="6"/>
  </si>
  <si>
    <t>金額</t>
    <rPh sb="0" eb="2">
      <t>キンガク</t>
    </rPh>
    <phoneticPr fontId="6"/>
  </si>
  <si>
    <t>内訳</t>
    <rPh sb="0" eb="2">
      <t>ウチワケ</t>
    </rPh>
    <phoneticPr fontId="6"/>
  </si>
  <si>
    <t>国県等補助金</t>
    <rPh sb="0" eb="1">
      <t>クニ</t>
    </rPh>
    <rPh sb="1" eb="2">
      <t>ケン</t>
    </rPh>
    <rPh sb="2" eb="3">
      <t>ナド</t>
    </rPh>
    <rPh sb="3" eb="6">
      <t>ホジョキン</t>
    </rPh>
    <phoneticPr fontId="6"/>
  </si>
  <si>
    <t>地方債等</t>
    <rPh sb="0" eb="2">
      <t>チホウ</t>
    </rPh>
    <rPh sb="2" eb="3">
      <t>サイ</t>
    </rPh>
    <rPh sb="3" eb="4">
      <t>ナド</t>
    </rPh>
    <phoneticPr fontId="6"/>
  </si>
  <si>
    <t>税収等</t>
    <rPh sb="0" eb="3">
      <t>ゼイシュウナド</t>
    </rPh>
    <phoneticPr fontId="6"/>
  </si>
  <si>
    <t>その他</t>
    <rPh sb="2" eb="3">
      <t>タ</t>
    </rPh>
    <phoneticPr fontId="6"/>
  </si>
  <si>
    <t>純行政コスト</t>
    <rPh sb="0" eb="1">
      <t>ジュン</t>
    </rPh>
    <rPh sb="1" eb="3">
      <t>ギョウセイ</t>
    </rPh>
    <phoneticPr fontId="4"/>
  </si>
  <si>
    <t>有形固定資産等の増加</t>
    <rPh sb="0" eb="2">
      <t>ユウケイ</t>
    </rPh>
    <rPh sb="2" eb="4">
      <t>コテイ</t>
    </rPh>
    <rPh sb="4" eb="6">
      <t>シサン</t>
    </rPh>
    <rPh sb="6" eb="7">
      <t>トウ</t>
    </rPh>
    <rPh sb="8" eb="10">
      <t>ゾウカ</t>
    </rPh>
    <phoneticPr fontId="4"/>
  </si>
  <si>
    <t>貸付の増加</t>
    <rPh sb="0" eb="2">
      <t>カシツケ</t>
    </rPh>
    <rPh sb="3" eb="5">
      <t>ゾウカ</t>
    </rPh>
    <phoneticPr fontId="4"/>
  </si>
  <si>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</si>
  <si>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0"/>
  </si>
  <si>
    <t>（単位：千円）</t>
    <rPh sb="1" eb="3">
      <t>タンイ</t>
    </rPh>
    <rPh sb="4" eb="5">
      <t>セン</t>
    </rPh>
    <rPh sb="5" eb="6">
      <t>エン</t>
    </rPh>
    <phoneticPr fontId="10"/>
  </si>
  <si>
    <t>（単位：千円）</t>
    <rPh sb="1" eb="3">
      <t>タンイ</t>
    </rPh>
    <rPh sb="4" eb="5">
      <t>セン</t>
    </rPh>
    <rPh sb="5" eb="6">
      <t>エン</t>
    </rPh>
    <phoneticPr fontId="4"/>
  </si>
  <si>
    <t>（単位：千円）</t>
    <rPh sb="1" eb="3">
      <t>タンイ</t>
    </rPh>
    <rPh sb="4" eb="5">
      <t>セン</t>
    </rPh>
    <rPh sb="5" eb="6">
      <t>エン</t>
    </rPh>
    <phoneticPr fontId="12"/>
  </si>
  <si>
    <t>（単位：千円）</t>
    <rPh sb="4" eb="5">
      <t>セン</t>
    </rPh>
    <rPh sb="5" eb="6">
      <t>エン</t>
    </rPh>
    <phoneticPr fontId="4"/>
  </si>
  <si>
    <t>土地開発基金</t>
    <rPh sb="0" eb="2">
      <t>トチ</t>
    </rPh>
    <rPh sb="2" eb="4">
      <t>カイハツ</t>
    </rPh>
    <rPh sb="4" eb="6">
      <t>キキン</t>
    </rPh>
    <phoneticPr fontId="4"/>
  </si>
  <si>
    <t>調布市体育協会出資金</t>
    <rPh sb="0" eb="3">
      <t>チョウフシ</t>
    </rPh>
    <rPh sb="3" eb="5">
      <t>タイイク</t>
    </rPh>
    <rPh sb="5" eb="7">
      <t>キョウカイ</t>
    </rPh>
    <rPh sb="7" eb="9">
      <t>シュッシ</t>
    </rPh>
    <phoneticPr fontId="5"/>
  </si>
  <si>
    <t>調布市文化・コミュニティ振興財団</t>
  </si>
  <si>
    <t>私立幼稚園等園児の保護者</t>
  </si>
  <si>
    <t>⑥長期延滞債権の明細</t>
    <rPh sb="1" eb="3">
      <t>チョウキ</t>
    </rPh>
    <rPh sb="3" eb="5">
      <t>エンタイ</t>
    </rPh>
    <rPh sb="5" eb="7">
      <t>サイケン</t>
    </rPh>
    <rPh sb="8" eb="10">
      <t>メイサイ</t>
    </rPh>
    <phoneticPr fontId="10"/>
  </si>
  <si>
    <t>⑦未収金の明細</t>
    <rPh sb="1" eb="4">
      <t>ミシュウキン</t>
    </rPh>
    <rPh sb="5" eb="7">
      <t>メイサイ</t>
    </rPh>
    <phoneticPr fontId="10"/>
  </si>
  <si>
    <t>合計
(貸借対照表計上額)</t>
    <rPh sb="0" eb="2">
      <t>ゴウケイ</t>
    </rPh>
    <rPh sb="4" eb="6">
      <t>タイシャク</t>
    </rPh>
    <rPh sb="6" eb="9">
      <t>タイショウヒョウ</t>
    </rPh>
    <rPh sb="9" eb="12">
      <t>ケイジョウガク</t>
    </rPh>
    <phoneticPr fontId="4"/>
  </si>
  <si>
    <t>井上欣一社会福祉事業基金</t>
    <rPh sb="0" eb="4">
      <t>イノウエキンイチ</t>
    </rPh>
    <rPh sb="4" eb="6">
      <t>シャカイ</t>
    </rPh>
    <rPh sb="6" eb="8">
      <t>フクシ</t>
    </rPh>
    <rPh sb="8" eb="10">
      <t>ジギョウ</t>
    </rPh>
    <rPh sb="10" eb="12">
      <t>キキン</t>
    </rPh>
    <phoneticPr fontId="5"/>
  </si>
  <si>
    <t>子ども・若者基金</t>
    <rPh sb="0" eb="1">
      <t>コ</t>
    </rPh>
    <rPh sb="4" eb="6">
      <t>ワカモノ</t>
    </rPh>
    <rPh sb="6" eb="8">
      <t>キキン</t>
    </rPh>
    <phoneticPr fontId="5"/>
  </si>
  <si>
    <t>（参考）
加重平均利率</t>
    <rPh sb="1" eb="3">
      <t>サンコウ</t>
    </rPh>
    <rPh sb="5" eb="7">
      <t>カジュウ</t>
    </rPh>
    <rPh sb="7" eb="9">
      <t>ヘイキン</t>
    </rPh>
    <rPh sb="9" eb="11">
      <t>リリツ</t>
    </rPh>
    <phoneticPr fontId="13"/>
  </si>
  <si>
    <t>地方税</t>
  </si>
  <si>
    <t>地方譲与税</t>
    <rPh sb="0" eb="2">
      <t>チホウ</t>
    </rPh>
    <rPh sb="2" eb="4">
      <t>ジョウヨ</t>
    </rPh>
    <rPh sb="4" eb="5">
      <t>ゼイ</t>
    </rPh>
    <phoneticPr fontId="5"/>
  </si>
  <si>
    <t>利子割交付金</t>
    <rPh sb="0" eb="2">
      <t>リシ</t>
    </rPh>
    <rPh sb="2" eb="3">
      <t>ワリ</t>
    </rPh>
    <rPh sb="3" eb="6">
      <t>コウフキン</t>
    </rPh>
    <phoneticPr fontId="5"/>
  </si>
  <si>
    <t>配当割交付金</t>
    <rPh sb="0" eb="2">
      <t>ハイトウ</t>
    </rPh>
    <rPh sb="2" eb="3">
      <t>ワリ</t>
    </rPh>
    <rPh sb="3" eb="6">
      <t>コウフキン</t>
    </rPh>
    <phoneticPr fontId="5"/>
  </si>
  <si>
    <t>株式等譲渡所得割交付金</t>
    <rPh sb="0" eb="2">
      <t>カブシキ</t>
    </rPh>
    <rPh sb="2" eb="3">
      <t>トウ</t>
    </rPh>
    <rPh sb="3" eb="5">
      <t>ジョウト</t>
    </rPh>
    <rPh sb="5" eb="7">
      <t>ショトク</t>
    </rPh>
    <rPh sb="7" eb="8">
      <t>ワリ</t>
    </rPh>
    <rPh sb="8" eb="11">
      <t>コウフキン</t>
    </rPh>
    <phoneticPr fontId="5"/>
  </si>
  <si>
    <t>地方消費税交付金</t>
    <rPh sb="0" eb="5">
      <t>チホウショウヒゼイ</t>
    </rPh>
    <rPh sb="5" eb="8">
      <t>コウフキン</t>
    </rPh>
    <phoneticPr fontId="3"/>
  </si>
  <si>
    <t>ゴルフ場利用税交付金</t>
    <rPh sb="3" eb="4">
      <t>ジョウ</t>
    </rPh>
    <rPh sb="4" eb="6">
      <t>リヨウ</t>
    </rPh>
    <rPh sb="6" eb="7">
      <t>ゼイ</t>
    </rPh>
    <rPh sb="7" eb="10">
      <t>コウフキン</t>
    </rPh>
    <phoneticPr fontId="3"/>
  </si>
  <si>
    <t>地方特例交付金</t>
    <rPh sb="0" eb="2">
      <t>チホウ</t>
    </rPh>
    <rPh sb="2" eb="4">
      <t>トクレイ</t>
    </rPh>
    <rPh sb="4" eb="7">
      <t>コウフキン</t>
    </rPh>
    <phoneticPr fontId="5"/>
  </si>
  <si>
    <t>地方交付税</t>
    <rPh sb="0" eb="2">
      <t>チホウ</t>
    </rPh>
    <rPh sb="2" eb="5">
      <t>コウフゼイ</t>
    </rPh>
    <phoneticPr fontId="5"/>
  </si>
  <si>
    <t>交通安全対策特別交付金</t>
    <rPh sb="0" eb="2">
      <t>コウツウ</t>
    </rPh>
    <rPh sb="2" eb="4">
      <t>アンゼン</t>
    </rPh>
    <rPh sb="4" eb="6">
      <t>タイサク</t>
    </rPh>
    <rPh sb="6" eb="8">
      <t>トクベツ</t>
    </rPh>
    <rPh sb="8" eb="11">
      <t>コウフキン</t>
    </rPh>
    <phoneticPr fontId="5"/>
  </si>
  <si>
    <t>分担金及び負担金</t>
    <rPh sb="0" eb="3">
      <t>ブンタンキン</t>
    </rPh>
    <rPh sb="3" eb="4">
      <t>オヨ</t>
    </rPh>
    <rPh sb="5" eb="8">
      <t>フタンキン</t>
    </rPh>
    <phoneticPr fontId="5"/>
  </si>
  <si>
    <t>寄附金</t>
    <rPh sb="0" eb="3">
      <t>キフキン</t>
    </rPh>
    <phoneticPr fontId="3"/>
  </si>
  <si>
    <t>繰入金（特別会計繰入金）</t>
    <rPh sb="0" eb="2">
      <t>クリイレ</t>
    </rPh>
    <rPh sb="2" eb="3">
      <t>キン</t>
    </rPh>
    <rPh sb="4" eb="6">
      <t>トクベツ</t>
    </rPh>
    <rPh sb="6" eb="8">
      <t>カイケイ</t>
    </rPh>
    <rPh sb="8" eb="10">
      <t>クリイレ</t>
    </rPh>
    <rPh sb="10" eb="11">
      <t>キン</t>
    </rPh>
    <phoneticPr fontId="3"/>
  </si>
  <si>
    <t>諸収入</t>
    <rPh sb="0" eb="1">
      <t>ショ</t>
    </rPh>
    <rPh sb="1" eb="3">
      <t>シュウニュウ</t>
    </rPh>
    <phoneticPr fontId="3"/>
  </si>
  <si>
    <t>東京都</t>
  </si>
  <si>
    <t>保育従事職員宿舎借上げ支援事業補助金</t>
  </si>
  <si>
    <t>市内保育施設等</t>
  </si>
  <si>
    <t>保育人材の確保及び定着並びに離職防止を図ること</t>
  </si>
  <si>
    <t>環境性能割交付金</t>
    <phoneticPr fontId="4"/>
  </si>
  <si>
    <t>災害援護資金貸付金</t>
    <rPh sb="0" eb="2">
      <t>サイガイ</t>
    </rPh>
    <rPh sb="2" eb="4">
      <t>エンゴ</t>
    </rPh>
    <rPh sb="4" eb="6">
      <t>シキン</t>
    </rPh>
    <rPh sb="6" eb="8">
      <t>カシツケ</t>
    </rPh>
    <rPh sb="8" eb="9">
      <t>キン</t>
    </rPh>
    <phoneticPr fontId="4"/>
  </si>
  <si>
    <t>新型コロナウイルス感染症対策基金</t>
    <phoneticPr fontId="4"/>
  </si>
  <si>
    <t>民間保育所施設整備助成費</t>
    <rPh sb="5" eb="7">
      <t>シセツ</t>
    </rPh>
    <rPh sb="7" eb="9">
      <t>セイビ</t>
    </rPh>
    <rPh sb="9" eb="12">
      <t>ジョセイヒ</t>
    </rPh>
    <phoneticPr fontId="3"/>
  </si>
  <si>
    <t>民間事業者</t>
    <rPh sb="0" eb="2">
      <t>ミンカン</t>
    </rPh>
    <rPh sb="2" eb="4">
      <t>ジギョウ</t>
    </rPh>
    <rPh sb="4" eb="5">
      <t>シャ</t>
    </rPh>
    <phoneticPr fontId="3"/>
  </si>
  <si>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3"/>
  </si>
  <si>
    <t>所有者</t>
    <rPh sb="0" eb="3">
      <t>ショユウシャ</t>
    </rPh>
    <phoneticPr fontId="3"/>
  </si>
  <si>
    <t>分譲マンションの耐震診断，補強設計又は耐震改修に要する費用の一部を助成することにより，分譲マンションの耐震化の促進を図り，災害に強いまちづくりに寄与すること</t>
  </si>
  <si>
    <t>木造住宅耐震改修助成金</t>
    <rPh sb="0" eb="2">
      <t>モクゾウ</t>
    </rPh>
    <rPh sb="2" eb="4">
      <t>ジュウタク</t>
    </rPh>
    <rPh sb="4" eb="6">
      <t>タイシン</t>
    </rPh>
    <rPh sb="6" eb="8">
      <t>カイシュウ</t>
    </rPh>
    <rPh sb="8" eb="11">
      <t>ジョセイキン</t>
    </rPh>
    <phoneticPr fontId="3"/>
  </si>
  <si>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3"/>
  </si>
  <si>
    <t>日中活動系障害福祉サービス事業所開設及び移転準備費補助金</t>
    <rPh sb="16" eb="18">
      <t>カイセツ</t>
    </rPh>
    <rPh sb="18" eb="19">
      <t>オヨ</t>
    </rPh>
    <rPh sb="20" eb="22">
      <t>イテン</t>
    </rPh>
    <phoneticPr fontId="4"/>
  </si>
  <si>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3"/>
  </si>
  <si>
    <t>分譲マンション耐震化促進事業助成金</t>
  </si>
  <si>
    <t>分譲マンションの管理組合，選任された代表者</t>
  </si>
  <si>
    <t>その他</t>
    <rPh sb="2" eb="3">
      <t>タ</t>
    </rPh>
    <phoneticPr fontId="3"/>
  </si>
  <si>
    <t>中学3年生以下全員及び児童育成手当の対象となる高校生</t>
  </si>
  <si>
    <t>法人事業税交付金</t>
    <rPh sb="0" eb="2">
      <t>ホウジン</t>
    </rPh>
    <rPh sb="2" eb="5">
      <t>ジギョウゼイ</t>
    </rPh>
    <rPh sb="5" eb="8">
      <t>コウフキン</t>
    </rPh>
    <phoneticPr fontId="5"/>
  </si>
  <si>
    <t>民間保育所等運営費等市単独助成費</t>
    <rPh sb="10" eb="11">
      <t>シ</t>
    </rPh>
    <rPh sb="11" eb="13">
      <t>タンドク</t>
    </rPh>
    <rPh sb="13" eb="16">
      <t>ジョセイヒ</t>
    </rPh>
    <phoneticPr fontId="2"/>
  </si>
  <si>
    <t>消防事務委託金</t>
    <rPh sb="0" eb="2">
      <t>ショウボウ</t>
    </rPh>
    <rPh sb="2" eb="4">
      <t>ジム</t>
    </rPh>
    <rPh sb="4" eb="6">
      <t>イタク</t>
    </rPh>
    <rPh sb="6" eb="7">
      <t>キン</t>
    </rPh>
    <phoneticPr fontId="2"/>
  </si>
  <si>
    <t>プレミアム付き商品券事業費負担金</t>
    <rPh sb="5" eb="6">
      <t>ツ</t>
    </rPh>
    <phoneticPr fontId="2"/>
  </si>
  <si>
    <t>下水道事業会計繰出金</t>
    <rPh sb="0" eb="3">
      <t>ゲスイドウ</t>
    </rPh>
    <rPh sb="3" eb="5">
      <t>ジギョウ</t>
    </rPh>
    <rPh sb="5" eb="7">
      <t>カイケイ</t>
    </rPh>
    <rPh sb="7" eb="8">
      <t>ク</t>
    </rPh>
    <rPh sb="8" eb="9">
      <t>ダ</t>
    </rPh>
    <rPh sb="9" eb="10">
      <t>キン</t>
    </rPh>
    <phoneticPr fontId="2"/>
  </si>
  <si>
    <t>保育士等キャリアアップ助成金</t>
    <rPh sb="13" eb="14">
      <t>キン</t>
    </rPh>
    <phoneticPr fontId="3"/>
  </si>
  <si>
    <t>調布っ子応援プロジェクト商品券事業費負担金</t>
    <rPh sb="0" eb="2">
      <t>チョウフ</t>
    </rPh>
    <rPh sb="3" eb="4">
      <t>コ</t>
    </rPh>
    <rPh sb="4" eb="6">
      <t>オウエン</t>
    </rPh>
    <phoneticPr fontId="2"/>
  </si>
  <si>
    <t>キャッシュレス決済促進事業費負担金</t>
    <rPh sb="13" eb="14">
      <t>ヒ</t>
    </rPh>
    <rPh sb="14" eb="17">
      <t>フタンキン</t>
    </rPh>
    <phoneticPr fontId="2"/>
  </si>
  <si>
    <t>市内私立保育所</t>
    <rPh sb="0" eb="2">
      <t>シナイ</t>
    </rPh>
    <rPh sb="2" eb="4">
      <t>シリツ</t>
    </rPh>
    <rPh sb="4" eb="6">
      <t>ホイク</t>
    </rPh>
    <rPh sb="6" eb="7">
      <t>ショ</t>
    </rPh>
    <phoneticPr fontId="2"/>
  </si>
  <si>
    <t>民間事業者</t>
    <rPh sb="0" eb="2">
      <t>ミンカン</t>
    </rPh>
    <rPh sb="2" eb="5">
      <t>ジギョウシャ</t>
    </rPh>
    <phoneticPr fontId="2"/>
  </si>
  <si>
    <t>下水道事業会計</t>
    <rPh sb="0" eb="3">
      <t>ゲスイドウ</t>
    </rPh>
    <rPh sb="3" eb="5">
      <t>ジギョウ</t>
    </rPh>
    <rPh sb="5" eb="7">
      <t>カイケイ</t>
    </rPh>
    <phoneticPr fontId="2"/>
  </si>
  <si>
    <t>東京たま広域資源循環組合</t>
    <rPh sb="4" eb="6">
      <t>コウイキ</t>
    </rPh>
    <rPh sb="6" eb="8">
      <t>シゲン</t>
    </rPh>
    <rPh sb="8" eb="10">
      <t>ジュンカン</t>
    </rPh>
    <rPh sb="10" eb="12">
      <t>クミアイ</t>
    </rPh>
    <phoneticPr fontId="2"/>
  </si>
  <si>
    <t>市内認証保育所</t>
    <rPh sb="0" eb="2">
      <t>シナイ</t>
    </rPh>
    <rPh sb="2" eb="4">
      <t>ニンショウ</t>
    </rPh>
    <rPh sb="4" eb="6">
      <t>ホイク</t>
    </rPh>
    <rPh sb="6" eb="7">
      <t>ショ</t>
    </rPh>
    <phoneticPr fontId="2"/>
  </si>
  <si>
    <t>ふじみ衛生組合</t>
    <rPh sb="3" eb="5">
      <t>エイセイ</t>
    </rPh>
    <rPh sb="5" eb="7">
      <t>クミアイ</t>
    </rPh>
    <phoneticPr fontId="2"/>
  </si>
  <si>
    <t>市内保育施設等</t>
    <rPh sb="0" eb="2">
      <t>シナイ</t>
    </rPh>
    <rPh sb="2" eb="4">
      <t>ホイク</t>
    </rPh>
    <rPh sb="4" eb="6">
      <t>シセツ</t>
    </rPh>
    <rPh sb="6" eb="7">
      <t>トウ</t>
    </rPh>
    <phoneticPr fontId="2"/>
  </si>
  <si>
    <t>消防事務に係る負担金</t>
    <rPh sb="0" eb="2">
      <t>ショウボウ</t>
    </rPh>
    <rPh sb="2" eb="4">
      <t>ジム</t>
    </rPh>
    <rPh sb="5" eb="6">
      <t>カカ</t>
    </rPh>
    <rPh sb="7" eb="10">
      <t>フタンキン</t>
    </rPh>
    <phoneticPr fontId="2"/>
  </si>
  <si>
    <t>プレミアム付き商品券の換金費用に係る負担金</t>
    <rPh sb="5" eb="6">
      <t>ツ</t>
    </rPh>
    <rPh sb="7" eb="10">
      <t>ショウヒンケン</t>
    </rPh>
    <rPh sb="11" eb="13">
      <t>カンキン</t>
    </rPh>
    <rPh sb="13" eb="15">
      <t>ヒヨウ</t>
    </rPh>
    <rPh sb="16" eb="17">
      <t>カカ</t>
    </rPh>
    <rPh sb="18" eb="21">
      <t>フタンキン</t>
    </rPh>
    <phoneticPr fontId="2"/>
  </si>
  <si>
    <t>下水道事業会計への繰出金（一般会計負担分）</t>
    <rPh sb="0" eb="3">
      <t>ゲスイドウ</t>
    </rPh>
    <rPh sb="3" eb="5">
      <t>ジギョウ</t>
    </rPh>
    <rPh sb="5" eb="7">
      <t>カイケイ</t>
    </rPh>
    <rPh sb="9" eb="10">
      <t>ク</t>
    </rPh>
    <rPh sb="10" eb="11">
      <t>ダ</t>
    </rPh>
    <rPh sb="11" eb="12">
      <t>キン</t>
    </rPh>
    <rPh sb="13" eb="15">
      <t>イッパン</t>
    </rPh>
    <rPh sb="15" eb="17">
      <t>カイケイ</t>
    </rPh>
    <rPh sb="17" eb="19">
      <t>フタン</t>
    </rPh>
    <rPh sb="19" eb="20">
      <t>ブン</t>
    </rPh>
    <phoneticPr fontId="2"/>
  </si>
  <si>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2"/>
  </si>
  <si>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2"/>
  </si>
  <si>
    <t>ふじみ衛生組合の運営費に係る負担金</t>
    <rPh sb="3" eb="5">
      <t>エイセイ</t>
    </rPh>
    <rPh sb="5" eb="7">
      <t>クミアイ</t>
    </rPh>
    <rPh sb="8" eb="10">
      <t>ウンエイ</t>
    </rPh>
    <rPh sb="10" eb="11">
      <t>ヒ</t>
    </rPh>
    <rPh sb="12" eb="13">
      <t>カカ</t>
    </rPh>
    <rPh sb="14" eb="17">
      <t>フタンキン</t>
    </rPh>
    <phoneticPr fontId="2"/>
  </si>
  <si>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2"/>
  </si>
  <si>
    <t>市内飲食店等でのテイクアウトの購入，市内書店での書籍等の購入のため子育て世帯に商品券を配付する事業である調布っ子応援プロジェクトの換金費用に係る負担金</t>
    <rPh sb="47" eb="49">
      <t>ジギョウ</t>
    </rPh>
    <rPh sb="52" eb="54">
      <t>チョウフ</t>
    </rPh>
    <rPh sb="55" eb="56">
      <t>コ</t>
    </rPh>
    <rPh sb="56" eb="58">
      <t>オウエン</t>
    </rPh>
    <rPh sb="65" eb="67">
      <t>カンキン</t>
    </rPh>
    <rPh sb="67" eb="69">
      <t>ヒヨウ</t>
    </rPh>
    <rPh sb="70" eb="71">
      <t>カカ</t>
    </rPh>
    <rPh sb="72" eb="75">
      <t>フタンキン</t>
    </rPh>
    <phoneticPr fontId="2"/>
  </si>
  <si>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2"/>
  </si>
  <si>
    <t>社会福祉協議会の運営を円滑に図るための人件費補助</t>
    <rPh sb="8" eb="10">
      <t>ウンエイ</t>
    </rPh>
    <rPh sb="11" eb="13">
      <t>エンカツ</t>
    </rPh>
    <rPh sb="14" eb="15">
      <t>ハカ</t>
    </rPh>
    <rPh sb="19" eb="21">
      <t>ジンケン</t>
    </rPh>
    <rPh sb="21" eb="22">
      <t>ヒ</t>
    </rPh>
    <rPh sb="22" eb="24">
      <t>ホジョ</t>
    </rPh>
    <phoneticPr fontId="2"/>
  </si>
  <si>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2"/>
  </si>
  <si>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2"/>
  </si>
  <si>
    <t>キャッシュレス決裁促進事業のポイント還元に係る負担金</t>
    <rPh sb="7" eb="9">
      <t>ケッサイ</t>
    </rPh>
    <rPh sb="9" eb="11">
      <t>ソクシン</t>
    </rPh>
    <rPh sb="11" eb="13">
      <t>ジギョウ</t>
    </rPh>
    <rPh sb="18" eb="20">
      <t>カンゲン</t>
    </rPh>
    <rPh sb="21" eb="22">
      <t>カカ</t>
    </rPh>
    <rPh sb="23" eb="26">
      <t>フタンキン</t>
    </rPh>
    <phoneticPr fontId="2"/>
  </si>
  <si>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2"/>
  </si>
  <si>
    <t>　※　調布エフエム放送株式会社の出資割合（％）については、株式数により算出した数値を記載しています。</t>
    <rPh sb="3" eb="5">
      <t>チョウフ</t>
    </rPh>
    <rPh sb="9" eb="11">
      <t>ホウソウ</t>
    </rPh>
    <rPh sb="11" eb="15">
      <t>カブシキガイシャ</t>
    </rPh>
    <rPh sb="16" eb="20">
      <t>シュッシワリアイ</t>
    </rPh>
    <rPh sb="29" eb="31">
      <t>カブシキ</t>
    </rPh>
    <rPh sb="31" eb="32">
      <t>スウ</t>
    </rPh>
    <rPh sb="35" eb="37">
      <t>サンシュツ</t>
    </rPh>
    <rPh sb="39" eb="41">
      <t>スウチ</t>
    </rPh>
    <rPh sb="42" eb="44">
      <t>キサイ</t>
    </rPh>
    <phoneticPr fontId="4"/>
  </si>
  <si>
    <r>
      <t>市が設立した財団法人に対して必要な</t>
    </r>
    <r>
      <rPr>
        <sz val="11"/>
        <rFont val="ＭＳ Ｐゴシック"/>
        <family val="3"/>
        <charset val="128"/>
      </rPr>
      <t>助成を行うことにより，当該法人の運営の安定と事業の充実を図り，地域社会の発展に寄与すること</t>
    </r>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2"/>
  </si>
  <si>
    <t>差引本年度末
残高（D)－（E)
（G)</t>
    <rPh sb="0" eb="2">
      <t>サシヒキ</t>
    </rPh>
    <rPh sb="2" eb="5">
      <t>ホンネンド</t>
    </rPh>
    <rPh sb="5" eb="6">
      <t>マツ</t>
    </rPh>
    <rPh sb="7" eb="9">
      <t>ザンダカ</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</si>
</sst>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76" formatCode="#,##0_ "/>
    <numFmt numFmtId="177" formatCode="0.0%"/>
    <numFmt numFmtId="178" formatCode="#,##0;[Red]\-#,##0;&quot;－&quot;"/>
    <numFmt numFmtId="179" formatCode="&quot;(&quot;0%&quot;)   &quot;;[Red]\-&quot;(&quot;0%&quot;)   &quot;;&quot;－    &quot;"/>
    <numFmt numFmtId="180" formatCode="&quot;(&quot;0.00%&quot;)   &quot;;[Red]\-&quot;(&quot;0.00%&quot;)   &quot;;&quot;－    &quot;"/>
    <numFmt numFmtId="181" formatCode="0.00%;[Red]\-0.00%;&quot;－&quot;"/>
    <numFmt numFmtId="182" formatCode="#,##0_ ;[Red]\-#,##0\ "/>
    <numFmt numFmtId="183" formatCode="#,##0;&quot;▲ &quot;#,##0"/>
    <numFmt numFmtId="184" formatCode="#,##0.000;[Red]\-#,##0.000"/>
    <numFmt numFmtId="185" formatCode="#,##0.000_ "/>
  </numFmts>
  <fonts count="3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9"/>
      <name val="ＭＳ Ｐゴシック"/>
      <family val="3"/>
      <charset val="128"/>
    </font>
    <font>
      <sz val="6"/>
      <name val="ＭＳ Ｐゴシック"/>
      <family val="2"/>
      <charset val="128"/>
      <scheme val="minor"/>
    </font>
    <font>
      <sz val="11"/>
      <color theme="1"/>
      <name val="ＭＳ Ｐゴシック"/>
      <family val="3"/>
      <charset val="128"/>
      <scheme val="minor"/>
    </font>
    <font>
      <sz val="10"/>
      <color theme="1"/>
      <name val="ＭＳ Ｐゴシック"/>
      <family val="3"/>
      <charset val="128"/>
      <scheme val="minor"/>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11"/>
      <name val="ＭＳ 明朝"/>
      <family val="1"/>
      <charset val="128"/>
    </font>
    <font>
      <b/>
      <sz val="18"/>
      <name val="ＭＳ Ｐゴシック"/>
      <family val="3"/>
      <charset val="128"/>
    </font>
    <font>
      <sz val="12"/>
      <name val="ＭＳ 明朝"/>
      <family val="1"/>
      <charset val="128"/>
    </font>
    <font>
      <sz val="11"/>
      <name val="ＭＳ Ｐゴシック"/>
      <family val="3"/>
      <charset val="128"/>
      <scheme val="minor"/>
    </font>
    <font>
      <b/>
      <sz val="12"/>
      <name val="ＭＳ Ｐゴシック"/>
      <family val="3"/>
      <charset val="128"/>
    </font>
    <font>
      <sz val="10"/>
      <name val="ＭＳ Ｐゴシック"/>
      <family val="3"/>
      <charset val="128"/>
      <scheme val="minor"/>
    </font>
    <font>
      <sz val="12"/>
      <name val="ＭＳ Ｐゴシック"/>
      <family val="2"/>
      <charset val="128"/>
      <scheme val="minor"/>
    </font>
    <font>
      <sz val="12"/>
      <name val="ＭＳ Ｐゴシック"/>
      <family val="3"/>
      <charset val="128"/>
      <scheme val="minor"/>
    </font>
    <font>
      <u/>
      <sz val="18"/>
      <name val="ＭＳ Ｐゴシック"/>
      <family val="3"/>
      <charset val="128"/>
      <scheme val="minor"/>
    </font>
    <font>
      <sz val="18"/>
      <name val="ＭＳ Ｐゴシック"/>
      <family val="3"/>
      <charset val="128"/>
      <scheme val="minor"/>
    </font>
    <font>
      <sz val="14"/>
      <name val="ＭＳ Ｐゴシック"/>
      <family val="3"/>
      <charset val="128"/>
      <scheme val="minor"/>
    </font>
    <font>
      <sz val="9"/>
      <name val="ＭＳ Ｐゴシック"/>
      <family val="3"/>
      <charset val="128"/>
      <scheme val="minor"/>
    </font>
    <font>
      <sz val="11"/>
      <color theme="1"/>
      <name val="ＭＳ Ｐゴシック"/>
      <family val="2"/>
      <scheme val="minor"/>
    </font>
    <font>
      <sz val="8"/>
      <name val="ＭＳ Ｐゴシック"/>
      <family val="3"/>
      <charset val="128"/>
    </font>
    <font>
      <sz val="11"/>
      <name val="ＭＳ Ｐ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rgb="FFCCFFCC"/>
        <bgColor indexed="64"/>
      </patternFill>
    </fill>
  </fills>
  <borders count="30">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s>
  <cellStyleXfs count="17">
    <xf numFmtId="0" fontId="0" fillId="0" borderId="0">
      <alignment vertical="center"/>
    </xf>
    <xf numFmtId="38" fontId="3" fillId="0" borderId="0" applyFont="0" applyFill="0" applyBorder="0" applyAlignment="0" applyProtection="0">
      <alignment vertical="center"/>
    </xf>
    <xf numFmtId="0" fontId="3" fillId="0" borderId="0">
      <alignment vertical="center"/>
    </xf>
    <xf numFmtId="0" fontId="9" fillId="0" borderId="27">
      <alignment horizontal="center" vertical="center"/>
    </xf>
    <xf numFmtId="178" fontId="15" fillId="0" borderId="0">
      <alignment vertical="top"/>
    </xf>
    <xf numFmtId="179" fontId="15" fillId="0" borderId="0" applyFont="0" applyFill="0" applyBorder="0" applyAlignment="0" applyProtection="0"/>
    <xf numFmtId="180" fontId="15" fillId="0" borderId="0" applyFont="0" applyFill="0" applyBorder="0" applyAlignment="0" applyProtection="0">
      <alignment vertical="top"/>
    </xf>
    <xf numFmtId="181" fontId="15" fillId="0" borderId="0" applyFont="0" applyFill="0" applyBorder="0" applyAlignment="0" applyProtection="0"/>
    <xf numFmtId="0" fontId="5" fillId="0" borderId="0" applyFill="0" applyBorder="0" applyProtection="0"/>
    <xf numFmtId="0" fontId="18" fillId="0" borderId="0" applyNumberFormat="0" applyFont="0" applyFill="0" applyBorder="0">
      <alignment horizontal="left" vertical="top" wrapText="1"/>
    </xf>
    <xf numFmtId="38" fontId="20" fillId="0" borderId="0" applyFont="0" applyFill="0" applyBorder="0" applyAlignment="0" applyProtection="0"/>
    <xf numFmtId="0" fontId="20" fillId="0" borderId="0"/>
    <xf numFmtId="0" fontId="20" fillId="0" borderId="0"/>
    <xf numFmtId="38" fontId="11" fillId="0" borderId="0" applyFont="0" applyFill="0" applyBorder="0" applyAlignment="0" applyProtection="0">
      <alignment vertical="center"/>
    </xf>
    <xf numFmtId="0" fontId="11" fillId="0" borderId="0">
      <alignment vertical="center"/>
    </xf>
    <xf numFmtId="9" fontId="3" fillId="0" borderId="0" applyFont="0" applyFill="0" applyBorder="0" applyAlignment="0" applyProtection="0">
      <alignment vertical="center"/>
    </xf>
    <xf numFmtId="0" fontId="30" fillId="0" borderId="0"/>
  </cellStyleXfs>
  <cellXfs count="267">
    <xf numFmtId="0" fontId="0" fillId="0" borderId="0" xfId="0">
      <alignment vertical="center"/>
    </xf>
    <xf numFmtId="0" fontId="7" fillId="0" borderId="0" xfId="0" applyFont="1">
      <alignment vertical="center"/>
    </xf>
    <xf numFmtId="0" fontId="7" fillId="0" borderId="0" xfId="2" applyFont="1">
      <alignment vertical="center"/>
    </xf>
    <xf numFmtId="0" fontId="6" fillId="0" borderId="0" xfId="0" applyFont="1">
      <alignment vertical="center"/>
    </xf>
    <xf numFmtId="0" fontId="7" fillId="0" borderId="0" xfId="0" applyFont="1" applyAlignment="1">
      <alignment horizontal="center" vertical="center"/>
    </xf>
    <xf numFmtId="0" fontId="7" fillId="0" borderId="15" xfId="0" applyFont="1" applyBorder="1">
      <alignment vertical="center"/>
    </xf>
    <xf numFmtId="0" fontId="9" fillId="0" borderId="11" xfId="0" applyFont="1" applyBorder="1" applyAlignment="1">
      <alignment horizontal="left" vertical="center"/>
    </xf>
    <xf numFmtId="0" fontId="7" fillId="0" borderId="11" xfId="0" applyFont="1" applyBorder="1">
      <alignment vertical="center"/>
    </xf>
    <xf numFmtId="0" fontId="9" fillId="0" borderId="0" xfId="0" applyFont="1">
      <alignment vertical="center"/>
    </xf>
    <xf numFmtId="0" fontId="15" fillId="0" borderId="0" xfId="0" applyFont="1">
      <alignment vertical="center"/>
    </xf>
    <xf numFmtId="0" fontId="16" fillId="0" borderId="0" xfId="0" applyFont="1">
      <alignment vertical="center"/>
    </xf>
    <xf numFmtId="0" fontId="15" fillId="0" borderId="0" xfId="0" applyFont="1" applyAlignment="1">
      <alignment horizontal="right" vertical="center"/>
    </xf>
    <xf numFmtId="0" fontId="17" fillId="0" borderId="0" xfId="0" applyFont="1" applyAlignment="1">
      <alignment horizontal="right" vertical="center"/>
    </xf>
    <xf numFmtId="0" fontId="15" fillId="0" borderId="3" xfId="0" applyFont="1" applyBorder="1">
      <alignment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176" fontId="15" fillId="0" borderId="0" xfId="0" applyNumberFormat="1" applyFont="1">
      <alignment vertical="center"/>
    </xf>
    <xf numFmtId="176" fontId="0" fillId="0" borderId="0" xfId="0" applyNumberFormat="1">
      <alignment vertical="center"/>
    </xf>
    <xf numFmtId="0" fontId="19" fillId="0" borderId="0" xfId="0" applyFont="1">
      <alignment vertical="center"/>
    </xf>
    <xf numFmtId="0" fontId="5" fillId="0" borderId="0" xfId="0" applyFont="1">
      <alignment vertical="center"/>
    </xf>
    <xf numFmtId="176" fontId="15" fillId="2" borderId="10" xfId="0" applyNumberFormat="1" applyFont="1" applyFill="1" applyBorder="1">
      <alignment vertical="center"/>
    </xf>
    <xf numFmtId="38" fontId="0" fillId="0" borderId="0" xfId="1" applyFont="1">
      <alignment vertical="center"/>
    </xf>
    <xf numFmtId="38" fontId="0" fillId="0" borderId="0" xfId="1" applyFont="1" applyBorder="1">
      <alignment vertical="center"/>
    </xf>
    <xf numFmtId="0" fontId="0" fillId="0" borderId="15" xfId="0" applyBorder="1">
      <alignment vertical="center"/>
    </xf>
    <xf numFmtId="0" fontId="0" fillId="0" borderId="15" xfId="0" applyBorder="1" applyAlignment="1">
      <alignment horizontal="center" vertical="center" wrapText="1"/>
    </xf>
    <xf numFmtId="0" fontId="0" fillId="0" borderId="3" xfId="0" applyBorder="1" applyAlignment="1">
      <alignment vertical="center" wrapText="1"/>
    </xf>
    <xf numFmtId="0" fontId="0" fillId="0" borderId="15" xfId="0" applyBorder="1" applyAlignment="1">
      <alignment vertical="center" wrapText="1"/>
    </xf>
    <xf numFmtId="0" fontId="0" fillId="0" borderId="15" xfId="0" applyBorder="1" applyAlignment="1">
      <alignment vertical="center" shrinkToFit="1"/>
    </xf>
    <xf numFmtId="0" fontId="0" fillId="0" borderId="3" xfId="0" applyBorder="1" applyAlignment="1">
      <alignment vertical="center" shrinkToFit="1"/>
    </xf>
    <xf numFmtId="184" fontId="0" fillId="0" borderId="0" xfId="1" applyNumberFormat="1" applyFont="1">
      <alignment vertical="center"/>
    </xf>
    <xf numFmtId="0" fontId="22" fillId="0" borderId="0" xfId="0" applyFont="1">
      <alignment vertical="center"/>
    </xf>
    <xf numFmtId="0" fontId="2" fillId="0" borderId="0" xfId="0" applyFont="1" applyAlignment="1">
      <alignment horizontal="left" vertical="center"/>
    </xf>
    <xf numFmtId="0" fontId="11" fillId="0" borderId="0" xfId="0" applyFont="1" applyAlignment="1">
      <alignment horizontal="right" vertical="center"/>
    </xf>
    <xf numFmtId="0" fontId="11" fillId="0" borderId="0" xfId="0" applyFont="1">
      <alignment vertical="center"/>
    </xf>
    <xf numFmtId="0" fontId="15" fillId="2" borderId="19"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3" xfId="0" applyFont="1" applyFill="1" applyBorder="1" applyAlignment="1">
      <alignment horizontal="center" vertical="center" wrapText="1"/>
    </xf>
    <xf numFmtId="176" fontId="21" fillId="0" borderId="15" xfId="0" applyNumberFormat="1" applyFont="1" applyBorder="1" applyAlignment="1">
      <alignment vertical="center" shrinkToFit="1"/>
    </xf>
    <xf numFmtId="176" fontId="21" fillId="0" borderId="21" xfId="0" applyNumberFormat="1" applyFont="1" applyBorder="1" applyAlignment="1">
      <alignment vertical="center" shrinkToFit="1"/>
    </xf>
    <xf numFmtId="176" fontId="21" fillId="0" borderId="13" xfId="0" applyNumberFormat="1" applyFont="1" applyBorder="1" applyAlignment="1">
      <alignment vertical="center" shrinkToFit="1"/>
    </xf>
    <xf numFmtId="0" fontId="0" fillId="0" borderId="15" xfId="2" applyFont="1" applyBorder="1" applyAlignment="1">
      <alignment horizontal="center" vertical="center" wrapText="1"/>
    </xf>
    <xf numFmtId="0" fontId="0" fillId="0" borderId="15" xfId="2" applyFont="1" applyBorder="1">
      <alignment vertical="center"/>
    </xf>
    <xf numFmtId="0" fontId="0" fillId="0" borderId="15" xfId="2" applyFont="1" applyBorder="1" applyAlignment="1">
      <alignment horizontal="center" vertical="center"/>
    </xf>
    <xf numFmtId="38" fontId="7" fillId="0" borderId="0" xfId="1" applyFont="1">
      <alignment vertical="center"/>
    </xf>
    <xf numFmtId="184" fontId="7" fillId="0" borderId="0" xfId="1" applyNumberFormat="1" applyFont="1">
      <alignment vertical="center"/>
    </xf>
    <xf numFmtId="0" fontId="23" fillId="0" borderId="0" xfId="0" applyFont="1" applyAlignment="1">
      <alignment horizontal="right" vertical="center"/>
    </xf>
    <xf numFmtId="0" fontId="21" fillId="0" borderId="15" xfId="0" applyFont="1" applyBorder="1" applyAlignment="1">
      <alignment horizontal="center" vertical="center"/>
    </xf>
    <xf numFmtId="0" fontId="21" fillId="0" borderId="6" xfId="0" applyFont="1" applyBorder="1" applyAlignment="1">
      <alignment horizontal="left" vertical="center"/>
    </xf>
    <xf numFmtId="0" fontId="21" fillId="0" borderId="6" xfId="0" applyFont="1" applyBorder="1" applyAlignment="1">
      <alignment horizontal="center" vertical="center"/>
    </xf>
    <xf numFmtId="38" fontId="0" fillId="0" borderId="0" xfId="1" applyFont="1" applyAlignment="1">
      <alignment vertical="center"/>
    </xf>
    <xf numFmtId="176" fontId="7" fillId="0" borderId="0" xfId="0" applyNumberFormat="1" applyFont="1">
      <alignment vertical="center"/>
    </xf>
    <xf numFmtId="0" fontId="0" fillId="0" borderId="15" xfId="0" applyBorder="1" applyAlignment="1">
      <alignment horizontal="center" vertical="center"/>
    </xf>
    <xf numFmtId="0" fontId="1" fillId="0" borderId="0" xfId="0" applyFont="1" applyAlignment="1">
      <alignment horizontal="right"/>
    </xf>
    <xf numFmtId="0" fontId="1" fillId="0" borderId="0" xfId="0" applyFont="1">
      <alignment vertical="center"/>
    </xf>
    <xf numFmtId="0" fontId="27" fillId="0" borderId="0" xfId="0" applyFont="1" applyAlignment="1">
      <alignment horizontal="center" vertical="center"/>
    </xf>
    <xf numFmtId="0" fontId="25" fillId="0" borderId="5" xfId="0" applyFont="1" applyBorder="1">
      <alignment vertical="center"/>
    </xf>
    <xf numFmtId="0" fontId="28" fillId="0" borderId="5" xfId="0" applyFont="1" applyBorder="1">
      <alignment vertical="center"/>
    </xf>
    <xf numFmtId="0" fontId="28" fillId="0" borderId="0" xfId="0" applyFont="1" applyAlignment="1">
      <alignment horizontal="center" vertical="center"/>
    </xf>
    <xf numFmtId="0" fontId="8" fillId="0" borderId="0" xfId="0" applyFont="1">
      <alignment vertical="center"/>
    </xf>
    <xf numFmtId="0" fontId="7" fillId="0" borderId="0" xfId="0" applyFont="1" applyAlignment="1">
      <alignment horizontal="right" vertical="center"/>
    </xf>
    <xf numFmtId="0" fontId="0" fillId="0" borderId="0" xfId="0" applyAlignment="1">
      <alignment horizontal="right" vertical="center"/>
    </xf>
    <xf numFmtId="0" fontId="21" fillId="0" borderId="0" xfId="0" applyFont="1" applyAlignment="1">
      <alignment horizontal="center" vertical="center"/>
    </xf>
    <xf numFmtId="0" fontId="21" fillId="0" borderId="0" xfId="0" applyFont="1" applyAlignment="1">
      <alignment horizontal="right" vertical="center"/>
    </xf>
    <xf numFmtId="0" fontId="21" fillId="0" borderId="0" xfId="0" applyFont="1" applyAlignment="1">
      <alignment horizontal="left" vertical="center"/>
    </xf>
    <xf numFmtId="0" fontId="29" fillId="0" borderId="11" xfId="0" applyFont="1" applyBorder="1">
      <alignment vertical="center"/>
    </xf>
    <xf numFmtId="0" fontId="21" fillId="0" borderId="11" xfId="0" applyFont="1" applyBorder="1" applyAlignment="1">
      <alignment horizontal="left" vertical="center"/>
    </xf>
    <xf numFmtId="0" fontId="23" fillId="0" borderId="1" xfId="0" applyFont="1" applyBorder="1" applyAlignment="1">
      <alignment horizontal="center" vertical="center"/>
    </xf>
    <xf numFmtId="38" fontId="23" fillId="0" borderId="1" xfId="1" applyFont="1" applyFill="1" applyBorder="1" applyAlignment="1">
      <alignment horizontal="center" vertical="center"/>
    </xf>
    <xf numFmtId="0" fontId="9" fillId="0" borderId="0" xfId="2" applyFont="1" applyAlignment="1">
      <alignment horizontal="left" vertical="center"/>
    </xf>
    <xf numFmtId="0" fontId="7" fillId="0" borderId="0" xfId="2" applyFont="1" applyAlignment="1">
      <alignment horizontal="center" vertical="center"/>
    </xf>
    <xf numFmtId="0" fontId="7" fillId="0" borderId="0" xfId="2" applyFont="1" applyAlignment="1">
      <alignment horizontal="center" vertical="center" wrapText="1"/>
    </xf>
    <xf numFmtId="0" fontId="23" fillId="0" borderId="0" xfId="0" applyFont="1" applyAlignment="1">
      <alignment horizontal="center" vertical="center"/>
    </xf>
    <xf numFmtId="0" fontId="7" fillId="0" borderId="0" xfId="2" applyFont="1" applyAlignment="1">
      <alignment horizontal="left" vertical="center"/>
    </xf>
    <xf numFmtId="0" fontId="6" fillId="0" borderId="5" xfId="2" applyFont="1" applyBorder="1">
      <alignment vertical="center"/>
    </xf>
    <xf numFmtId="0" fontId="8" fillId="0" borderId="5" xfId="2" applyFont="1" applyBorder="1">
      <alignment vertical="center"/>
    </xf>
    <xf numFmtId="176" fontId="7" fillId="0" borderId="15" xfId="2" applyNumberFormat="1" applyFont="1" applyBorder="1" applyAlignment="1">
      <alignment vertical="center" wrapText="1"/>
    </xf>
    <xf numFmtId="176" fontId="7" fillId="0" borderId="15" xfId="2" applyNumberFormat="1" applyFont="1" applyBorder="1">
      <alignment vertical="center"/>
    </xf>
    <xf numFmtId="0" fontId="21" fillId="0" borderId="0" xfId="0" applyFont="1">
      <alignment vertical="center"/>
    </xf>
    <xf numFmtId="0" fontId="21" fillId="0" borderId="5" xfId="0" applyFont="1" applyBorder="1" applyAlignment="1">
      <alignment horizontal="right" vertical="center"/>
    </xf>
    <xf numFmtId="38" fontId="0" fillId="0" borderId="15" xfId="1" applyFont="1" applyFill="1" applyBorder="1">
      <alignment vertical="center"/>
    </xf>
    <xf numFmtId="182" fontId="0" fillId="0" borderId="15" xfId="1" applyNumberFormat="1" applyFont="1" applyFill="1" applyBorder="1">
      <alignment vertical="center"/>
    </xf>
    <xf numFmtId="0" fontId="21" fillId="0" borderId="13" xfId="0" applyFont="1" applyBorder="1" applyAlignment="1">
      <alignment horizontal="center" vertical="center"/>
    </xf>
    <xf numFmtId="38" fontId="21" fillId="0" borderId="6" xfId="1" applyFont="1" applyBorder="1">
      <alignment vertical="center"/>
    </xf>
    <xf numFmtId="38" fontId="0" fillId="0" borderId="0" xfId="0" applyNumberFormat="1">
      <alignment vertical="center"/>
    </xf>
    <xf numFmtId="3" fontId="0" fillId="0" borderId="0" xfId="0" applyNumberFormat="1">
      <alignment vertical="center"/>
    </xf>
    <xf numFmtId="38" fontId="0" fillId="0" borderId="0" xfId="1" applyFont="1" applyFill="1" applyBorder="1">
      <alignment vertical="center"/>
    </xf>
    <xf numFmtId="38" fontId="9" fillId="0" borderId="0" xfId="1" applyFont="1">
      <alignment vertical="center"/>
    </xf>
    <xf numFmtId="3" fontId="0" fillId="3" borderId="0" xfId="0" applyNumberFormat="1" applyFill="1">
      <alignment vertical="center"/>
    </xf>
    <xf numFmtId="0" fontId="0" fillId="0" borderId="0" xfId="0" applyBorder="1" applyAlignment="1">
      <alignment horizontal="left" vertical="center"/>
    </xf>
    <xf numFmtId="0" fontId="21" fillId="0" borderId="8" xfId="0" applyFont="1" applyBorder="1" applyAlignment="1">
      <alignment horizontal="center" vertical="center"/>
    </xf>
    <xf numFmtId="0" fontId="21" fillId="0" borderId="8" xfId="0" applyFont="1" applyBorder="1">
      <alignment vertical="center"/>
    </xf>
    <xf numFmtId="0" fontId="31" fillId="0" borderId="15" xfId="14" applyFont="1" applyBorder="1" applyAlignment="1">
      <alignment vertical="center" wrapText="1"/>
    </xf>
    <xf numFmtId="0" fontId="21" fillId="0" borderId="5" xfId="0" applyFont="1" applyBorder="1" applyAlignment="1">
      <alignment horizontal="center" vertical="center"/>
    </xf>
    <xf numFmtId="38" fontId="21" fillId="0" borderId="13" xfId="1" applyFont="1" applyBorder="1">
      <alignment vertical="center"/>
    </xf>
    <xf numFmtId="183" fontId="0" fillId="0" borderId="15" xfId="14" applyNumberFormat="1" applyFont="1" applyBorder="1" applyAlignment="1">
      <alignment vertical="center" wrapText="1"/>
    </xf>
    <xf numFmtId="0" fontId="21" fillId="0" borderId="13" xfId="0" applyFont="1" applyBorder="1" applyAlignment="1">
      <alignment horizontal="center" vertical="center"/>
    </xf>
    <xf numFmtId="0" fontId="21" fillId="0" borderId="15" xfId="0" applyFont="1" applyBorder="1">
      <alignment vertical="center"/>
    </xf>
    <xf numFmtId="0" fontId="21" fillId="0" borderId="7" xfId="0" applyFont="1" applyBorder="1" applyAlignment="1">
      <alignment horizontal="center" vertical="center" wrapText="1"/>
    </xf>
    <xf numFmtId="185" fontId="0" fillId="0" borderId="0" xfId="0" applyNumberFormat="1">
      <alignment vertical="center"/>
    </xf>
    <xf numFmtId="184" fontId="23" fillId="0" borderId="1" xfId="1" applyNumberFormat="1" applyFont="1" applyFill="1" applyBorder="1" applyAlignment="1">
      <alignment horizontal="center" vertical="center"/>
    </xf>
    <xf numFmtId="0" fontId="3" fillId="0" borderId="0" xfId="0" applyFont="1">
      <alignment vertical="center"/>
    </xf>
    <xf numFmtId="176" fontId="0" fillId="0" borderId="15" xfId="0" applyNumberFormat="1" applyFont="1" applyBorder="1">
      <alignment vertical="center"/>
    </xf>
    <xf numFmtId="0" fontId="0" fillId="0" borderId="0" xfId="0" applyFont="1">
      <alignment vertical="center"/>
    </xf>
    <xf numFmtId="0" fontId="0" fillId="0" borderId="15" xfId="0" applyFont="1" applyBorder="1" applyAlignment="1">
      <alignment horizontal="center" vertical="center" wrapText="1"/>
    </xf>
    <xf numFmtId="176" fontId="0" fillId="0" borderId="15" xfId="0" applyNumberFormat="1" applyFont="1" applyBorder="1" applyAlignment="1">
      <alignment horizontal="right" vertical="center"/>
    </xf>
    <xf numFmtId="176" fontId="0" fillId="0" borderId="10" xfId="0" applyNumberFormat="1" applyFont="1" applyBorder="1" applyAlignment="1">
      <alignment horizontal="right" vertical="center"/>
    </xf>
    <xf numFmtId="176" fontId="0" fillId="0" borderId="15" xfId="0" applyNumberFormat="1" applyFont="1" applyFill="1" applyBorder="1">
      <alignment vertical="center"/>
    </xf>
    <xf numFmtId="177" fontId="0" fillId="0" borderId="15" xfId="0" applyNumberFormat="1" applyFont="1" applyFill="1" applyBorder="1">
      <alignment vertical="center"/>
    </xf>
    <xf numFmtId="0" fontId="7" fillId="0" borderId="0" xfId="0" applyFont="1" applyFill="1">
      <alignment vertical="center"/>
    </xf>
    <xf numFmtId="176" fontId="0" fillId="0" borderId="0" xfId="0" applyNumberFormat="1" applyFont="1" applyFill="1" applyBorder="1">
      <alignment vertical="center"/>
    </xf>
    <xf numFmtId="177" fontId="0" fillId="0" borderId="0" xfId="0" applyNumberFormat="1" applyFont="1" applyFill="1" applyBorder="1">
      <alignment vertical="center"/>
    </xf>
    <xf numFmtId="0" fontId="0" fillId="0" borderId="0" xfId="0" applyFont="1" applyFill="1">
      <alignment vertical="center"/>
    </xf>
    <xf numFmtId="0" fontId="7" fillId="0" borderId="0" xfId="0" applyFont="1" applyFill="1" applyAlignment="1">
      <alignment horizontal="right" vertical="center"/>
    </xf>
    <xf numFmtId="0" fontId="0" fillId="0" borderId="0" xfId="0" applyFont="1" applyFill="1" applyAlignment="1">
      <alignment horizontal="right" vertical="center"/>
    </xf>
    <xf numFmtId="0" fontId="0" fillId="0" borderId="16" xfId="0" applyFont="1" applyFill="1" applyBorder="1" applyAlignment="1">
      <alignment horizontal="center" vertical="center" wrapText="1"/>
    </xf>
    <xf numFmtId="0" fontId="0" fillId="0" borderId="15" xfId="0" applyFont="1" applyFill="1" applyBorder="1" applyAlignment="1">
      <alignment horizontal="center" vertical="center" wrapText="1"/>
    </xf>
    <xf numFmtId="176" fontId="0" fillId="0" borderId="15" xfId="0" applyNumberFormat="1" applyFont="1" applyFill="1" applyBorder="1" applyAlignment="1">
      <alignment horizontal="right" vertical="center"/>
    </xf>
    <xf numFmtId="177" fontId="0" fillId="0" borderId="15" xfId="15" applyNumberFormat="1" applyFont="1" applyFill="1" applyBorder="1" applyAlignment="1">
      <alignment horizontal="right" vertical="center"/>
    </xf>
    <xf numFmtId="176" fontId="0" fillId="0" borderId="10" xfId="0" applyNumberFormat="1" applyFont="1" applyFill="1" applyBorder="1" applyAlignment="1">
      <alignment horizontal="right" vertical="center"/>
    </xf>
    <xf numFmtId="0" fontId="0" fillId="0" borderId="15" xfId="0" applyFont="1" applyBorder="1" applyAlignment="1">
      <alignment horizontal="left" vertical="center"/>
    </xf>
    <xf numFmtId="176" fontId="0" fillId="0" borderId="17" xfId="0" applyNumberFormat="1" applyFont="1" applyBorder="1">
      <alignment vertical="center"/>
    </xf>
    <xf numFmtId="176" fontId="0" fillId="0" borderId="17" xfId="0" applyNumberFormat="1" applyFont="1" applyBorder="1" applyAlignment="1">
      <alignment horizontal="right" vertical="center"/>
    </xf>
    <xf numFmtId="0" fontId="0" fillId="0" borderId="15" xfId="0" applyFont="1" applyBorder="1" applyAlignment="1">
      <alignment horizontal="left" vertical="center" wrapText="1"/>
    </xf>
    <xf numFmtId="0" fontId="0" fillId="0" borderId="16" xfId="0" applyFont="1" applyBorder="1" applyAlignment="1">
      <alignment horizontal="left" vertical="center" wrapText="1"/>
    </xf>
    <xf numFmtId="176" fontId="0" fillId="0" borderId="16" xfId="0" applyNumberFormat="1" applyFont="1" applyBorder="1">
      <alignment vertical="center"/>
    </xf>
    <xf numFmtId="0" fontId="0" fillId="0" borderId="16" xfId="0" applyFont="1" applyBorder="1" applyAlignment="1">
      <alignment horizontal="left" vertical="center"/>
    </xf>
    <xf numFmtId="0" fontId="0" fillId="0" borderId="16" xfId="0" applyFont="1" applyBorder="1" applyAlignment="1">
      <alignment horizontal="center" vertical="center"/>
    </xf>
    <xf numFmtId="0" fontId="0" fillId="0" borderId="15" xfId="0" applyFont="1" applyBorder="1">
      <alignment vertical="center"/>
    </xf>
    <xf numFmtId="0" fontId="0" fillId="0" borderId="29" xfId="0" applyFont="1" applyBorder="1" applyAlignment="1">
      <alignment vertical="center" wrapText="1"/>
    </xf>
    <xf numFmtId="176" fontId="0" fillId="0" borderId="29" xfId="0" applyNumberFormat="1" applyFont="1" applyBorder="1">
      <alignment vertical="center"/>
    </xf>
    <xf numFmtId="176" fontId="0" fillId="0" borderId="29" xfId="0" applyNumberFormat="1" applyFont="1" applyBorder="1" applyAlignment="1">
      <alignment horizontal="right" vertical="center"/>
    </xf>
    <xf numFmtId="0" fontId="0" fillId="0" borderId="10" xfId="0" applyFont="1" applyBorder="1" applyAlignment="1">
      <alignment horizontal="center" vertical="center"/>
    </xf>
    <xf numFmtId="176" fontId="0" fillId="0" borderId="10" xfId="0" applyNumberFormat="1" applyFont="1" applyBorder="1">
      <alignment vertical="center"/>
    </xf>
    <xf numFmtId="0" fontId="0" fillId="0" borderId="16" xfId="0" applyFont="1" applyBorder="1">
      <alignment vertical="center"/>
    </xf>
    <xf numFmtId="176" fontId="0" fillId="0" borderId="16" xfId="0" applyNumberFormat="1" applyFont="1" applyBorder="1" applyAlignment="1">
      <alignment horizontal="right" vertical="center"/>
    </xf>
    <xf numFmtId="0" fontId="0" fillId="0" borderId="10" xfId="0" applyFont="1" applyBorder="1">
      <alignment vertical="center"/>
    </xf>
    <xf numFmtId="0" fontId="0" fillId="0" borderId="9" xfId="0" applyFont="1" applyBorder="1">
      <alignment vertical="center"/>
    </xf>
    <xf numFmtId="176" fontId="0" fillId="0" borderId="9" xfId="0" applyNumberFormat="1" applyFont="1" applyBorder="1">
      <alignment vertical="center"/>
    </xf>
    <xf numFmtId="176" fontId="0" fillId="0" borderId="9" xfId="0" applyNumberFormat="1" applyFont="1" applyBorder="1" applyAlignment="1">
      <alignment horizontal="right" vertical="center"/>
    </xf>
    <xf numFmtId="0" fontId="0" fillId="0" borderId="18" xfId="0" applyFont="1" applyBorder="1" applyAlignment="1">
      <alignment horizontal="center" vertical="center"/>
    </xf>
    <xf numFmtId="176" fontId="0" fillId="0" borderId="18" xfId="0" applyNumberFormat="1" applyFont="1" applyBorder="1">
      <alignment vertical="center"/>
    </xf>
    <xf numFmtId="176" fontId="0" fillId="0" borderId="18" xfId="0" applyNumberFormat="1" applyFont="1" applyBorder="1" applyAlignment="1">
      <alignment horizontal="right" vertical="center"/>
    </xf>
    <xf numFmtId="0" fontId="32" fillId="2" borderId="20" xfId="0" applyFont="1" applyFill="1" applyBorder="1" applyAlignment="1">
      <alignment horizontal="center" vertical="center"/>
    </xf>
    <xf numFmtId="0" fontId="32" fillId="2" borderId="7" xfId="0" applyFont="1" applyFill="1" applyBorder="1" applyAlignment="1">
      <alignment horizontal="center" vertical="center"/>
    </xf>
    <xf numFmtId="176" fontId="21" fillId="0" borderId="21" xfId="0" applyNumberFormat="1" applyFont="1" applyBorder="1">
      <alignment vertical="center"/>
    </xf>
    <xf numFmtId="176" fontId="15" fillId="2" borderId="7" xfId="0" applyNumberFormat="1" applyFont="1" applyFill="1" applyBorder="1" applyAlignment="1">
      <alignment horizontal="center" vertical="center" wrapText="1"/>
    </xf>
    <xf numFmtId="176" fontId="15" fillId="2" borderId="23" xfId="0" applyNumberFormat="1" applyFont="1" applyFill="1" applyBorder="1">
      <alignment vertical="center"/>
    </xf>
    <xf numFmtId="10" fontId="15" fillId="2" borderId="10" xfId="0" applyNumberFormat="1" applyFont="1" applyFill="1" applyBorder="1">
      <alignment vertical="center"/>
    </xf>
    <xf numFmtId="0" fontId="0" fillId="2" borderId="1" xfId="0" applyFont="1" applyFill="1" applyBorder="1" applyAlignment="1">
      <alignment horizontal="center" vertical="center"/>
    </xf>
    <xf numFmtId="0" fontId="32" fillId="0" borderId="0" xfId="0" applyFont="1" applyAlignment="1">
      <alignment horizontal="left" vertical="center"/>
    </xf>
    <xf numFmtId="183" fontId="0" fillId="0" borderId="28" xfId="14" applyNumberFormat="1" applyFont="1" applyBorder="1" applyAlignment="1">
      <alignment vertical="center" wrapText="1" shrinkToFit="1"/>
    </xf>
    <xf numFmtId="38" fontId="0" fillId="0" borderId="28" xfId="1" applyFont="1" applyFill="1" applyBorder="1" applyAlignment="1">
      <alignment vertical="center" wrapText="1"/>
    </xf>
    <xf numFmtId="183" fontId="0" fillId="0" borderId="10" xfId="14" applyNumberFormat="1" applyFont="1" applyBorder="1" applyAlignment="1">
      <alignment vertical="center" wrapText="1" shrinkToFit="1"/>
    </xf>
    <xf numFmtId="38" fontId="0" fillId="0" borderId="10" xfId="1" applyFont="1" applyFill="1" applyBorder="1" applyAlignment="1">
      <alignment vertical="center" wrapText="1"/>
    </xf>
    <xf numFmtId="38" fontId="0" fillId="0" borderId="15" xfId="1" applyFont="1" applyFill="1" applyBorder="1" applyAlignment="1">
      <alignment vertical="center" wrapText="1"/>
    </xf>
    <xf numFmtId="38" fontId="0" fillId="0" borderId="15" xfId="1" applyFont="1" applyFill="1" applyBorder="1" applyAlignment="1">
      <alignment vertical="center" shrinkToFit="1"/>
    </xf>
    <xf numFmtId="183" fontId="0" fillId="0" borderId="15" xfId="14" applyNumberFormat="1" applyFont="1" applyBorder="1" applyAlignment="1">
      <alignment vertical="center" shrinkToFit="1"/>
    </xf>
    <xf numFmtId="0" fontId="0" fillId="0" borderId="15" xfId="14" applyFont="1" applyBorder="1" applyAlignment="1">
      <alignment vertical="center" wrapText="1"/>
    </xf>
    <xf numFmtId="0" fontId="0" fillId="0" borderId="5" xfId="14" applyFont="1" applyBorder="1" applyAlignment="1">
      <alignment vertical="center" wrapText="1"/>
    </xf>
    <xf numFmtId="38" fontId="0" fillId="0" borderId="6" xfId="1" applyFont="1" applyFill="1" applyBorder="1" applyAlignment="1">
      <alignment vertical="center" shrinkToFit="1"/>
    </xf>
    <xf numFmtId="182" fontId="21" fillId="0" borderId="13" xfId="1" applyNumberFormat="1" applyFont="1" applyFill="1" applyBorder="1">
      <alignment vertical="center"/>
    </xf>
    <xf numFmtId="182" fontId="21" fillId="0" borderId="6" xfId="1" applyNumberFormat="1" applyFont="1" applyFill="1" applyBorder="1">
      <alignment vertical="center"/>
    </xf>
    <xf numFmtId="0" fontId="0" fillId="0" borderId="15" xfId="0" applyFont="1" applyFill="1" applyBorder="1" applyAlignment="1">
      <alignment horizontal="center" vertical="center"/>
    </xf>
    <xf numFmtId="0" fontId="0" fillId="0" borderId="15" xfId="0" applyFont="1" applyFill="1" applyBorder="1">
      <alignment vertical="center"/>
    </xf>
    <xf numFmtId="38" fontId="0" fillId="0" borderId="15" xfId="1" applyFont="1" applyBorder="1">
      <alignment vertical="center"/>
    </xf>
    <xf numFmtId="38" fontId="0" fillId="0" borderId="15" xfId="2" applyNumberFormat="1" applyFont="1" applyBorder="1">
      <alignment vertical="center"/>
    </xf>
    <xf numFmtId="176" fontId="7" fillId="0" borderId="3" xfId="2" applyNumberFormat="1" applyFont="1" applyBorder="1" applyAlignment="1">
      <alignment vertical="center" wrapText="1"/>
    </xf>
    <xf numFmtId="176" fontId="7" fillId="0" borderId="13" xfId="2" applyNumberFormat="1" applyFont="1" applyBorder="1" applyAlignment="1">
      <alignment vertical="center" wrapText="1"/>
    </xf>
    <xf numFmtId="0" fontId="7" fillId="0" borderId="15" xfId="2" applyFont="1" applyBorder="1" applyAlignment="1">
      <alignment horizontal="center" vertical="center"/>
    </xf>
    <xf numFmtId="0" fontId="23" fillId="0" borderId="3" xfId="0" applyFont="1" applyBorder="1" applyAlignment="1">
      <alignment horizontal="left" vertical="center"/>
    </xf>
    <xf numFmtId="0" fontId="23" fillId="0" borderId="13" xfId="0" applyFont="1" applyBorder="1" applyAlignment="1">
      <alignment horizontal="left" vertical="center"/>
    </xf>
    <xf numFmtId="176" fontId="7" fillId="0" borderId="3" xfId="2" applyNumberFormat="1" applyFont="1" applyBorder="1">
      <alignment vertical="center"/>
    </xf>
    <xf numFmtId="176" fontId="7" fillId="0" borderId="13" xfId="2" applyNumberFormat="1" applyFont="1" applyBorder="1">
      <alignment vertical="center"/>
    </xf>
    <xf numFmtId="0" fontId="7" fillId="0" borderId="15" xfId="2" applyFont="1" applyBorder="1" applyAlignment="1">
      <alignment horizontal="left" vertical="center" wrapText="1"/>
    </xf>
    <xf numFmtId="0" fontId="7" fillId="0" borderId="15" xfId="2" applyFont="1" applyBorder="1" applyAlignment="1">
      <alignment horizontal="left" vertical="center"/>
    </xf>
    <xf numFmtId="0" fontId="7" fillId="0" borderId="3" xfId="2" applyFont="1" applyBorder="1" applyAlignment="1">
      <alignment horizontal="left" vertical="center"/>
    </xf>
    <xf numFmtId="0" fontId="7" fillId="0" borderId="13" xfId="2" applyFont="1" applyBorder="1" applyAlignment="1">
      <alignment horizontal="left" vertical="center"/>
    </xf>
    <xf numFmtId="176" fontId="23" fillId="0" borderId="3" xfId="0" applyNumberFormat="1" applyFont="1" applyBorder="1">
      <alignment vertical="center"/>
    </xf>
    <xf numFmtId="176" fontId="23" fillId="0" borderId="13" xfId="0" applyNumberFormat="1" applyFont="1" applyBorder="1">
      <alignment vertical="center"/>
    </xf>
    <xf numFmtId="0" fontId="7" fillId="0" borderId="12"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7" xfId="2" applyFont="1" applyBorder="1" applyAlignment="1">
      <alignment horizontal="center" vertical="center" wrapText="1"/>
    </xf>
    <xf numFmtId="0" fontId="7" fillId="0" borderId="6" xfId="2" applyFont="1" applyBorder="1" applyAlignment="1">
      <alignment horizontal="center" vertical="center" wrapText="1"/>
    </xf>
    <xf numFmtId="0" fontId="7" fillId="0" borderId="16" xfId="2" applyFont="1" applyBorder="1" applyAlignment="1">
      <alignment horizontal="center" vertical="center" wrapText="1"/>
    </xf>
    <xf numFmtId="0" fontId="7" fillId="0" borderId="10" xfId="2" applyFont="1" applyBorder="1" applyAlignment="1">
      <alignment horizontal="center" vertical="center" wrapText="1"/>
    </xf>
    <xf numFmtId="0" fontId="7" fillId="0" borderId="3" xfId="2" applyFont="1" applyBorder="1" applyAlignment="1">
      <alignment horizontal="left" vertical="center" wrapText="1"/>
    </xf>
    <xf numFmtId="0" fontId="7" fillId="0" borderId="13" xfId="2" applyFont="1" applyBorder="1" applyAlignment="1">
      <alignment horizontal="left" vertical="center" wrapText="1"/>
    </xf>
    <xf numFmtId="0" fontId="7" fillId="0" borderId="15" xfId="2" applyFont="1" applyBorder="1" applyAlignment="1">
      <alignment horizontal="center" vertical="center" wrapText="1"/>
    </xf>
    <xf numFmtId="0" fontId="7" fillId="0" borderId="3" xfId="2" applyFont="1" applyBorder="1" applyAlignment="1">
      <alignment horizontal="center" vertical="center"/>
    </xf>
    <xf numFmtId="0" fontId="7" fillId="0" borderId="13" xfId="2" applyFont="1" applyBorder="1" applyAlignment="1">
      <alignment horizontal="center" vertical="center"/>
    </xf>
    <xf numFmtId="0" fontId="23" fillId="0" borderId="15" xfId="0" applyFont="1" applyBorder="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0" fillId="0" borderId="0" xfId="0" applyAlignment="1">
      <alignment horizontal="right" vertical="center"/>
    </xf>
    <xf numFmtId="0" fontId="7" fillId="0" borderId="3" xfId="2" applyFont="1" applyBorder="1" applyAlignment="1">
      <alignment horizontal="center" vertical="center" wrapText="1"/>
    </xf>
    <xf numFmtId="0" fontId="7" fillId="0" borderId="13" xfId="2" applyFont="1" applyBorder="1" applyAlignment="1">
      <alignment horizontal="center" vertical="center" wrapText="1"/>
    </xf>
    <xf numFmtId="0" fontId="23" fillId="0" borderId="15" xfId="0" applyFont="1" applyBorder="1" applyAlignment="1">
      <alignment horizontal="center" vertical="center" wrapText="1"/>
    </xf>
    <xf numFmtId="0" fontId="23" fillId="0" borderId="15" xfId="0" applyFont="1" applyBorder="1" applyAlignment="1">
      <alignment horizontal="center" vertical="center"/>
    </xf>
    <xf numFmtId="0" fontId="0" fillId="2" borderId="16" xfId="0" applyFont="1" applyFill="1" applyBorder="1" applyAlignment="1">
      <alignment horizontal="center" vertical="center" wrapText="1"/>
    </xf>
    <xf numFmtId="0" fontId="0" fillId="2" borderId="10"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0" xfId="0" applyFont="1" applyBorder="1" applyAlignment="1">
      <alignment horizontal="center" vertical="center"/>
    </xf>
    <xf numFmtId="0" fontId="0" fillId="0" borderId="16"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3" xfId="0" applyFont="1" applyBorder="1" applyAlignment="1">
      <alignment horizontal="center" vertical="center" wrapText="1"/>
    </xf>
    <xf numFmtId="0" fontId="15" fillId="2" borderId="12"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32" fillId="2" borderId="10" xfId="0" applyFont="1" applyFill="1" applyBorder="1" applyAlignment="1">
      <alignment horizontal="center" vertical="center"/>
    </xf>
    <xf numFmtId="0" fontId="15" fillId="2" borderId="10"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32" fillId="2" borderId="6" xfId="0" applyFont="1" applyFill="1" applyBorder="1" applyAlignment="1">
      <alignment horizontal="center" vertical="center"/>
    </xf>
    <xf numFmtId="0" fontId="17" fillId="2" borderId="1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24"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4" xfId="0" applyFont="1" applyFill="1" applyBorder="1" applyAlignment="1">
      <alignment horizontal="center" vertical="center"/>
    </xf>
    <xf numFmtId="0" fontId="17" fillId="2" borderId="2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5"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15" fillId="2" borderId="22" xfId="0" applyFont="1" applyFill="1" applyBorder="1" applyAlignment="1">
      <alignment horizontal="center" vertical="center" wrapText="1"/>
    </xf>
    <xf numFmtId="0" fontId="0" fillId="2" borderId="23" xfId="0" applyFont="1" applyFill="1" applyBorder="1" applyAlignment="1">
      <alignment horizontal="center" vertical="center"/>
    </xf>
    <xf numFmtId="0" fontId="15" fillId="0" borderId="26" xfId="0" applyFont="1" applyBorder="1" applyAlignment="1">
      <alignment horizontal="center" vertical="center"/>
    </xf>
    <xf numFmtId="0" fontId="15" fillId="0" borderId="2" xfId="0" applyFont="1" applyBorder="1" applyAlignment="1">
      <alignment horizontal="center" vertical="center"/>
    </xf>
    <xf numFmtId="0" fontId="15" fillId="0" borderId="13" xfId="0" applyFont="1" applyBorder="1" applyAlignment="1">
      <alignment horizontal="center" vertical="center"/>
    </xf>
    <xf numFmtId="0" fontId="0" fillId="0" borderId="16"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21" fillId="0" borderId="15" xfId="0" applyFont="1" applyBorder="1" applyAlignment="1">
      <alignment horizontal="center" vertical="center"/>
    </xf>
    <xf numFmtId="0" fontId="21" fillId="2" borderId="12"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1" xfId="0" applyFont="1" applyFill="1" applyBorder="1" applyAlignment="1">
      <alignment horizontal="left" vertical="center"/>
    </xf>
    <xf numFmtId="0" fontId="21" fillId="2" borderId="4" xfId="0" applyFont="1" applyFill="1" applyBorder="1" applyAlignment="1">
      <alignment horizontal="left" vertical="center"/>
    </xf>
    <xf numFmtId="0" fontId="21" fillId="2" borderId="7" xfId="0" applyFont="1" applyFill="1" applyBorder="1" applyAlignment="1">
      <alignment horizontal="left" vertical="center"/>
    </xf>
    <xf numFmtId="0" fontId="21" fillId="2" borderId="6" xfId="0" applyFont="1" applyFill="1" applyBorder="1" applyAlignment="1">
      <alignment horizontal="left" vertical="center"/>
    </xf>
    <xf numFmtId="0" fontId="21" fillId="0" borderId="3" xfId="0" applyFont="1" applyBorder="1" applyAlignment="1">
      <alignment horizontal="center" vertical="center"/>
    </xf>
    <xf numFmtId="0" fontId="21" fillId="0" borderId="13" xfId="0" applyFont="1" applyBorder="1" applyAlignment="1">
      <alignment horizontal="center" vertical="center"/>
    </xf>
    <xf numFmtId="0" fontId="21" fillId="0" borderId="12"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3" xfId="0" applyFont="1" applyBorder="1" applyAlignment="1">
      <alignment vertical="center" wrapText="1"/>
    </xf>
    <xf numFmtId="0" fontId="21" fillId="0" borderId="13" xfId="0" applyFont="1" applyBorder="1" applyAlignment="1">
      <alignment vertical="center" wrapText="1"/>
    </xf>
    <xf numFmtId="0" fontId="21" fillId="0" borderId="3" xfId="0" applyFont="1" applyBorder="1" applyAlignment="1">
      <alignment horizontal="left" vertical="center" wrapText="1"/>
    </xf>
    <xf numFmtId="0" fontId="21" fillId="0" borderId="13" xfId="0" applyFont="1" applyBorder="1" applyAlignment="1">
      <alignment horizontal="left" vertical="center" wrapText="1"/>
    </xf>
    <xf numFmtId="0" fontId="21" fillId="0" borderId="2" xfId="0" applyFont="1" applyBorder="1" applyAlignment="1">
      <alignment horizontal="center" vertical="center"/>
    </xf>
    <xf numFmtId="0" fontId="21" fillId="0" borderId="15" xfId="0" applyFont="1" applyBorder="1">
      <alignment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0" fillId="0" borderId="16"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21" fillId="0" borderId="0" xfId="0" applyFont="1" applyAlignment="1">
      <alignment horizontal="left" vertical="center"/>
    </xf>
  </cellXfs>
  <cellStyles count="17">
    <cellStyle name="パーセント" xfId="15" builtinId="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 9" xfId="16"/>
    <cellStyle name="標準１" xfId="3"/>
  </cellStyles>
  <dxfs count="3">
    <dxf>
      <numFmt numFmtId="186" formatCode="\-"/>
    </dxf>
    <dxf>
      <numFmt numFmtId="186" formatCode="\-"/>
    </dxf>
    <dxf>
      <numFmt numFmtId="186" formatCode="\-"/>
    </dxf>
  </dxfs>
  <tableStyles count="0" defaultTableStyle="TableStyleMedium2" defaultPivotStyle="PivotStyleLight16"/>
  <colors>
    <mruColors>
      <color rgb="FFFFCCFF"/>
      <color rgb="FF66FFFF"/>
      <color rgb="FFFFFFCC"/>
      <color rgb="FFFF9900"/>
      <color rgb="FF0000FF"/>
      <color rgb="FFCCFFFF"/>
      <color rgb="FFCC33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a:extLst>
            <a:ext uri="{FF2B5EF4-FFF2-40B4-BE49-F238E27FC236}">
              <a16:creationId xmlns:a16="http://schemas.microsoft.com/office/drawing/2014/main" id="{00000000-0008-0000-0B00-000002000000}"/>
            </a:ext>
          </a:extLst>
        </xdr:cNvPr>
        <xdr:cNvCxnSpPr/>
      </xdr:nvCxnSpPr>
      <xdr:spPr>
        <a:xfrm>
          <a:off x="6858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a:extLst>
            <a:ext uri="{FF2B5EF4-FFF2-40B4-BE49-F238E27FC236}">
              <a16:creationId xmlns:a16="http://schemas.microsoft.com/office/drawing/2014/main" id="{00000000-0008-0000-0B00-000003000000}"/>
            </a:ext>
          </a:extLst>
        </xdr:cNvPr>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a:extLst>
            <a:ext uri="{FF2B5EF4-FFF2-40B4-BE49-F238E27FC236}">
              <a16:creationId xmlns:a16="http://schemas.microsoft.com/office/drawing/2014/main" id="{00000000-0008-0000-0B00-000004000000}"/>
            </a:ext>
          </a:extLst>
        </xdr:cNvPr>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a:extLst>
            <a:ext uri="{FF2B5EF4-FFF2-40B4-BE49-F238E27FC236}">
              <a16:creationId xmlns:a16="http://schemas.microsoft.com/office/drawing/2014/main" id="{00000000-0008-0000-0B00-000005000000}"/>
            </a:ext>
          </a:extLst>
        </xdr:cNvPr>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a:extLst>
            <a:ext uri="{FF2B5EF4-FFF2-40B4-BE49-F238E27FC236}">
              <a16:creationId xmlns:a16="http://schemas.microsoft.com/office/drawing/2014/main" id="{00000000-0008-0000-0B00-000006000000}"/>
            </a:ext>
          </a:extLst>
        </xdr:cNvPr>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abSelected="1" view="pageBreakPreview" zoomScale="85" zoomScaleNormal="90" zoomScaleSheetLayoutView="85" workbookViewId="0">
      <pane xSplit="3" ySplit="5" topLeftCell="D6" activePane="bottomRight" state="frozen"/>
      <selection activeCell="B8" sqref="B8"/>
      <selection pane="topRight" activeCell="B8" sqref="B8"/>
      <selection pane="bottomLeft" activeCell="B8" sqref="B8"/>
      <selection pane="bottomRight" sqref="A1:E1"/>
    </sheetView>
  </sheetViews>
  <sheetFormatPr defaultRowHeight="13.5" x14ac:dyDescent="0.15"/>
  <cols>
    <col min="1" max="1" width="0.875" customWidth="1"/>
    <col min="2" max="2" width="3.75" customWidth="1"/>
    <col min="3" max="3" width="16.75" customWidth="1"/>
    <col min="4" max="17" width="7.125" customWidth="1"/>
    <col min="18" max="18" width="13.625" customWidth="1"/>
    <col min="19" max="19" width="6.5" customWidth="1"/>
    <col min="20" max="20" width="16.25" style="21" bestFit="1" customWidth="1"/>
    <col min="22" max="22" width="12.75" bestFit="1" customWidth="1"/>
  </cols>
  <sheetData>
    <row r="1" spans="1:21" ht="18.75" customHeight="1" x14ac:dyDescent="0.15">
      <c r="A1" s="191" t="s">
        <v>5</v>
      </c>
      <c r="B1" s="192"/>
      <c r="C1" s="192"/>
      <c r="D1" s="192"/>
      <c r="E1" s="192"/>
    </row>
    <row r="2" spans="1:21" ht="24.75" customHeight="1" x14ac:dyDescent="0.15">
      <c r="A2" s="193" t="s">
        <v>6</v>
      </c>
      <c r="B2" s="193"/>
      <c r="C2" s="193"/>
      <c r="D2" s="193"/>
      <c r="E2" s="193"/>
      <c r="F2" s="193"/>
      <c r="G2" s="193"/>
      <c r="H2" s="193"/>
      <c r="I2" s="193"/>
      <c r="J2" s="193"/>
      <c r="K2" s="193"/>
      <c r="L2" s="193"/>
      <c r="M2" s="193"/>
      <c r="N2" s="193"/>
      <c r="O2" s="193"/>
      <c r="P2" s="193"/>
      <c r="Q2" s="193"/>
      <c r="R2" s="193"/>
    </row>
    <row r="3" spans="1:21" ht="19.5" customHeight="1" x14ac:dyDescent="0.15">
      <c r="A3" s="191" t="s">
        <v>7</v>
      </c>
      <c r="B3" s="192"/>
      <c r="C3" s="192"/>
      <c r="D3" s="192"/>
      <c r="E3" s="192"/>
      <c r="F3" s="192"/>
      <c r="G3" s="192"/>
      <c r="H3" s="54"/>
      <c r="I3" s="54"/>
      <c r="J3" s="54"/>
      <c r="K3" s="54"/>
      <c r="L3" s="54"/>
      <c r="M3" s="54"/>
      <c r="N3" s="54"/>
      <c r="O3" s="54"/>
      <c r="P3" s="54"/>
      <c r="Q3" s="54"/>
      <c r="R3" s="54"/>
    </row>
    <row r="4" spans="1:21" ht="16.5" customHeight="1" x14ac:dyDescent="0.15">
      <c r="A4" s="191" t="s">
        <v>8</v>
      </c>
      <c r="B4" s="192"/>
      <c r="C4" s="192"/>
      <c r="D4" s="192"/>
      <c r="E4" s="192"/>
      <c r="F4" s="192"/>
      <c r="G4" s="192"/>
      <c r="H4" s="192"/>
      <c r="I4" s="192"/>
      <c r="J4" s="192"/>
      <c r="K4" s="192"/>
      <c r="L4" s="192"/>
      <c r="M4" s="192"/>
      <c r="N4" s="192"/>
      <c r="O4" s="192"/>
      <c r="P4" s="192"/>
      <c r="Q4" s="192"/>
      <c r="R4" s="192"/>
    </row>
    <row r="5" spans="1:21" ht="1.5" customHeight="1" x14ac:dyDescent="0.15">
      <c r="B5" s="194"/>
      <c r="C5" s="194"/>
      <c r="D5" s="194"/>
      <c r="E5" s="194"/>
      <c r="F5" s="194"/>
      <c r="G5" s="194"/>
      <c r="H5" s="194"/>
      <c r="I5" s="194"/>
      <c r="J5" s="194"/>
      <c r="K5" s="194"/>
      <c r="L5" s="194"/>
      <c r="M5" s="194"/>
      <c r="N5" s="194"/>
      <c r="O5" s="194"/>
      <c r="P5" s="194"/>
      <c r="Q5" s="194"/>
      <c r="R5" s="194"/>
    </row>
    <row r="6" spans="1:21" ht="20.25" customHeight="1" x14ac:dyDescent="0.15">
      <c r="B6" s="55" t="s">
        <v>9</v>
      </c>
      <c r="C6" s="56"/>
      <c r="D6" s="57"/>
      <c r="E6" s="57"/>
      <c r="F6" s="57"/>
      <c r="G6" s="57"/>
      <c r="H6" s="57"/>
      <c r="I6" s="57"/>
      <c r="J6" s="57"/>
      <c r="K6" s="57"/>
      <c r="L6" s="57"/>
      <c r="M6" s="57"/>
      <c r="N6" s="57"/>
      <c r="O6" s="57"/>
      <c r="P6" s="57"/>
      <c r="Q6" s="45" t="s">
        <v>223</v>
      </c>
      <c r="R6" s="57"/>
    </row>
    <row r="7" spans="1:21" ht="37.5" customHeight="1" x14ac:dyDescent="0.15">
      <c r="B7" s="187" t="s">
        <v>10</v>
      </c>
      <c r="C7" s="187"/>
      <c r="D7" s="195" t="s">
        <v>11</v>
      </c>
      <c r="E7" s="196"/>
      <c r="F7" s="195" t="s">
        <v>12</v>
      </c>
      <c r="G7" s="196"/>
      <c r="H7" s="195" t="s">
        <v>13</v>
      </c>
      <c r="I7" s="196"/>
      <c r="J7" s="195" t="s">
        <v>14</v>
      </c>
      <c r="K7" s="196"/>
      <c r="L7" s="195" t="s">
        <v>15</v>
      </c>
      <c r="M7" s="196"/>
      <c r="N7" s="196" t="s">
        <v>16</v>
      </c>
      <c r="O7" s="187"/>
      <c r="P7" s="197" t="s">
        <v>302</v>
      </c>
      <c r="Q7" s="198"/>
      <c r="R7" s="66"/>
      <c r="S7" s="100"/>
    </row>
    <row r="8" spans="1:21" ht="14.1" customHeight="1" x14ac:dyDescent="0.15">
      <c r="B8" s="173" t="s">
        <v>17</v>
      </c>
      <c r="C8" s="173"/>
      <c r="D8" s="166">
        <f>SUM(D9:E17)</f>
        <v>223416188.54299998</v>
      </c>
      <c r="E8" s="167"/>
      <c r="F8" s="166">
        <f>SUM(F9:G17)</f>
        <v>2792194.4410000001</v>
      </c>
      <c r="G8" s="167"/>
      <c r="H8" s="166">
        <f>SUM(H9:I17)</f>
        <v>766638.73399999994</v>
      </c>
      <c r="I8" s="167"/>
      <c r="J8" s="166">
        <f>SUM(J9:K17)</f>
        <v>225441744.24999997</v>
      </c>
      <c r="K8" s="167"/>
      <c r="L8" s="166">
        <f t="shared" ref="L8" si="0">SUM(L9:M17)</f>
        <v>72083267.008000001</v>
      </c>
      <c r="M8" s="167"/>
      <c r="N8" s="166">
        <f>SUM(N9:O17)</f>
        <v>2626952.0260000001</v>
      </c>
      <c r="O8" s="167"/>
      <c r="P8" s="166">
        <f>J8-L8</f>
        <v>153358477.24199998</v>
      </c>
      <c r="Q8" s="167"/>
      <c r="R8" s="67"/>
      <c r="S8" s="100"/>
      <c r="T8" s="49"/>
      <c r="U8" s="49"/>
    </row>
    <row r="9" spans="1:21" ht="14.1" customHeight="1" x14ac:dyDescent="0.15">
      <c r="B9" s="173" t="s">
        <v>18</v>
      </c>
      <c r="C9" s="173"/>
      <c r="D9" s="166">
        <f>102913212741/1000</f>
        <v>102913212.741</v>
      </c>
      <c r="E9" s="167"/>
      <c r="F9" s="166">
        <f>1/1000</f>
        <v>1E-3</v>
      </c>
      <c r="G9" s="167"/>
      <c r="H9" s="166">
        <f>9081385/1000</f>
        <v>9081.3850000000002</v>
      </c>
      <c r="I9" s="167"/>
      <c r="J9" s="166">
        <f>D9+F9-H9</f>
        <v>102904131.35699999</v>
      </c>
      <c r="K9" s="167"/>
      <c r="L9" s="166">
        <v>0</v>
      </c>
      <c r="M9" s="167"/>
      <c r="N9" s="171">
        <v>0</v>
      </c>
      <c r="O9" s="172"/>
      <c r="P9" s="166">
        <f>J9-L9</f>
        <v>102904131.35699999</v>
      </c>
      <c r="Q9" s="167"/>
      <c r="R9" s="67"/>
      <c r="S9" s="100"/>
      <c r="T9" s="49"/>
      <c r="U9" s="49"/>
    </row>
    <row r="10" spans="1:21" ht="14.1" customHeight="1" x14ac:dyDescent="0.15">
      <c r="B10" s="174" t="s">
        <v>19</v>
      </c>
      <c r="C10" s="174"/>
      <c r="D10" s="171">
        <v>0</v>
      </c>
      <c r="E10" s="172"/>
      <c r="F10" s="171">
        <v>0</v>
      </c>
      <c r="G10" s="172"/>
      <c r="H10" s="171">
        <v>0</v>
      </c>
      <c r="I10" s="172"/>
      <c r="J10" s="166">
        <f t="shared" ref="J10:J22" si="1">D10+F10-H10</f>
        <v>0</v>
      </c>
      <c r="K10" s="167"/>
      <c r="L10" s="171">
        <v>0</v>
      </c>
      <c r="M10" s="172"/>
      <c r="N10" s="171">
        <v>0</v>
      </c>
      <c r="O10" s="172"/>
      <c r="P10" s="166">
        <f t="shared" ref="P10:P22" si="2">J10-L10</f>
        <v>0</v>
      </c>
      <c r="Q10" s="167"/>
      <c r="R10" s="67"/>
      <c r="S10" s="100"/>
      <c r="T10" s="49"/>
      <c r="U10" s="49"/>
    </row>
    <row r="11" spans="1:21" ht="14.1" customHeight="1" x14ac:dyDescent="0.15">
      <c r="B11" s="174" t="s">
        <v>20</v>
      </c>
      <c r="C11" s="174"/>
      <c r="D11" s="166">
        <f>109182797345/1000</f>
        <v>109182797.345</v>
      </c>
      <c r="E11" s="167"/>
      <c r="F11" s="166">
        <f>2232321000/1000</f>
        <v>2232321</v>
      </c>
      <c r="G11" s="167"/>
      <c r="H11" s="166">
        <f>573477900/1000</f>
        <v>573477.9</v>
      </c>
      <c r="I11" s="167"/>
      <c r="J11" s="166">
        <f>D11+F11-H11</f>
        <v>110841640.44499999</v>
      </c>
      <c r="K11" s="167"/>
      <c r="L11" s="166">
        <f>63898297724/1000</f>
        <v>63898297.723999999</v>
      </c>
      <c r="M11" s="167"/>
      <c r="N11" s="166">
        <f>2399737565/1000</f>
        <v>2399737.5649999999</v>
      </c>
      <c r="O11" s="167"/>
      <c r="P11" s="166">
        <f>J11-L11</f>
        <v>46943342.720999993</v>
      </c>
      <c r="Q11" s="167"/>
      <c r="R11" s="67"/>
      <c r="S11" s="100"/>
      <c r="T11" s="49"/>
      <c r="U11" s="49"/>
    </row>
    <row r="12" spans="1:21" ht="14.1" customHeight="1" x14ac:dyDescent="0.15">
      <c r="B12" s="173" t="s">
        <v>21</v>
      </c>
      <c r="C12" s="173"/>
      <c r="D12" s="166">
        <f>11014051417/1000</f>
        <v>11014051.416999999</v>
      </c>
      <c r="E12" s="167"/>
      <c r="F12" s="166">
        <f>202161640/1000</f>
        <v>202161.64</v>
      </c>
      <c r="G12" s="167"/>
      <c r="H12" s="166">
        <f>11671600/1000</f>
        <v>11671.6</v>
      </c>
      <c r="I12" s="167"/>
      <c r="J12" s="166">
        <f>D12+F12-H12</f>
        <v>11204541.457</v>
      </c>
      <c r="K12" s="167"/>
      <c r="L12" s="166">
        <f>8184969284/1000</f>
        <v>8184969.284</v>
      </c>
      <c r="M12" s="167"/>
      <c r="N12" s="166">
        <f>227214461/1000</f>
        <v>227214.46100000001</v>
      </c>
      <c r="O12" s="167"/>
      <c r="P12" s="166">
        <f>J12-L12</f>
        <v>3019572.1730000004</v>
      </c>
      <c r="Q12" s="167"/>
      <c r="R12" s="67"/>
      <c r="S12" s="100"/>
      <c r="T12" s="49"/>
      <c r="U12" s="49"/>
    </row>
    <row r="13" spans="1:21" ht="14.1" customHeight="1" x14ac:dyDescent="0.15">
      <c r="B13" s="174" t="s">
        <v>22</v>
      </c>
      <c r="C13" s="174"/>
      <c r="D13" s="171">
        <v>0</v>
      </c>
      <c r="E13" s="172"/>
      <c r="F13" s="171">
        <v>0</v>
      </c>
      <c r="G13" s="172"/>
      <c r="H13" s="171">
        <v>0</v>
      </c>
      <c r="I13" s="172"/>
      <c r="J13" s="166">
        <f t="shared" si="1"/>
        <v>0</v>
      </c>
      <c r="K13" s="167"/>
      <c r="L13" s="171">
        <v>0</v>
      </c>
      <c r="M13" s="172"/>
      <c r="N13" s="171">
        <v>0</v>
      </c>
      <c r="O13" s="172"/>
      <c r="P13" s="166">
        <f t="shared" si="2"/>
        <v>0</v>
      </c>
      <c r="Q13" s="167"/>
      <c r="R13" s="67"/>
      <c r="S13" s="100"/>
      <c r="T13" s="49"/>
      <c r="U13" s="49"/>
    </row>
    <row r="14" spans="1:21" ht="14.1" customHeight="1" x14ac:dyDescent="0.15">
      <c r="B14" s="173" t="s">
        <v>23</v>
      </c>
      <c r="C14" s="173"/>
      <c r="D14" s="171">
        <v>0</v>
      </c>
      <c r="E14" s="172"/>
      <c r="F14" s="171">
        <v>0</v>
      </c>
      <c r="G14" s="172"/>
      <c r="H14" s="171">
        <v>0</v>
      </c>
      <c r="I14" s="172"/>
      <c r="J14" s="166">
        <f t="shared" si="1"/>
        <v>0</v>
      </c>
      <c r="K14" s="167"/>
      <c r="L14" s="171">
        <v>0</v>
      </c>
      <c r="M14" s="172"/>
      <c r="N14" s="171">
        <v>0</v>
      </c>
      <c r="O14" s="172"/>
      <c r="P14" s="166">
        <f t="shared" si="2"/>
        <v>0</v>
      </c>
      <c r="Q14" s="167"/>
      <c r="R14" s="67"/>
      <c r="S14" s="100"/>
      <c r="T14" s="49"/>
      <c r="U14" s="49"/>
    </row>
    <row r="15" spans="1:21" ht="14.1" customHeight="1" x14ac:dyDescent="0.15">
      <c r="B15" s="174" t="s">
        <v>24</v>
      </c>
      <c r="C15" s="174"/>
      <c r="D15" s="171">
        <v>0</v>
      </c>
      <c r="E15" s="172"/>
      <c r="F15" s="171">
        <v>0</v>
      </c>
      <c r="G15" s="172"/>
      <c r="H15" s="171">
        <v>0</v>
      </c>
      <c r="I15" s="172"/>
      <c r="J15" s="166">
        <f t="shared" si="1"/>
        <v>0</v>
      </c>
      <c r="K15" s="167"/>
      <c r="L15" s="171">
        <v>0</v>
      </c>
      <c r="M15" s="172"/>
      <c r="N15" s="171">
        <v>0</v>
      </c>
      <c r="O15" s="172"/>
      <c r="P15" s="166">
        <f t="shared" si="2"/>
        <v>0</v>
      </c>
      <c r="Q15" s="167"/>
      <c r="R15" s="67"/>
      <c r="S15" s="100"/>
      <c r="T15" s="49"/>
      <c r="U15" s="49"/>
    </row>
    <row r="16" spans="1:21" ht="14.1" customHeight="1" x14ac:dyDescent="0.15">
      <c r="B16" s="174" t="s">
        <v>25</v>
      </c>
      <c r="C16" s="174"/>
      <c r="D16" s="171">
        <v>0</v>
      </c>
      <c r="E16" s="172"/>
      <c r="F16" s="171">
        <v>0</v>
      </c>
      <c r="G16" s="172"/>
      <c r="H16" s="171">
        <v>0</v>
      </c>
      <c r="I16" s="172"/>
      <c r="J16" s="166">
        <f t="shared" si="1"/>
        <v>0</v>
      </c>
      <c r="K16" s="167"/>
      <c r="L16" s="171">
        <v>0</v>
      </c>
      <c r="M16" s="172"/>
      <c r="N16" s="171">
        <v>0</v>
      </c>
      <c r="O16" s="172"/>
      <c r="P16" s="166">
        <f t="shared" si="2"/>
        <v>0</v>
      </c>
      <c r="Q16" s="167"/>
      <c r="R16" s="67"/>
      <c r="S16" s="100"/>
      <c r="T16" s="49"/>
      <c r="U16" s="49"/>
    </row>
    <row r="17" spans="2:21" ht="14.1" customHeight="1" x14ac:dyDescent="0.15">
      <c r="B17" s="174" t="s">
        <v>26</v>
      </c>
      <c r="C17" s="174"/>
      <c r="D17" s="166">
        <f>306127040/1000</f>
        <v>306127.03999999998</v>
      </c>
      <c r="E17" s="167"/>
      <c r="F17" s="166">
        <f>357711800/1000</f>
        <v>357711.8</v>
      </c>
      <c r="G17" s="167"/>
      <c r="H17" s="166">
        <f>172407849/1000</f>
        <v>172407.84899999999</v>
      </c>
      <c r="I17" s="167"/>
      <c r="J17" s="166">
        <f>D17+F17-H17</f>
        <v>491430.99099999998</v>
      </c>
      <c r="K17" s="167"/>
      <c r="L17" s="171">
        <v>0</v>
      </c>
      <c r="M17" s="172"/>
      <c r="N17" s="171">
        <v>0</v>
      </c>
      <c r="O17" s="172"/>
      <c r="P17" s="166">
        <f>J17-L17</f>
        <v>491430.99099999998</v>
      </c>
      <c r="Q17" s="167"/>
      <c r="R17" s="67"/>
      <c r="S17" s="100"/>
      <c r="T17" s="87"/>
      <c r="U17" s="49"/>
    </row>
    <row r="18" spans="2:21" ht="14.1" customHeight="1" x14ac:dyDescent="0.15">
      <c r="B18" s="190" t="s">
        <v>27</v>
      </c>
      <c r="C18" s="190"/>
      <c r="D18" s="166">
        <f>SUM(D19:E23)</f>
        <v>621726391.27600014</v>
      </c>
      <c r="E18" s="167"/>
      <c r="F18" s="166">
        <f t="shared" ref="F18" si="3">SUM(F19:G23)</f>
        <v>2412845.355</v>
      </c>
      <c r="G18" s="167"/>
      <c r="H18" s="166">
        <f t="shared" ref="H18" si="4">SUM(H19:I23)</f>
        <v>51253.180999999997</v>
      </c>
      <c r="I18" s="167"/>
      <c r="J18" s="166">
        <f>D18+F18-H18</f>
        <v>624087983.45000017</v>
      </c>
      <c r="K18" s="167"/>
      <c r="L18" s="166">
        <f t="shared" ref="L18" si="5">SUM(L19:M23)</f>
        <v>64069446.647</v>
      </c>
      <c r="M18" s="167"/>
      <c r="N18" s="166">
        <f t="shared" ref="N18" si="6">SUM(N19:O23)</f>
        <v>1480602.514</v>
      </c>
      <c r="O18" s="167"/>
      <c r="P18" s="166">
        <f t="shared" si="2"/>
        <v>560018536.80300021</v>
      </c>
      <c r="Q18" s="167"/>
      <c r="R18" s="67"/>
      <c r="S18" s="100"/>
      <c r="T18" s="49"/>
      <c r="U18" s="49"/>
    </row>
    <row r="19" spans="2:21" ht="14.1" customHeight="1" x14ac:dyDescent="0.15">
      <c r="B19" s="173" t="s">
        <v>28</v>
      </c>
      <c r="C19" s="173"/>
      <c r="D19" s="166">
        <f>535136804795/1000</f>
        <v>535136804.79500002</v>
      </c>
      <c r="E19" s="167"/>
      <c r="F19" s="166">
        <f>1484845253/1000</f>
        <v>1484845.253</v>
      </c>
      <c r="G19" s="167"/>
      <c r="H19" s="166">
        <v>0</v>
      </c>
      <c r="I19" s="167"/>
      <c r="J19" s="166">
        <f>D19+F19-H19</f>
        <v>536621650.04800004</v>
      </c>
      <c r="K19" s="167"/>
      <c r="L19" s="171">
        <v>0</v>
      </c>
      <c r="M19" s="172"/>
      <c r="N19" s="171">
        <v>0</v>
      </c>
      <c r="O19" s="172"/>
      <c r="P19" s="166">
        <f>J19-L19</f>
        <v>536621650.04800004</v>
      </c>
      <c r="Q19" s="167"/>
      <c r="R19" s="67"/>
      <c r="S19" s="100"/>
      <c r="T19" s="49"/>
      <c r="U19" s="49"/>
    </row>
    <row r="20" spans="2:21" ht="14.1" customHeight="1" x14ac:dyDescent="0.15">
      <c r="B20" s="174" t="s">
        <v>29</v>
      </c>
      <c r="C20" s="174"/>
      <c r="D20" s="166">
        <f>283956998/1000</f>
        <v>283956.99800000002</v>
      </c>
      <c r="E20" s="167"/>
      <c r="F20" s="166">
        <f>42018000/1000</f>
        <v>42018</v>
      </c>
      <c r="G20" s="167"/>
      <c r="H20" s="166">
        <f>1453600/1000</f>
        <v>1453.6</v>
      </c>
      <c r="I20" s="167"/>
      <c r="J20" s="166">
        <f>D20+F20-H20</f>
        <v>324521.39800000004</v>
      </c>
      <c r="K20" s="167"/>
      <c r="L20" s="166">
        <f>121911150/1000</f>
        <v>121911.15</v>
      </c>
      <c r="M20" s="167"/>
      <c r="N20" s="166">
        <f>7113124/1000</f>
        <v>7113.1239999999998</v>
      </c>
      <c r="O20" s="167"/>
      <c r="P20" s="166">
        <f>J20-L20</f>
        <v>202610.24800000005</v>
      </c>
      <c r="Q20" s="167"/>
      <c r="R20" s="67"/>
      <c r="S20" s="100"/>
      <c r="T20" s="49"/>
      <c r="U20" s="49"/>
    </row>
    <row r="21" spans="2:21" ht="14.1" customHeight="1" x14ac:dyDescent="0.15">
      <c r="B21" s="173" t="s">
        <v>21</v>
      </c>
      <c r="C21" s="173"/>
      <c r="D21" s="166">
        <f>86060420765/1000</f>
        <v>86060420.765000001</v>
      </c>
      <c r="E21" s="167"/>
      <c r="F21" s="166">
        <f>766982602/1000</f>
        <v>766982.60199999996</v>
      </c>
      <c r="G21" s="167"/>
      <c r="H21" s="166">
        <v>0</v>
      </c>
      <c r="I21" s="167"/>
      <c r="J21" s="166">
        <f>D21+F21-H21</f>
        <v>86827403.366999999</v>
      </c>
      <c r="K21" s="167"/>
      <c r="L21" s="166">
        <f>63947535497/1000</f>
        <v>63947535.497000001</v>
      </c>
      <c r="M21" s="167"/>
      <c r="N21" s="166">
        <f>1473489390/1000</f>
        <v>1473489.39</v>
      </c>
      <c r="O21" s="167"/>
      <c r="P21" s="166">
        <f>J21-L21</f>
        <v>22879867.869999997</v>
      </c>
      <c r="Q21" s="167"/>
      <c r="R21" s="67"/>
      <c r="S21" s="100"/>
      <c r="T21" s="49"/>
      <c r="U21" s="49"/>
    </row>
    <row r="22" spans="2:21" ht="14.1" customHeight="1" x14ac:dyDescent="0.15">
      <c r="B22" s="173" t="s">
        <v>25</v>
      </c>
      <c r="C22" s="173"/>
      <c r="D22" s="171">
        <v>0</v>
      </c>
      <c r="E22" s="172"/>
      <c r="F22" s="171">
        <v>0</v>
      </c>
      <c r="G22" s="172"/>
      <c r="H22" s="171">
        <v>0</v>
      </c>
      <c r="I22" s="172"/>
      <c r="J22" s="166">
        <f t="shared" si="1"/>
        <v>0</v>
      </c>
      <c r="K22" s="167"/>
      <c r="L22" s="171">
        <v>0</v>
      </c>
      <c r="M22" s="172"/>
      <c r="N22" s="171">
        <v>0</v>
      </c>
      <c r="O22" s="172"/>
      <c r="P22" s="166">
        <f t="shared" si="2"/>
        <v>0</v>
      </c>
      <c r="Q22" s="167"/>
      <c r="R22" s="67"/>
      <c r="S22" s="100"/>
      <c r="T22" s="49"/>
      <c r="U22" s="49"/>
    </row>
    <row r="23" spans="2:21" ht="14.1" customHeight="1" x14ac:dyDescent="0.15">
      <c r="B23" s="174" t="s">
        <v>26</v>
      </c>
      <c r="C23" s="174"/>
      <c r="D23" s="166">
        <f>245208718/1000</f>
        <v>245208.71799999999</v>
      </c>
      <c r="E23" s="167"/>
      <c r="F23" s="166">
        <f>118999500/1000</f>
        <v>118999.5</v>
      </c>
      <c r="G23" s="167"/>
      <c r="H23" s="166">
        <f>49799581/1000</f>
        <v>49799.580999999998</v>
      </c>
      <c r="I23" s="167"/>
      <c r="J23" s="166">
        <f>D23+F23-H23</f>
        <v>314408.63699999999</v>
      </c>
      <c r="K23" s="167"/>
      <c r="L23" s="171">
        <v>0</v>
      </c>
      <c r="M23" s="172"/>
      <c r="N23" s="171">
        <v>0</v>
      </c>
      <c r="O23" s="172"/>
      <c r="P23" s="166">
        <f>J23-L23</f>
        <v>314408.63699999999</v>
      </c>
      <c r="Q23" s="167"/>
      <c r="R23" s="67"/>
      <c r="S23" s="100"/>
      <c r="T23" s="87"/>
      <c r="U23" s="49"/>
    </row>
    <row r="24" spans="2:21" ht="14.1" customHeight="1" x14ac:dyDescent="0.15">
      <c r="B24" s="173" t="s">
        <v>30</v>
      </c>
      <c r="C24" s="173"/>
      <c r="D24" s="166">
        <f>2403440990/1000</f>
        <v>2403440.9900000002</v>
      </c>
      <c r="E24" s="167"/>
      <c r="F24" s="166">
        <f>127025854/1000</f>
        <v>127025.85400000001</v>
      </c>
      <c r="G24" s="167"/>
      <c r="H24" s="166">
        <f>67910915/1000</f>
        <v>67910.914999999994</v>
      </c>
      <c r="I24" s="167"/>
      <c r="J24" s="166">
        <f>D24+F24-H24</f>
        <v>2462555.929</v>
      </c>
      <c r="K24" s="167"/>
      <c r="L24" s="166">
        <f>1598719493/1000</f>
        <v>1598719.493</v>
      </c>
      <c r="M24" s="167"/>
      <c r="N24" s="166">
        <f>186242033/1000</f>
        <v>186242.033</v>
      </c>
      <c r="O24" s="167"/>
      <c r="P24" s="166">
        <f>J24-L24</f>
        <v>863836.43599999999</v>
      </c>
      <c r="Q24" s="167"/>
      <c r="R24" s="67"/>
      <c r="S24" s="100"/>
      <c r="T24" s="49"/>
      <c r="U24" s="49"/>
    </row>
    <row r="25" spans="2:21" ht="14.1" customHeight="1" x14ac:dyDescent="0.15">
      <c r="B25" s="188" t="s">
        <v>4</v>
      </c>
      <c r="C25" s="189"/>
      <c r="D25" s="166">
        <f>D8+D18+D24</f>
        <v>847546020.80900013</v>
      </c>
      <c r="E25" s="167"/>
      <c r="F25" s="166">
        <f>F8+F18+F24</f>
        <v>5332065.6500000004</v>
      </c>
      <c r="G25" s="167"/>
      <c r="H25" s="166">
        <f t="shared" ref="H25" si="7">H8+H18+H24</f>
        <v>885802.83</v>
      </c>
      <c r="I25" s="167"/>
      <c r="J25" s="166">
        <f>J8+J18+J24</f>
        <v>851992283.62900019</v>
      </c>
      <c r="K25" s="167"/>
      <c r="L25" s="166">
        <f t="shared" ref="L25" si="8">L8+L18+L24</f>
        <v>137751433.148</v>
      </c>
      <c r="M25" s="167"/>
      <c r="N25" s="166">
        <f t="shared" ref="N25" si="9">N8+N18+N24</f>
        <v>4293796.5729999999</v>
      </c>
      <c r="O25" s="167"/>
      <c r="P25" s="166">
        <f>J25-L25</f>
        <v>714240850.48100019</v>
      </c>
      <c r="Q25" s="167"/>
      <c r="R25" s="99"/>
      <c r="S25" s="100"/>
      <c r="T25" s="49"/>
      <c r="U25" s="49"/>
    </row>
    <row r="26" spans="2:21" ht="8.4499999999999993" customHeight="1" x14ac:dyDescent="0.15">
      <c r="B26" s="68"/>
      <c r="C26" s="69"/>
      <c r="D26" s="69"/>
      <c r="E26" s="69"/>
      <c r="F26" s="69"/>
      <c r="G26" s="69"/>
      <c r="H26" s="69"/>
      <c r="I26" s="69"/>
      <c r="J26" s="69"/>
      <c r="K26" s="69"/>
      <c r="L26" s="70"/>
      <c r="M26" s="70"/>
      <c r="N26" s="70"/>
      <c r="O26" s="70"/>
      <c r="P26" s="71"/>
      <c r="Q26" s="71"/>
      <c r="R26" s="71"/>
      <c r="S26" s="100"/>
    </row>
    <row r="27" spans="2:21" ht="13.5" customHeight="1" x14ac:dyDescent="0.15">
      <c r="B27" s="100"/>
      <c r="C27" s="69"/>
      <c r="D27" s="69"/>
      <c r="E27" s="69"/>
      <c r="F27" s="69"/>
      <c r="G27" s="69"/>
      <c r="H27" s="69"/>
      <c r="I27" s="69"/>
      <c r="J27" s="69"/>
      <c r="K27" s="69"/>
      <c r="L27" s="70"/>
      <c r="M27" s="70"/>
      <c r="N27" s="70"/>
      <c r="O27" s="70"/>
      <c r="P27" s="71"/>
      <c r="Q27" s="71"/>
      <c r="R27" s="71"/>
      <c r="S27" s="100"/>
    </row>
    <row r="28" spans="2:21" ht="6.75" customHeight="1" x14ac:dyDescent="0.15">
      <c r="B28" s="100"/>
      <c r="C28" s="72"/>
      <c r="D28" s="2"/>
      <c r="E28" s="2"/>
      <c r="F28" s="2"/>
      <c r="G28" s="2"/>
      <c r="H28" s="2"/>
      <c r="I28" s="2"/>
      <c r="J28" s="2"/>
      <c r="K28" s="2"/>
      <c r="L28" s="2"/>
      <c r="M28" s="2"/>
      <c r="N28" s="2"/>
      <c r="O28" s="100"/>
      <c r="P28" s="100"/>
      <c r="Q28" s="100"/>
      <c r="R28" s="100"/>
      <c r="S28" s="100"/>
    </row>
    <row r="29" spans="2:21" ht="20.25" customHeight="1" x14ac:dyDescent="0.15">
      <c r="B29" s="73" t="s">
        <v>134</v>
      </c>
      <c r="C29" s="74"/>
      <c r="D29" s="2"/>
      <c r="E29" s="2"/>
      <c r="F29" s="2"/>
      <c r="G29" s="2"/>
      <c r="H29" s="2"/>
      <c r="I29" s="2"/>
      <c r="J29" s="2"/>
      <c r="K29" s="2"/>
      <c r="L29" s="2"/>
      <c r="M29" s="2"/>
      <c r="N29" s="2"/>
      <c r="O29" s="100"/>
      <c r="P29" s="100"/>
      <c r="Q29" s="100"/>
      <c r="R29" s="45" t="s">
        <v>223</v>
      </c>
      <c r="S29" s="100"/>
    </row>
    <row r="30" spans="2:21" ht="12.95" customHeight="1" x14ac:dyDescent="0.15">
      <c r="B30" s="187" t="s">
        <v>10</v>
      </c>
      <c r="C30" s="187"/>
      <c r="D30" s="179" t="s">
        <v>31</v>
      </c>
      <c r="E30" s="180"/>
      <c r="F30" s="179" t="s">
        <v>32</v>
      </c>
      <c r="G30" s="180"/>
      <c r="H30" s="179" t="s">
        <v>33</v>
      </c>
      <c r="I30" s="180"/>
      <c r="J30" s="179" t="s">
        <v>34</v>
      </c>
      <c r="K30" s="180"/>
      <c r="L30" s="179" t="s">
        <v>35</v>
      </c>
      <c r="M30" s="180"/>
      <c r="N30" s="179" t="s">
        <v>36</v>
      </c>
      <c r="O30" s="180"/>
      <c r="P30" s="179" t="s">
        <v>37</v>
      </c>
      <c r="Q30" s="180"/>
      <c r="R30" s="183" t="s">
        <v>38</v>
      </c>
      <c r="S30" s="100"/>
    </row>
    <row r="31" spans="2:21" ht="12.95" customHeight="1" x14ac:dyDescent="0.15">
      <c r="B31" s="187"/>
      <c r="C31" s="187"/>
      <c r="D31" s="181"/>
      <c r="E31" s="182"/>
      <c r="F31" s="181"/>
      <c r="G31" s="182"/>
      <c r="H31" s="181"/>
      <c r="I31" s="182"/>
      <c r="J31" s="181"/>
      <c r="K31" s="182"/>
      <c r="L31" s="181"/>
      <c r="M31" s="182"/>
      <c r="N31" s="181"/>
      <c r="O31" s="182"/>
      <c r="P31" s="181"/>
      <c r="Q31" s="182"/>
      <c r="R31" s="184"/>
      <c r="S31" s="100"/>
    </row>
    <row r="32" spans="2:21" ht="14.1" customHeight="1" x14ac:dyDescent="0.15">
      <c r="B32" s="185" t="s">
        <v>17</v>
      </c>
      <c r="C32" s="186"/>
      <c r="D32" s="166">
        <f>SUM(D33:E41)</f>
        <v>12712982.963</v>
      </c>
      <c r="E32" s="167"/>
      <c r="F32" s="166">
        <f t="shared" ref="F32" si="10">SUM(F33:G41)</f>
        <v>86447269.096000016</v>
      </c>
      <c r="G32" s="167"/>
      <c r="H32" s="166">
        <f t="shared" ref="H32" si="11">SUM(H33:I41)</f>
        <v>17040154.240000002</v>
      </c>
      <c r="I32" s="167"/>
      <c r="J32" s="166">
        <f t="shared" ref="J32" si="12">SUM(J33:K41)</f>
        <v>3462881.2679999997</v>
      </c>
      <c r="K32" s="167"/>
      <c r="L32" s="171">
        <f t="shared" ref="L32" si="13">SUM(L33:M41)</f>
        <v>0</v>
      </c>
      <c r="M32" s="172"/>
      <c r="N32" s="166">
        <f t="shared" ref="N32" si="14">SUM(N33:O41)</f>
        <v>1500167.92</v>
      </c>
      <c r="O32" s="167"/>
      <c r="P32" s="166">
        <f t="shared" ref="P32" si="15">SUM(P33:Q41)</f>
        <v>32195021.754999999</v>
      </c>
      <c r="Q32" s="167"/>
      <c r="R32" s="75">
        <f>SUM(D32:Q32)</f>
        <v>153358477.24200004</v>
      </c>
      <c r="S32" s="100"/>
    </row>
    <row r="33" spans="2:20" ht="14.1" customHeight="1" x14ac:dyDescent="0.15">
      <c r="B33" s="174" t="s">
        <v>28</v>
      </c>
      <c r="C33" s="174"/>
      <c r="D33" s="166">
        <f>10370810070/1000</f>
        <v>10370810.07</v>
      </c>
      <c r="E33" s="167"/>
      <c r="F33" s="166">
        <f>67039889905/1000</f>
        <v>67039889.905000001</v>
      </c>
      <c r="G33" s="167"/>
      <c r="H33" s="166">
        <f>8107649923/1000</f>
        <v>8107649.9230000004</v>
      </c>
      <c r="I33" s="167"/>
      <c r="J33" s="166">
        <f>1818492757/1000</f>
        <v>1818492.757</v>
      </c>
      <c r="K33" s="167"/>
      <c r="L33" s="171">
        <v>0</v>
      </c>
      <c r="M33" s="172"/>
      <c r="N33" s="166">
        <f>818595399/1000</f>
        <v>818595.39899999998</v>
      </c>
      <c r="O33" s="167"/>
      <c r="P33" s="166">
        <f>14748693303/1000</f>
        <v>14748693.302999999</v>
      </c>
      <c r="Q33" s="167"/>
      <c r="R33" s="75">
        <f t="shared" ref="R33:R47" si="16">SUM(D33:Q33)</f>
        <v>102904131.35700001</v>
      </c>
      <c r="S33" s="100"/>
    </row>
    <row r="34" spans="2:20" ht="14.1" customHeight="1" x14ac:dyDescent="0.15">
      <c r="B34" s="174" t="s">
        <v>19</v>
      </c>
      <c r="C34" s="174"/>
      <c r="D34" s="171">
        <v>0</v>
      </c>
      <c r="E34" s="172"/>
      <c r="F34" s="171">
        <v>0</v>
      </c>
      <c r="G34" s="172"/>
      <c r="H34" s="171">
        <v>0</v>
      </c>
      <c r="I34" s="172"/>
      <c r="J34" s="171">
        <v>0</v>
      </c>
      <c r="K34" s="172"/>
      <c r="L34" s="171">
        <v>0</v>
      </c>
      <c r="M34" s="172"/>
      <c r="N34" s="171">
        <v>0</v>
      </c>
      <c r="O34" s="172"/>
      <c r="P34" s="171">
        <v>0</v>
      </c>
      <c r="Q34" s="172"/>
      <c r="R34" s="76">
        <f t="shared" si="16"/>
        <v>0</v>
      </c>
      <c r="S34" s="100"/>
    </row>
    <row r="35" spans="2:20" ht="14.1" customHeight="1" x14ac:dyDescent="0.15">
      <c r="B35" s="173" t="s">
        <v>20</v>
      </c>
      <c r="C35" s="173"/>
      <c r="D35" s="166">
        <f>1852832146/1000</f>
        <v>1852832.1459999999</v>
      </c>
      <c r="E35" s="167"/>
      <c r="F35" s="166">
        <f>17433663531/1000</f>
        <v>17433663.530999999</v>
      </c>
      <c r="G35" s="167"/>
      <c r="H35" s="166">
        <f>8785645482/1000</f>
        <v>8785645.4820000008</v>
      </c>
      <c r="I35" s="167"/>
      <c r="J35" s="166">
        <f>1420003518/1000</f>
        <v>1420003.5179999999</v>
      </c>
      <c r="K35" s="167"/>
      <c r="L35" s="171">
        <v>0</v>
      </c>
      <c r="M35" s="172"/>
      <c r="N35" s="166">
        <f>283810702/1000</f>
        <v>283810.70199999999</v>
      </c>
      <c r="O35" s="167"/>
      <c r="P35" s="166">
        <f>17167387342/1000</f>
        <v>17167387.342</v>
      </c>
      <c r="Q35" s="167"/>
      <c r="R35" s="75">
        <f t="shared" si="16"/>
        <v>46943342.721000001</v>
      </c>
      <c r="S35" s="100"/>
    </row>
    <row r="36" spans="2:20" ht="14.1" customHeight="1" x14ac:dyDescent="0.15">
      <c r="B36" s="174" t="s">
        <v>21</v>
      </c>
      <c r="C36" s="174"/>
      <c r="D36" s="166">
        <f>419345707/1000</f>
        <v>419345.70699999999</v>
      </c>
      <c r="E36" s="167"/>
      <c r="F36" s="166">
        <f>1849459709/1000</f>
        <v>1849459.709</v>
      </c>
      <c r="G36" s="167"/>
      <c r="H36" s="166">
        <f>117339835/1000</f>
        <v>117339.83500000001</v>
      </c>
      <c r="I36" s="167"/>
      <c r="J36" s="171">
        <f>220685993/1000</f>
        <v>220685.99299999999</v>
      </c>
      <c r="K36" s="172"/>
      <c r="L36" s="171">
        <v>0</v>
      </c>
      <c r="M36" s="172"/>
      <c r="N36" s="166">
        <f>361185819/1000</f>
        <v>361185.81900000002</v>
      </c>
      <c r="O36" s="167"/>
      <c r="P36" s="166">
        <f>51555110/1000</f>
        <v>51555.11</v>
      </c>
      <c r="Q36" s="167"/>
      <c r="R36" s="75">
        <f>SUM(D36:Q36)</f>
        <v>3019572.173</v>
      </c>
      <c r="S36" s="100"/>
    </row>
    <row r="37" spans="2:20" ht="14.1" customHeight="1" x14ac:dyDescent="0.15">
      <c r="B37" s="174" t="s">
        <v>22</v>
      </c>
      <c r="C37" s="174"/>
      <c r="D37" s="171">
        <v>0</v>
      </c>
      <c r="E37" s="172"/>
      <c r="F37" s="171">
        <v>0</v>
      </c>
      <c r="G37" s="172"/>
      <c r="H37" s="171">
        <v>0</v>
      </c>
      <c r="I37" s="172"/>
      <c r="J37" s="171">
        <v>0</v>
      </c>
      <c r="K37" s="172"/>
      <c r="L37" s="166">
        <v>0</v>
      </c>
      <c r="M37" s="167"/>
      <c r="N37" s="166">
        <v>0</v>
      </c>
      <c r="O37" s="167"/>
      <c r="P37" s="177">
        <v>0</v>
      </c>
      <c r="Q37" s="178"/>
      <c r="R37" s="76">
        <f t="shared" si="16"/>
        <v>0</v>
      </c>
      <c r="S37" s="100"/>
    </row>
    <row r="38" spans="2:20" ht="14.1" customHeight="1" x14ac:dyDescent="0.15">
      <c r="B38" s="173" t="s">
        <v>23</v>
      </c>
      <c r="C38" s="173"/>
      <c r="D38" s="166">
        <v>0</v>
      </c>
      <c r="E38" s="167"/>
      <c r="F38" s="166">
        <v>0</v>
      </c>
      <c r="G38" s="167"/>
      <c r="H38" s="166">
        <v>0</v>
      </c>
      <c r="I38" s="167"/>
      <c r="J38" s="166">
        <v>0</v>
      </c>
      <c r="K38" s="167"/>
      <c r="L38" s="166">
        <v>0</v>
      </c>
      <c r="M38" s="167"/>
      <c r="N38" s="166">
        <v>0</v>
      </c>
      <c r="O38" s="167"/>
      <c r="P38" s="177">
        <v>0</v>
      </c>
      <c r="Q38" s="178"/>
      <c r="R38" s="76">
        <f t="shared" si="16"/>
        <v>0</v>
      </c>
      <c r="S38" s="100"/>
    </row>
    <row r="39" spans="2:20" ht="14.1" customHeight="1" x14ac:dyDescent="0.15">
      <c r="B39" s="174" t="s">
        <v>24</v>
      </c>
      <c r="C39" s="174"/>
      <c r="D39" s="171">
        <v>0</v>
      </c>
      <c r="E39" s="172"/>
      <c r="F39" s="171">
        <v>0</v>
      </c>
      <c r="G39" s="172"/>
      <c r="H39" s="171">
        <v>0</v>
      </c>
      <c r="I39" s="172"/>
      <c r="J39" s="171">
        <v>0</v>
      </c>
      <c r="K39" s="172"/>
      <c r="L39" s="166">
        <v>0</v>
      </c>
      <c r="M39" s="167"/>
      <c r="N39" s="166">
        <v>0</v>
      </c>
      <c r="O39" s="167"/>
      <c r="P39" s="177">
        <v>0</v>
      </c>
      <c r="Q39" s="178"/>
      <c r="R39" s="76">
        <f t="shared" si="16"/>
        <v>0</v>
      </c>
      <c r="S39" s="100"/>
    </row>
    <row r="40" spans="2:20" ht="14.1" customHeight="1" x14ac:dyDescent="0.15">
      <c r="B40" s="174" t="s">
        <v>25</v>
      </c>
      <c r="C40" s="174"/>
      <c r="D40" s="171">
        <v>0</v>
      </c>
      <c r="E40" s="172"/>
      <c r="F40" s="171">
        <v>0</v>
      </c>
      <c r="G40" s="172"/>
      <c r="H40" s="171">
        <v>0</v>
      </c>
      <c r="I40" s="172"/>
      <c r="J40" s="171">
        <v>0</v>
      </c>
      <c r="K40" s="172"/>
      <c r="L40" s="171">
        <v>0</v>
      </c>
      <c r="M40" s="172"/>
      <c r="N40" s="171">
        <v>0</v>
      </c>
      <c r="O40" s="172"/>
      <c r="P40" s="171">
        <v>0</v>
      </c>
      <c r="Q40" s="172"/>
      <c r="R40" s="76">
        <f t="shared" si="16"/>
        <v>0</v>
      </c>
      <c r="S40" s="100"/>
    </row>
    <row r="41" spans="2:20" ht="14.1" customHeight="1" x14ac:dyDescent="0.15">
      <c r="B41" s="174" t="s">
        <v>26</v>
      </c>
      <c r="C41" s="174"/>
      <c r="D41" s="166">
        <f>69995040/1000</f>
        <v>69995.039999999994</v>
      </c>
      <c r="E41" s="167"/>
      <c r="F41" s="166">
        <f>124255951/1000</f>
        <v>124255.951</v>
      </c>
      <c r="G41" s="167"/>
      <c r="H41" s="166">
        <f>29519000/1000</f>
        <v>29519</v>
      </c>
      <c r="I41" s="167"/>
      <c r="J41" s="166">
        <f>3699000/1000</f>
        <v>3699</v>
      </c>
      <c r="K41" s="167"/>
      <c r="L41" s="171">
        <v>0</v>
      </c>
      <c r="M41" s="172"/>
      <c r="N41" s="166">
        <f>36576000/1000</f>
        <v>36576</v>
      </c>
      <c r="O41" s="167"/>
      <c r="P41" s="166">
        <f>227386000/1000</f>
        <v>227386</v>
      </c>
      <c r="Q41" s="167"/>
      <c r="R41" s="75">
        <f t="shared" si="16"/>
        <v>491430.99099999998</v>
      </c>
      <c r="S41" s="100"/>
    </row>
    <row r="42" spans="2:20" ht="13.5" customHeight="1" x14ac:dyDescent="0.15">
      <c r="B42" s="175" t="s">
        <v>27</v>
      </c>
      <c r="C42" s="176"/>
      <c r="D42" s="166">
        <f>SUM(D43:E47)</f>
        <v>560018536.80299997</v>
      </c>
      <c r="E42" s="167"/>
      <c r="F42" s="171">
        <f>SUM(F43:G47)</f>
        <v>0</v>
      </c>
      <c r="G42" s="172"/>
      <c r="H42" s="171">
        <f t="shared" ref="H42" si="17">SUM(H43:I47)</f>
        <v>0</v>
      </c>
      <c r="I42" s="172"/>
      <c r="J42" s="171">
        <f t="shared" ref="J42" si="18">SUM(J43:K47)</f>
        <v>0</v>
      </c>
      <c r="K42" s="172"/>
      <c r="L42" s="166">
        <f t="shared" ref="L42" si="19">SUM(L43:M47)</f>
        <v>0</v>
      </c>
      <c r="M42" s="167"/>
      <c r="N42" s="171">
        <f t="shared" ref="N42" si="20">SUM(N43:O47)</f>
        <v>0</v>
      </c>
      <c r="O42" s="172"/>
      <c r="P42" s="171">
        <f t="shared" ref="P42" si="21">SUM(P43:Q47)</f>
        <v>0</v>
      </c>
      <c r="Q42" s="172"/>
      <c r="R42" s="75">
        <f>SUM(D42:Q42)</f>
        <v>560018536.80299997</v>
      </c>
      <c r="S42" s="100"/>
      <c r="T42" s="22"/>
    </row>
    <row r="43" spans="2:20" ht="14.1" customHeight="1" x14ac:dyDescent="0.15">
      <c r="B43" s="174" t="s">
        <v>28</v>
      </c>
      <c r="C43" s="174"/>
      <c r="D43" s="166">
        <f>536621650048/1000</f>
        <v>536621650.04799998</v>
      </c>
      <c r="E43" s="167"/>
      <c r="F43" s="171">
        <v>0</v>
      </c>
      <c r="G43" s="172"/>
      <c r="H43" s="171">
        <v>0</v>
      </c>
      <c r="I43" s="172"/>
      <c r="J43" s="171">
        <v>0</v>
      </c>
      <c r="K43" s="172"/>
      <c r="L43" s="171">
        <v>0</v>
      </c>
      <c r="M43" s="172"/>
      <c r="N43" s="171">
        <v>0</v>
      </c>
      <c r="O43" s="172"/>
      <c r="P43" s="171">
        <v>0</v>
      </c>
      <c r="Q43" s="172"/>
      <c r="R43" s="75">
        <f t="shared" si="16"/>
        <v>536621650.04799998</v>
      </c>
      <c r="S43" s="100"/>
    </row>
    <row r="44" spans="2:20" ht="14.1" customHeight="1" x14ac:dyDescent="0.15">
      <c r="B44" s="174" t="s">
        <v>29</v>
      </c>
      <c r="C44" s="174"/>
      <c r="D44" s="166">
        <f>202610248/1000</f>
        <v>202610.24799999999</v>
      </c>
      <c r="E44" s="167"/>
      <c r="F44" s="171">
        <v>0</v>
      </c>
      <c r="G44" s="172"/>
      <c r="H44" s="171">
        <v>0</v>
      </c>
      <c r="I44" s="172"/>
      <c r="J44" s="171">
        <v>0</v>
      </c>
      <c r="K44" s="172"/>
      <c r="L44" s="171">
        <v>0</v>
      </c>
      <c r="M44" s="172"/>
      <c r="N44" s="171">
        <v>0</v>
      </c>
      <c r="O44" s="172"/>
      <c r="P44" s="171">
        <v>0</v>
      </c>
      <c r="Q44" s="172"/>
      <c r="R44" s="75">
        <f t="shared" si="16"/>
        <v>202610.24799999999</v>
      </c>
      <c r="S44" s="100"/>
    </row>
    <row r="45" spans="2:20" ht="14.1" customHeight="1" x14ac:dyDescent="0.15">
      <c r="B45" s="173" t="s">
        <v>21</v>
      </c>
      <c r="C45" s="173"/>
      <c r="D45" s="166">
        <f>22879867870/1000</f>
        <v>22879867.870000001</v>
      </c>
      <c r="E45" s="167"/>
      <c r="F45" s="171">
        <v>0</v>
      </c>
      <c r="G45" s="172"/>
      <c r="H45" s="171">
        <v>0</v>
      </c>
      <c r="I45" s="172"/>
      <c r="J45" s="171">
        <v>0</v>
      </c>
      <c r="K45" s="172"/>
      <c r="L45" s="171">
        <v>0</v>
      </c>
      <c r="M45" s="172"/>
      <c r="N45" s="171">
        <v>0</v>
      </c>
      <c r="O45" s="172"/>
      <c r="P45" s="171">
        <v>0</v>
      </c>
      <c r="Q45" s="172"/>
      <c r="R45" s="75">
        <f t="shared" si="16"/>
        <v>22879867.870000001</v>
      </c>
      <c r="S45" s="100"/>
    </row>
    <row r="46" spans="2:20" ht="14.1" customHeight="1" x14ac:dyDescent="0.15">
      <c r="B46" s="174" t="s">
        <v>25</v>
      </c>
      <c r="C46" s="174"/>
      <c r="D46" s="171">
        <v>0</v>
      </c>
      <c r="E46" s="172"/>
      <c r="F46" s="171">
        <v>0</v>
      </c>
      <c r="G46" s="172"/>
      <c r="H46" s="171">
        <v>0</v>
      </c>
      <c r="I46" s="172"/>
      <c r="J46" s="171">
        <v>0</v>
      </c>
      <c r="K46" s="172"/>
      <c r="L46" s="171">
        <v>0</v>
      </c>
      <c r="M46" s="172"/>
      <c r="N46" s="171">
        <v>0</v>
      </c>
      <c r="O46" s="172"/>
      <c r="P46" s="171">
        <v>0</v>
      </c>
      <c r="Q46" s="172"/>
      <c r="R46" s="76">
        <f t="shared" si="16"/>
        <v>0</v>
      </c>
      <c r="S46" s="100"/>
    </row>
    <row r="47" spans="2:20" ht="14.1" customHeight="1" x14ac:dyDescent="0.15">
      <c r="B47" s="173" t="s">
        <v>26</v>
      </c>
      <c r="C47" s="173"/>
      <c r="D47" s="166">
        <f>314408637/1000</f>
        <v>314408.63699999999</v>
      </c>
      <c r="E47" s="167"/>
      <c r="F47" s="171">
        <v>0</v>
      </c>
      <c r="G47" s="172"/>
      <c r="H47" s="171">
        <v>0</v>
      </c>
      <c r="I47" s="172"/>
      <c r="J47" s="171">
        <v>0</v>
      </c>
      <c r="K47" s="172"/>
      <c r="L47" s="166">
        <v>0</v>
      </c>
      <c r="M47" s="167"/>
      <c r="N47" s="171">
        <v>0</v>
      </c>
      <c r="O47" s="172"/>
      <c r="P47" s="171">
        <v>0</v>
      </c>
      <c r="Q47" s="172"/>
      <c r="R47" s="75">
        <f t="shared" si="16"/>
        <v>314408.63699999999</v>
      </c>
      <c r="S47" s="100"/>
    </row>
    <row r="48" spans="2:20" ht="14.1" customHeight="1" x14ac:dyDescent="0.15">
      <c r="B48" s="169" t="s">
        <v>30</v>
      </c>
      <c r="C48" s="170"/>
      <c r="D48" s="166">
        <f>43005985/1000</f>
        <v>43005.985000000001</v>
      </c>
      <c r="E48" s="167"/>
      <c r="F48" s="166">
        <f>422527569/1000</f>
        <v>422527.56900000002</v>
      </c>
      <c r="G48" s="167"/>
      <c r="H48" s="166">
        <f>62192074/1000</f>
        <v>62192.074000000001</v>
      </c>
      <c r="I48" s="167"/>
      <c r="J48" s="166">
        <f>43944131/1000</f>
        <v>43944.131000000001</v>
      </c>
      <c r="K48" s="167"/>
      <c r="L48" s="166">
        <f>4400004/1000</f>
        <v>4400.0039999999999</v>
      </c>
      <c r="M48" s="167"/>
      <c r="N48" s="166">
        <f>233958988/1000</f>
        <v>233958.98800000001</v>
      </c>
      <c r="O48" s="167"/>
      <c r="P48" s="166">
        <f>53807685/1000</f>
        <v>53807.684999999998</v>
      </c>
      <c r="Q48" s="167"/>
      <c r="R48" s="75">
        <f>SUM(D48:Q48)</f>
        <v>863836.43599999999</v>
      </c>
      <c r="S48" s="100"/>
    </row>
    <row r="49" spans="2:20" ht="13.5" customHeight="1" x14ac:dyDescent="0.15">
      <c r="B49" s="168" t="s">
        <v>38</v>
      </c>
      <c r="C49" s="168"/>
      <c r="D49" s="166">
        <f>SUM(D32,D42,D48)</f>
        <v>572774525.75100005</v>
      </c>
      <c r="E49" s="167"/>
      <c r="F49" s="166">
        <f t="shared" ref="F49" si="22">SUM(F32,F42,F48)</f>
        <v>86869796.665000021</v>
      </c>
      <c r="G49" s="167"/>
      <c r="H49" s="166">
        <f t="shared" ref="H49" si="23">SUM(H32,H42,H48)</f>
        <v>17102346.314000003</v>
      </c>
      <c r="I49" s="167"/>
      <c r="J49" s="166">
        <f t="shared" ref="J49" si="24">SUM(J32,J42,J48)</f>
        <v>3506825.3989999997</v>
      </c>
      <c r="K49" s="167"/>
      <c r="L49" s="166">
        <f t="shared" ref="L49" si="25">SUM(L32,L42,L48)</f>
        <v>4400.0039999999999</v>
      </c>
      <c r="M49" s="167"/>
      <c r="N49" s="166">
        <f t="shared" ref="N49" si="26">SUM(N32,N42,N48)</f>
        <v>1734126.9079999998</v>
      </c>
      <c r="O49" s="167"/>
      <c r="P49" s="166">
        <f>SUM(P32,P42,P48)</f>
        <v>32248829.439999998</v>
      </c>
      <c r="Q49" s="167"/>
      <c r="R49" s="75">
        <f>SUM(R32,R42,R48)</f>
        <v>714240850.48100007</v>
      </c>
      <c r="S49" s="100"/>
      <c r="T49" s="29"/>
    </row>
    <row r="50" spans="2:20" ht="3" customHeight="1" x14ac:dyDescent="0.15">
      <c r="D50" s="17"/>
      <c r="E50" s="17"/>
      <c r="F50" s="17"/>
      <c r="G50" s="17"/>
      <c r="H50" s="17"/>
      <c r="I50" s="17"/>
      <c r="J50" s="17"/>
      <c r="K50" s="17"/>
      <c r="L50" s="17"/>
      <c r="M50" s="17"/>
      <c r="N50" s="17"/>
      <c r="O50" s="17"/>
      <c r="P50" s="17"/>
      <c r="Q50" s="17"/>
      <c r="R50" s="17"/>
    </row>
    <row r="51" spans="2:20" ht="5.0999999999999996" customHeight="1" x14ac:dyDescent="0.15"/>
    <row r="52" spans="2:20" x14ac:dyDescent="0.15">
      <c r="R52" s="17"/>
      <c r="T52" s="22"/>
    </row>
    <row r="53" spans="2:20" x14ac:dyDescent="0.15">
      <c r="C53" s="29"/>
    </row>
    <row r="54" spans="2:20" x14ac:dyDescent="0.15">
      <c r="C54" s="98"/>
    </row>
  </sheetData>
  <mergeCells count="310">
    <mergeCell ref="A1:E1"/>
    <mergeCell ref="A2:R2"/>
    <mergeCell ref="A3:G3"/>
    <mergeCell ref="A4:R4"/>
    <mergeCell ref="B5:R5"/>
    <mergeCell ref="B7:C7"/>
    <mergeCell ref="D7:E7"/>
    <mergeCell ref="F7:G7"/>
    <mergeCell ref="H7:I7"/>
    <mergeCell ref="J7:K7"/>
    <mergeCell ref="L7:M7"/>
    <mergeCell ref="N7:O7"/>
    <mergeCell ref="P7:Q7"/>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B33:C33"/>
    <mergeCell ref="D33:E33"/>
    <mergeCell ref="F33:G33"/>
    <mergeCell ref="H33:I33"/>
    <mergeCell ref="J33:K33"/>
    <mergeCell ref="L33:M33"/>
    <mergeCell ref="N33:O33"/>
    <mergeCell ref="P33:Q33"/>
    <mergeCell ref="N34:O34"/>
    <mergeCell ref="P34:Q34"/>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s>
  <phoneticPr fontId="4"/>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5"/>
  <sheetViews>
    <sheetView view="pageBreakPreview" zoomScale="80" zoomScaleNormal="100" zoomScaleSheetLayoutView="80" workbookViewId="0">
      <selection activeCell="B1" sqref="B1"/>
    </sheetView>
  </sheetViews>
  <sheetFormatPr defaultRowHeight="13.5" x14ac:dyDescent="0.15"/>
  <cols>
    <col min="1" max="1" width="2.125" customWidth="1"/>
    <col min="2" max="3" width="15.625" customWidth="1"/>
    <col min="4" max="4" width="8.125" customWidth="1"/>
    <col min="5" max="5" width="20.625" customWidth="1"/>
    <col min="6" max="6" width="15.625" customWidth="1"/>
    <col min="7" max="7" width="1" customWidth="1"/>
    <col min="8" max="8" width="1.5" customWidth="1"/>
    <col min="9" max="9" width="15.625" style="21" customWidth="1"/>
    <col min="10" max="10" width="16.375" style="21" customWidth="1"/>
    <col min="11" max="11" width="15.375" style="21" customWidth="1"/>
    <col min="12" max="12" width="13.125" customWidth="1"/>
    <col min="13" max="13" width="12" style="21" customWidth="1"/>
    <col min="14" max="14" width="13.875" customWidth="1"/>
  </cols>
  <sheetData>
    <row r="1" spans="1:14" ht="33.75" customHeight="1" x14ac:dyDescent="0.15"/>
    <row r="2" spans="1:14" ht="19.5" customHeight="1" x14ac:dyDescent="0.15">
      <c r="B2" s="63" t="s">
        <v>196</v>
      </c>
    </row>
    <row r="3" spans="1:14" ht="19.5" customHeight="1" x14ac:dyDescent="0.15">
      <c r="B3" s="63" t="s">
        <v>197</v>
      </c>
      <c r="C3" s="77"/>
      <c r="F3" s="78" t="s">
        <v>225</v>
      </c>
    </row>
    <row r="4" spans="1:14" ht="21.95" customHeight="1" x14ac:dyDescent="0.15">
      <c r="B4" s="46" t="s">
        <v>198</v>
      </c>
      <c r="C4" s="46" t="s">
        <v>10</v>
      </c>
      <c r="D4" s="245" t="s">
        <v>200</v>
      </c>
      <c r="E4" s="246"/>
      <c r="F4" s="81" t="s">
        <v>150</v>
      </c>
      <c r="L4" s="85"/>
      <c r="M4" s="85"/>
      <c r="N4" s="85"/>
    </row>
    <row r="5" spans="1:14" ht="21.95" customHeight="1" x14ac:dyDescent="0.15">
      <c r="B5" s="247" t="s">
        <v>199</v>
      </c>
      <c r="C5" s="250" t="s">
        <v>202</v>
      </c>
      <c r="D5" s="253" t="s">
        <v>237</v>
      </c>
      <c r="E5" s="254"/>
      <c r="F5" s="160">
        <v>46866668.056999996</v>
      </c>
      <c r="L5" s="84"/>
      <c r="N5" s="83"/>
    </row>
    <row r="6" spans="1:14" ht="21.95" customHeight="1" x14ac:dyDescent="0.15">
      <c r="B6" s="248"/>
      <c r="C6" s="251"/>
      <c r="D6" s="253" t="s">
        <v>238</v>
      </c>
      <c r="E6" s="254"/>
      <c r="F6" s="160">
        <v>352296</v>
      </c>
    </row>
    <row r="7" spans="1:14" ht="21.95" customHeight="1" x14ac:dyDescent="0.15">
      <c r="B7" s="248"/>
      <c r="C7" s="251"/>
      <c r="D7" s="253" t="s">
        <v>239</v>
      </c>
      <c r="E7" s="254"/>
      <c r="F7" s="160">
        <v>59394</v>
      </c>
    </row>
    <row r="8" spans="1:14" ht="21.95" customHeight="1" x14ac:dyDescent="0.15">
      <c r="B8" s="248"/>
      <c r="C8" s="251"/>
      <c r="D8" s="253" t="s">
        <v>240</v>
      </c>
      <c r="E8" s="254"/>
      <c r="F8" s="160">
        <v>426702</v>
      </c>
    </row>
    <row r="9" spans="1:14" ht="21.95" customHeight="1" x14ac:dyDescent="0.15">
      <c r="B9" s="248"/>
      <c r="C9" s="251"/>
      <c r="D9" s="253" t="s">
        <v>241</v>
      </c>
      <c r="E9" s="254"/>
      <c r="F9" s="160">
        <v>521716</v>
      </c>
    </row>
    <row r="10" spans="1:14" ht="21.95" customHeight="1" x14ac:dyDescent="0.15">
      <c r="B10" s="248"/>
      <c r="C10" s="251"/>
      <c r="D10" s="253" t="s">
        <v>271</v>
      </c>
      <c r="E10" s="254"/>
      <c r="F10" s="160">
        <v>603752</v>
      </c>
    </row>
    <row r="11" spans="1:14" ht="21.95" customHeight="1" x14ac:dyDescent="0.15">
      <c r="B11" s="248"/>
      <c r="C11" s="251"/>
      <c r="D11" s="253" t="s">
        <v>242</v>
      </c>
      <c r="E11" s="254"/>
      <c r="F11" s="160">
        <v>5302461</v>
      </c>
    </row>
    <row r="12" spans="1:14" ht="21.95" customHeight="1" x14ac:dyDescent="0.15">
      <c r="B12" s="248"/>
      <c r="C12" s="251"/>
      <c r="D12" s="253" t="s">
        <v>243</v>
      </c>
      <c r="E12" s="254"/>
      <c r="F12" s="160">
        <v>7131.32</v>
      </c>
    </row>
    <row r="13" spans="1:14" s="21" customFormat="1" ht="21.95" customHeight="1" x14ac:dyDescent="0.15">
      <c r="A13"/>
      <c r="B13" s="248"/>
      <c r="C13" s="251"/>
      <c r="D13" s="255" t="s">
        <v>255</v>
      </c>
      <c r="E13" s="256"/>
      <c r="F13" s="160">
        <v>77462.364000000001</v>
      </c>
      <c r="G13"/>
      <c r="H13"/>
      <c r="L13"/>
      <c r="N13"/>
    </row>
    <row r="14" spans="1:14" s="21" customFormat="1" ht="21.95" customHeight="1" x14ac:dyDescent="0.15">
      <c r="A14"/>
      <c r="B14" s="248"/>
      <c r="C14" s="251"/>
      <c r="D14" s="253" t="s">
        <v>244</v>
      </c>
      <c r="E14" s="254"/>
      <c r="F14" s="160">
        <v>436457</v>
      </c>
      <c r="G14"/>
      <c r="H14"/>
      <c r="L14"/>
      <c r="N14"/>
    </row>
    <row r="15" spans="1:14" s="21" customFormat="1" ht="21.95" customHeight="1" x14ac:dyDescent="0.15">
      <c r="A15"/>
      <c r="B15" s="248"/>
      <c r="C15" s="251"/>
      <c r="D15" s="253" t="s">
        <v>245</v>
      </c>
      <c r="E15" s="254"/>
      <c r="F15" s="160">
        <v>48139</v>
      </c>
      <c r="G15"/>
      <c r="H15"/>
      <c r="L15"/>
      <c r="N15"/>
    </row>
    <row r="16" spans="1:14" s="21" customFormat="1" ht="21.95" customHeight="1" x14ac:dyDescent="0.15">
      <c r="A16"/>
      <c r="B16" s="248"/>
      <c r="C16" s="251"/>
      <c r="D16" s="253" t="s">
        <v>246</v>
      </c>
      <c r="E16" s="254"/>
      <c r="F16" s="160">
        <v>23605</v>
      </c>
      <c r="G16"/>
      <c r="H16"/>
      <c r="L16"/>
      <c r="N16"/>
    </row>
    <row r="17" spans="1:14" s="21" customFormat="1" ht="21.95" customHeight="1" x14ac:dyDescent="0.15">
      <c r="A17"/>
      <c r="B17" s="248"/>
      <c r="C17" s="251"/>
      <c r="D17" s="253" t="s">
        <v>247</v>
      </c>
      <c r="E17" s="254"/>
      <c r="F17" s="160">
        <v>1587163.3330000001</v>
      </c>
      <c r="G17"/>
      <c r="H17"/>
      <c r="L17" s="84"/>
      <c r="N17" s="83"/>
    </row>
    <row r="18" spans="1:14" s="21" customFormat="1" ht="21.95" customHeight="1" x14ac:dyDescent="0.15">
      <c r="A18"/>
      <c r="B18" s="248"/>
      <c r="C18" s="251"/>
      <c r="D18" s="253" t="s">
        <v>248</v>
      </c>
      <c r="E18" s="254"/>
      <c r="F18" s="160">
        <v>301908.96299999999</v>
      </c>
      <c r="G18"/>
      <c r="H18"/>
      <c r="L18"/>
      <c r="N18"/>
    </row>
    <row r="19" spans="1:14" s="21" customFormat="1" ht="21.95" customHeight="1" x14ac:dyDescent="0.15">
      <c r="A19"/>
      <c r="B19" s="248"/>
      <c r="C19" s="251"/>
      <c r="D19" s="253" t="s">
        <v>249</v>
      </c>
      <c r="E19" s="254"/>
      <c r="F19" s="160">
        <v>209528.315</v>
      </c>
      <c r="G19"/>
      <c r="H19"/>
      <c r="L19"/>
      <c r="N19"/>
    </row>
    <row r="20" spans="1:14" s="21" customFormat="1" ht="21.95" customHeight="1" x14ac:dyDescent="0.15">
      <c r="A20"/>
      <c r="B20" s="248"/>
      <c r="C20" s="251"/>
      <c r="D20" s="253" t="s">
        <v>250</v>
      </c>
      <c r="E20" s="254"/>
      <c r="F20" s="160">
        <v>92225.096000000005</v>
      </c>
      <c r="G20"/>
      <c r="H20"/>
      <c r="L20"/>
      <c r="N20"/>
    </row>
    <row r="21" spans="1:14" s="21" customFormat="1" ht="21.95" customHeight="1" x14ac:dyDescent="0.15">
      <c r="A21"/>
      <c r="B21" s="248"/>
      <c r="C21" s="252"/>
      <c r="D21" s="245" t="s">
        <v>203</v>
      </c>
      <c r="E21" s="246"/>
      <c r="F21" s="161">
        <f>SUM(F5:F20)</f>
        <v>56916609.447999991</v>
      </c>
      <c r="G21"/>
      <c r="H21"/>
      <c r="L21"/>
      <c r="N21"/>
    </row>
    <row r="22" spans="1:14" s="21" customFormat="1" ht="21.95" customHeight="1" x14ac:dyDescent="0.15">
      <c r="A22"/>
      <c r="B22" s="248"/>
      <c r="C22" s="258" t="s">
        <v>204</v>
      </c>
      <c r="D22" s="250" t="s">
        <v>208</v>
      </c>
      <c r="E22" s="47" t="s">
        <v>205</v>
      </c>
      <c r="F22" s="161">
        <v>595703</v>
      </c>
      <c r="G22"/>
      <c r="H22"/>
      <c r="L22"/>
      <c r="N22"/>
    </row>
    <row r="23" spans="1:14" s="21" customFormat="1" ht="21.95" customHeight="1" x14ac:dyDescent="0.15">
      <c r="A23"/>
      <c r="B23" s="248"/>
      <c r="C23" s="258"/>
      <c r="D23" s="259"/>
      <c r="E23" s="47" t="s">
        <v>206</v>
      </c>
      <c r="F23" s="161">
        <v>1090521</v>
      </c>
      <c r="G23"/>
      <c r="H23"/>
      <c r="L23"/>
      <c r="N23"/>
    </row>
    <row r="24" spans="1:14" s="21" customFormat="1" ht="21.95" customHeight="1" x14ac:dyDescent="0.15">
      <c r="A24"/>
      <c r="B24" s="248"/>
      <c r="C24" s="258"/>
      <c r="D24" s="260"/>
      <c r="E24" s="48" t="s">
        <v>207</v>
      </c>
      <c r="F24" s="161">
        <f>SUM(F22:F23)</f>
        <v>1686224</v>
      </c>
      <c r="G24"/>
      <c r="H24"/>
      <c r="L24"/>
      <c r="N24"/>
    </row>
    <row r="25" spans="1:14" s="21" customFormat="1" ht="21.95" customHeight="1" x14ac:dyDescent="0.15">
      <c r="A25"/>
      <c r="B25" s="248"/>
      <c r="C25" s="258"/>
      <c r="D25" s="250" t="s">
        <v>209</v>
      </c>
      <c r="E25" s="47" t="s">
        <v>205</v>
      </c>
      <c r="F25" s="161">
        <v>23570894.368999999</v>
      </c>
      <c r="G25"/>
      <c r="H25"/>
      <c r="L25" s="83"/>
      <c r="N25"/>
    </row>
    <row r="26" spans="1:14" s="21" customFormat="1" ht="21.95" customHeight="1" x14ac:dyDescent="0.15">
      <c r="A26"/>
      <c r="B26" s="248"/>
      <c r="C26" s="258"/>
      <c r="D26" s="259"/>
      <c r="E26" s="47" t="s">
        <v>206</v>
      </c>
      <c r="F26" s="161">
        <v>11955942.136</v>
      </c>
      <c r="G26"/>
      <c r="H26"/>
      <c r="L26" s="83"/>
      <c r="N26"/>
    </row>
    <row r="27" spans="1:14" s="21" customFormat="1" ht="21.95" customHeight="1" x14ac:dyDescent="0.15">
      <c r="A27"/>
      <c r="B27" s="248"/>
      <c r="C27" s="258"/>
      <c r="D27" s="260"/>
      <c r="E27" s="48" t="s">
        <v>207</v>
      </c>
      <c r="F27" s="161">
        <f>SUM(F25:F26)</f>
        <v>35526836.504999995</v>
      </c>
      <c r="G27"/>
      <c r="H27"/>
      <c r="L27"/>
      <c r="N27"/>
    </row>
    <row r="28" spans="1:14" s="21" customFormat="1" ht="21.95" customHeight="1" x14ac:dyDescent="0.15">
      <c r="A28"/>
      <c r="B28" s="249"/>
      <c r="C28" s="258"/>
      <c r="D28" s="245" t="s">
        <v>203</v>
      </c>
      <c r="E28" s="246"/>
      <c r="F28" s="161">
        <f>F24+F27</f>
        <v>37213060.504999995</v>
      </c>
      <c r="G28"/>
      <c r="H28"/>
      <c r="L28"/>
      <c r="N28"/>
    </row>
    <row r="29" spans="1:14" s="21" customFormat="1" ht="21.95" customHeight="1" x14ac:dyDescent="0.15">
      <c r="A29"/>
      <c r="B29" s="245" t="s">
        <v>38</v>
      </c>
      <c r="C29" s="257"/>
      <c r="D29" s="257"/>
      <c r="E29" s="246"/>
      <c r="F29" s="160">
        <f>F21+F28</f>
        <v>94129669.952999979</v>
      </c>
      <c r="G29"/>
      <c r="H29"/>
      <c r="L29"/>
      <c r="N29"/>
    </row>
    <row r="30" spans="1:14" s="21" customFormat="1" ht="21.95" customHeight="1" x14ac:dyDescent="0.15">
      <c r="A30"/>
      <c r="B30"/>
      <c r="C30"/>
      <c r="D30"/>
      <c r="E30"/>
      <c r="F30"/>
      <c r="G30"/>
      <c r="H30"/>
      <c r="L30"/>
      <c r="N30"/>
    </row>
    <row r="31" spans="1:14" s="21" customFormat="1" ht="22.5" customHeight="1" x14ac:dyDescent="0.15">
      <c r="A31"/>
      <c r="B31"/>
      <c r="C31"/>
      <c r="D31"/>
      <c r="E31"/>
      <c r="F31"/>
      <c r="G31"/>
      <c r="H31"/>
      <c r="L31"/>
      <c r="N31"/>
    </row>
    <row r="32" spans="1:14" ht="22.5" customHeight="1" x14ac:dyDescent="0.15"/>
    <row r="33" ht="22.5" customHeight="1" x14ac:dyDescent="0.15"/>
    <row r="34" ht="22.5" customHeight="1" x14ac:dyDescent="0.15"/>
    <row r="35" ht="22.5" customHeight="1" x14ac:dyDescent="0.15"/>
  </sheetData>
  <mergeCells count="25">
    <mergeCell ref="B29:E29"/>
    <mergeCell ref="D17:E17"/>
    <mergeCell ref="D18:E18"/>
    <mergeCell ref="D19:E19"/>
    <mergeCell ref="D20:E20"/>
    <mergeCell ref="D21:E21"/>
    <mergeCell ref="C22:C28"/>
    <mergeCell ref="D22:D24"/>
    <mergeCell ref="D25:D27"/>
    <mergeCell ref="D28:E28"/>
    <mergeCell ref="D4:E4"/>
    <mergeCell ref="B5:B28"/>
    <mergeCell ref="C5:C21"/>
    <mergeCell ref="D5:E5"/>
    <mergeCell ref="D6:E6"/>
    <mergeCell ref="D7:E7"/>
    <mergeCell ref="D8:E8"/>
    <mergeCell ref="D9:E9"/>
    <mergeCell ref="D10:E10"/>
    <mergeCell ref="D11:E11"/>
    <mergeCell ref="D12:E12"/>
    <mergeCell ref="D13:E13"/>
    <mergeCell ref="D14:E14"/>
    <mergeCell ref="D15:E15"/>
    <mergeCell ref="D16:E16"/>
  </mergeCells>
  <phoneticPr fontId="4"/>
  <printOptions horizontalCentered="1"/>
  <pageMargins left="0.19685039370078741" right="0.19685039370078741" top="0.15748031496062992" bottom="0.15748031496062992" header="0.31496062992125984" footer="0.31496062992125984"/>
  <pageSetup paperSize="9" scale="9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5"/>
  <sheetViews>
    <sheetView view="pageBreakPreview" zoomScaleNormal="100" zoomScaleSheetLayoutView="100" workbookViewId="0">
      <selection activeCell="B1" sqref="B1"/>
    </sheetView>
  </sheetViews>
  <sheetFormatPr defaultColWidth="9" defaultRowHeight="11.25" x14ac:dyDescent="0.15"/>
  <cols>
    <col min="1" max="1" width="2.125" style="8" customWidth="1"/>
    <col min="2" max="2" width="25.625" style="8" customWidth="1"/>
    <col min="3" max="7" width="15.625" style="8" customWidth="1"/>
    <col min="8" max="8" width="1.5" style="8" customWidth="1"/>
    <col min="9" max="9" width="19.75" style="8" customWidth="1"/>
    <col min="10" max="10" width="10.75" style="86" bestFit="1" customWidth="1"/>
    <col min="11" max="16384" width="9" style="8"/>
  </cols>
  <sheetData>
    <row r="1" spans="2:14" ht="33.75" customHeight="1" x14ac:dyDescent="0.15"/>
    <row r="2" spans="2:14" ht="19.5" customHeight="1" x14ac:dyDescent="0.15">
      <c r="B2" s="63" t="s">
        <v>196</v>
      </c>
      <c r="C2"/>
      <c r="D2"/>
      <c r="E2"/>
      <c r="F2"/>
      <c r="G2"/>
    </row>
    <row r="3" spans="2:14" ht="19.5" customHeight="1" x14ac:dyDescent="0.15">
      <c r="B3" s="63" t="s">
        <v>210</v>
      </c>
      <c r="C3" s="77"/>
      <c r="D3"/>
      <c r="E3"/>
      <c r="F3" s="62"/>
      <c r="G3" s="62" t="s">
        <v>225</v>
      </c>
    </row>
    <row r="4" spans="2:14" ht="24" customHeight="1" x14ac:dyDescent="0.15">
      <c r="B4" s="261" t="s">
        <v>211</v>
      </c>
      <c r="C4" s="261" t="s">
        <v>212</v>
      </c>
      <c r="D4" s="263" t="s">
        <v>213</v>
      </c>
      <c r="E4" s="264"/>
      <c r="F4" s="264"/>
      <c r="G4" s="265"/>
    </row>
    <row r="5" spans="2:14" ht="24" customHeight="1" x14ac:dyDescent="0.15">
      <c r="B5" s="262"/>
      <c r="C5" s="262"/>
      <c r="D5" s="162" t="s">
        <v>214</v>
      </c>
      <c r="E5" s="162" t="s">
        <v>215</v>
      </c>
      <c r="F5" s="162" t="s">
        <v>216</v>
      </c>
      <c r="G5" s="162" t="s">
        <v>217</v>
      </c>
    </row>
    <row r="6" spans="2:14" ht="24" customHeight="1" x14ac:dyDescent="0.15">
      <c r="B6" s="163" t="s">
        <v>218</v>
      </c>
      <c r="C6" s="79">
        <f>SUM(D6:G6)</f>
        <v>88812351.741999999</v>
      </c>
      <c r="D6" s="79">
        <v>35526836.504999995</v>
      </c>
      <c r="E6" s="79">
        <v>320598</v>
      </c>
      <c r="F6" s="80">
        <v>48288153.093000002</v>
      </c>
      <c r="G6" s="79">
        <v>4676764.1440000022</v>
      </c>
      <c r="N6" s="86"/>
    </row>
    <row r="7" spans="2:14" ht="24" customHeight="1" x14ac:dyDescent="0.15">
      <c r="B7" s="163" t="s">
        <v>219</v>
      </c>
      <c r="C7" s="79">
        <f t="shared" ref="C7:C10" si="0">SUM(D7:G7)</f>
        <v>5015390.8660000004</v>
      </c>
      <c r="D7" s="79">
        <v>1686224</v>
      </c>
      <c r="E7" s="79">
        <v>1905402</v>
      </c>
      <c r="F7" s="80">
        <v>1342287.8660000004</v>
      </c>
      <c r="G7" s="79">
        <v>81477</v>
      </c>
    </row>
    <row r="8" spans="2:14" ht="24" customHeight="1" x14ac:dyDescent="0.15">
      <c r="B8" s="163" t="s">
        <v>220</v>
      </c>
      <c r="C8" s="79">
        <f t="shared" si="0"/>
        <v>8280</v>
      </c>
      <c r="D8" s="79">
        <v>0</v>
      </c>
      <c r="E8" s="79">
        <v>0</v>
      </c>
      <c r="F8" s="80">
        <v>8280</v>
      </c>
      <c r="G8" s="79">
        <v>0</v>
      </c>
    </row>
    <row r="9" spans="2:14" ht="24" customHeight="1" x14ac:dyDescent="0.15">
      <c r="B9" s="163" t="s">
        <v>221</v>
      </c>
      <c r="C9" s="79">
        <f t="shared" si="0"/>
        <v>5229686.2249999996</v>
      </c>
      <c r="D9" s="79">
        <v>0</v>
      </c>
      <c r="E9" s="79">
        <v>0</v>
      </c>
      <c r="F9" s="80">
        <v>4756004.3169999998</v>
      </c>
      <c r="G9" s="79">
        <v>473681.90799999982</v>
      </c>
    </row>
    <row r="10" spans="2:14" ht="24" customHeight="1" x14ac:dyDescent="0.15">
      <c r="B10" s="163" t="s">
        <v>148</v>
      </c>
      <c r="C10" s="79">
        <f t="shared" si="0"/>
        <v>0</v>
      </c>
      <c r="D10" s="79">
        <v>0</v>
      </c>
      <c r="E10" s="79">
        <v>0</v>
      </c>
      <c r="F10" s="80">
        <v>0</v>
      </c>
      <c r="G10" s="79">
        <v>0</v>
      </c>
    </row>
    <row r="11" spans="2:14" ht="24" customHeight="1" x14ac:dyDescent="0.15">
      <c r="B11" s="163" t="s">
        <v>4</v>
      </c>
      <c r="C11" s="79">
        <f>SUM(C6:C10)</f>
        <v>99065708.832999989</v>
      </c>
      <c r="D11" s="79">
        <f>SUM(D6:D10)</f>
        <v>37213060.504999995</v>
      </c>
      <c r="E11" s="79">
        <f>SUM(E6:E10)</f>
        <v>2226000</v>
      </c>
      <c r="F11" s="79">
        <f>SUM(F6:F10)</f>
        <v>54394725.276000008</v>
      </c>
      <c r="G11" s="79">
        <f>SUM(G6:G10)</f>
        <v>5231923.052000002</v>
      </c>
    </row>
    <row r="14" spans="2:14" ht="21" customHeight="1" x14ac:dyDescent="0.15"/>
    <row r="15" spans="2:14" customFormat="1" ht="25.5" customHeight="1" x14ac:dyDescent="0.15">
      <c r="E15" s="21"/>
      <c r="J15" s="21"/>
    </row>
  </sheetData>
  <mergeCells count="3">
    <mergeCell ref="B4:B5"/>
    <mergeCell ref="C4:C5"/>
    <mergeCell ref="D4:G4"/>
  </mergeCells>
  <phoneticPr fontId="4"/>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11"/>
  <sheetViews>
    <sheetView view="pageBreakPreview" zoomScale="80" zoomScaleNormal="178" zoomScaleSheetLayoutView="80" workbookViewId="0">
      <selection activeCell="B1" sqref="B1"/>
    </sheetView>
  </sheetViews>
  <sheetFormatPr defaultColWidth="9" defaultRowHeight="11.25" x14ac:dyDescent="0.15"/>
  <cols>
    <col min="1" max="1" width="2.125" style="8" customWidth="1"/>
    <col min="2" max="2" width="28.375" style="8" customWidth="1"/>
    <col min="3" max="3" width="20.625" style="8" customWidth="1"/>
    <col min="4" max="4" width="5.125" style="8" customWidth="1"/>
    <col min="5" max="16384" width="9" style="8"/>
  </cols>
  <sheetData>
    <row r="1" spans="2:3" ht="24.75" customHeight="1" x14ac:dyDescent="0.15"/>
    <row r="2" spans="2:3" ht="19.5" customHeight="1" x14ac:dyDescent="0.15">
      <c r="B2" s="266" t="s">
        <v>222</v>
      </c>
      <c r="C2" s="266"/>
    </row>
    <row r="3" spans="2:3" ht="19.5" customHeight="1" x14ac:dyDescent="0.15">
      <c r="B3" s="63" t="s">
        <v>130</v>
      </c>
      <c r="C3" s="62" t="s">
        <v>223</v>
      </c>
    </row>
    <row r="4" spans="2:3" ht="24.95" customHeight="1" x14ac:dyDescent="0.15">
      <c r="B4" s="40" t="s">
        <v>61</v>
      </c>
      <c r="C4" s="40" t="s">
        <v>121</v>
      </c>
    </row>
    <row r="5" spans="2:3" ht="24.95" customHeight="1" x14ac:dyDescent="0.15">
      <c r="B5" s="41" t="s">
        <v>131</v>
      </c>
      <c r="C5" s="41">
        <v>0</v>
      </c>
    </row>
    <row r="6" spans="2:3" ht="24.95" customHeight="1" x14ac:dyDescent="0.15">
      <c r="B6" s="41" t="s">
        <v>132</v>
      </c>
      <c r="C6" s="164">
        <f>7273403447/1000</f>
        <v>7273403.4469999997</v>
      </c>
    </row>
    <row r="7" spans="2:3" ht="24.95" customHeight="1" x14ac:dyDescent="0.15">
      <c r="B7" s="41" t="s">
        <v>133</v>
      </c>
      <c r="C7" s="41">
        <v>0</v>
      </c>
    </row>
    <row r="8" spans="2:3" ht="24.95" customHeight="1" x14ac:dyDescent="0.15">
      <c r="B8" s="41"/>
      <c r="C8" s="41"/>
    </row>
    <row r="9" spans="2:3" ht="24.95" customHeight="1" x14ac:dyDescent="0.15">
      <c r="B9" s="41"/>
      <c r="C9" s="41"/>
    </row>
    <row r="10" spans="2:3" ht="24.95" customHeight="1" x14ac:dyDescent="0.15">
      <c r="B10" s="42" t="s">
        <v>4</v>
      </c>
      <c r="C10" s="165">
        <f>SUM(C5:C9)</f>
        <v>7273403.4469999997</v>
      </c>
    </row>
    <row r="11" spans="2:3" ht="1.9" customHeight="1" x14ac:dyDescent="0.15">
      <c r="B11" s="102"/>
      <c r="C11" s="102"/>
    </row>
  </sheetData>
  <mergeCells count="1">
    <mergeCell ref="B2:C2"/>
  </mergeCells>
  <phoneticPr fontId="4"/>
  <printOptions horizontalCentered="1"/>
  <pageMargins left="0.19685039370078741" right="0.19685039370078741" top="0.19685039370078741" bottom="0.15748031496062992"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view="pageBreakPreview" zoomScale="70" zoomScaleNormal="80" zoomScaleSheetLayoutView="70" workbookViewId="0">
      <selection activeCell="B1" sqref="B1"/>
    </sheetView>
  </sheetViews>
  <sheetFormatPr defaultColWidth="9" defaultRowHeight="13.5" x14ac:dyDescent="0.15"/>
  <cols>
    <col min="1" max="1" width="8.5" customWidth="1"/>
    <col min="2" max="2" width="38.625" customWidth="1"/>
    <col min="3" max="3" width="19.625" customWidth="1"/>
    <col min="4" max="10" width="16.625" customWidth="1"/>
    <col min="11" max="12" width="18.625" customWidth="1"/>
    <col min="13" max="13" width="1.25" customWidth="1"/>
    <col min="14" max="14" width="13.125" bestFit="1" customWidth="1"/>
  </cols>
  <sheetData>
    <row r="1" spans="1:14" ht="30" customHeight="1" x14ac:dyDescent="0.15"/>
    <row r="2" spans="1:14" ht="34.5" customHeight="1" x14ac:dyDescent="0.15">
      <c r="B2" s="58" t="s">
        <v>39</v>
      </c>
      <c r="C2" s="58"/>
      <c r="D2" s="58"/>
      <c r="E2" s="58"/>
      <c r="F2" s="58"/>
      <c r="G2" s="58"/>
      <c r="H2" s="58"/>
      <c r="I2" s="58"/>
      <c r="J2" s="58"/>
      <c r="K2" s="58"/>
      <c r="L2" s="58"/>
    </row>
    <row r="3" spans="1:14" ht="20.100000000000001" hidden="1" customHeight="1" x14ac:dyDescent="0.15">
      <c r="B3" s="3" t="s">
        <v>40</v>
      </c>
      <c r="I3" s="59" t="s">
        <v>138</v>
      </c>
    </row>
    <row r="4" spans="1:14" ht="50.1" hidden="1" customHeight="1" x14ac:dyDescent="0.15">
      <c r="A4" s="1"/>
      <c r="B4" s="15" t="s">
        <v>41</v>
      </c>
      <c r="C4" s="14" t="s">
        <v>42</v>
      </c>
      <c r="D4" s="14" t="s">
        <v>43</v>
      </c>
      <c r="E4" s="14" t="s">
        <v>44</v>
      </c>
      <c r="F4" s="14" t="s">
        <v>45</v>
      </c>
      <c r="G4" s="14" t="s">
        <v>46</v>
      </c>
      <c r="H4" s="14" t="s">
        <v>47</v>
      </c>
      <c r="I4" s="14" t="s">
        <v>48</v>
      </c>
      <c r="J4" s="4"/>
      <c r="K4" s="1"/>
      <c r="L4" s="1"/>
      <c r="M4" s="1"/>
    </row>
    <row r="5" spans="1:14" ht="39.950000000000003" hidden="1" customHeight="1" x14ac:dyDescent="0.15">
      <c r="A5" s="1"/>
      <c r="B5" s="5" t="s">
        <v>147</v>
      </c>
      <c r="C5" s="5"/>
      <c r="D5" s="5"/>
      <c r="E5" s="5"/>
      <c r="F5" s="5"/>
      <c r="G5" s="5"/>
      <c r="H5" s="5"/>
      <c r="I5" s="5"/>
      <c r="J5" s="1"/>
      <c r="K5" s="1"/>
      <c r="L5" s="1"/>
      <c r="M5" s="1"/>
    </row>
    <row r="6" spans="1:14" ht="39.950000000000003" hidden="1" customHeight="1" x14ac:dyDescent="0.15">
      <c r="A6" s="1"/>
      <c r="B6" s="5"/>
      <c r="C6" s="5"/>
      <c r="D6" s="5"/>
      <c r="E6" s="5"/>
      <c r="F6" s="5"/>
      <c r="G6" s="5"/>
      <c r="H6" s="5"/>
      <c r="I6" s="5"/>
      <c r="J6" s="1"/>
      <c r="K6" s="1"/>
      <c r="L6" s="1"/>
      <c r="M6" s="1"/>
    </row>
    <row r="7" spans="1:14" ht="39.950000000000003" hidden="1" customHeight="1" x14ac:dyDescent="0.15">
      <c r="A7" s="1"/>
      <c r="B7" s="15" t="s">
        <v>4</v>
      </c>
      <c r="C7" s="5"/>
      <c r="D7" s="5"/>
      <c r="E7" s="5"/>
      <c r="F7" s="5"/>
      <c r="G7" s="5"/>
      <c r="H7" s="5"/>
      <c r="I7" s="5"/>
      <c r="J7" s="1"/>
      <c r="K7" s="1"/>
      <c r="L7" s="1"/>
      <c r="M7" s="1"/>
    </row>
    <row r="8" spans="1:14" ht="11.1" hidden="1" customHeight="1" x14ac:dyDescent="0.15"/>
    <row r="9" spans="1:14" ht="20.100000000000001" customHeight="1" x14ac:dyDescent="0.15">
      <c r="B9" s="3" t="s">
        <v>135</v>
      </c>
      <c r="K9" s="60" t="s">
        <v>223</v>
      </c>
    </row>
    <row r="10" spans="1:14" ht="50.1" customHeight="1" x14ac:dyDescent="0.15">
      <c r="A10" s="1"/>
      <c r="B10" s="51" t="s">
        <v>49</v>
      </c>
      <c r="C10" s="24" t="s">
        <v>50</v>
      </c>
      <c r="D10" s="24" t="s">
        <v>51</v>
      </c>
      <c r="E10" s="24" t="s">
        <v>52</v>
      </c>
      <c r="F10" s="24" t="s">
        <v>53</v>
      </c>
      <c r="G10" s="24" t="s">
        <v>54</v>
      </c>
      <c r="H10" s="24" t="s">
        <v>55</v>
      </c>
      <c r="I10" s="24" t="s">
        <v>56</v>
      </c>
      <c r="J10" s="24" t="s">
        <v>57</v>
      </c>
      <c r="K10" s="24" t="s">
        <v>48</v>
      </c>
      <c r="L10" s="1"/>
      <c r="M10" s="1"/>
      <c r="N10" s="30"/>
    </row>
    <row r="11" spans="1:14" ht="39.950000000000003" customHeight="1" x14ac:dyDescent="0.15">
      <c r="A11" s="1"/>
      <c r="B11" s="23" t="s">
        <v>152</v>
      </c>
      <c r="C11" s="106">
        <f>5000000/1000</f>
        <v>5000</v>
      </c>
      <c r="D11" s="106">
        <f>3157129000/1000</f>
        <v>3157129</v>
      </c>
      <c r="E11" s="106">
        <f>3007773061/1000</f>
        <v>3007773.0610000002</v>
      </c>
      <c r="F11" s="106">
        <f>D11-E11</f>
        <v>149355.93899999978</v>
      </c>
      <c r="G11" s="106">
        <f>5000000/1000</f>
        <v>5000</v>
      </c>
      <c r="H11" s="107">
        <f>C11/G11</f>
        <v>1</v>
      </c>
      <c r="I11" s="106">
        <f>F11*H11</f>
        <v>149355.93899999978</v>
      </c>
      <c r="J11" s="106">
        <v>0</v>
      </c>
      <c r="K11" s="106">
        <f>5000000/1000</f>
        <v>5000</v>
      </c>
      <c r="L11" s="108"/>
      <c r="M11" s="1"/>
      <c r="N11" s="29"/>
    </row>
    <row r="12" spans="1:14" ht="39.950000000000003" customHeight="1" x14ac:dyDescent="0.15">
      <c r="A12" s="1"/>
      <c r="B12" s="23" t="s">
        <v>153</v>
      </c>
      <c r="C12" s="106">
        <f>34965080/1000</f>
        <v>34965.08</v>
      </c>
      <c r="D12" s="106">
        <f>159695216/1000</f>
        <v>159695.21599999999</v>
      </c>
      <c r="E12" s="106">
        <f>6246038/1000</f>
        <v>6246.0379999999996</v>
      </c>
      <c r="F12" s="106">
        <f t="shared" ref="F12:F17" si="0">D12-E12</f>
        <v>153449.17799999999</v>
      </c>
      <c r="G12" s="106">
        <f>120000000/1000</f>
        <v>120000</v>
      </c>
      <c r="H12" s="107">
        <v>0.30830000000000002</v>
      </c>
      <c r="I12" s="106">
        <f t="shared" ref="I12:I18" si="1">F12*H12</f>
        <v>47308.381577399996</v>
      </c>
      <c r="J12" s="106">
        <v>0</v>
      </c>
      <c r="K12" s="106">
        <f>34965080/1000</f>
        <v>34965.08</v>
      </c>
      <c r="L12" s="108"/>
      <c r="M12" s="1"/>
      <c r="N12" s="29"/>
    </row>
    <row r="13" spans="1:14" ht="39.950000000000003" customHeight="1" x14ac:dyDescent="0.15">
      <c r="A13" s="1"/>
      <c r="B13" s="23" t="s">
        <v>154</v>
      </c>
      <c r="C13" s="106">
        <f>300000000/1000</f>
        <v>300000</v>
      </c>
      <c r="D13" s="106">
        <f>462842723/1000</f>
        <v>462842.723</v>
      </c>
      <c r="E13" s="106">
        <f>68245072/1000</f>
        <v>68245.072</v>
      </c>
      <c r="F13" s="106">
        <f t="shared" si="0"/>
        <v>394597.65100000001</v>
      </c>
      <c r="G13" s="106">
        <f>300000000/1000</f>
        <v>300000</v>
      </c>
      <c r="H13" s="107">
        <f t="shared" ref="H13:H16" si="2">C13/G13</f>
        <v>1</v>
      </c>
      <c r="I13" s="106">
        <f t="shared" si="1"/>
        <v>394597.65100000001</v>
      </c>
      <c r="J13" s="106">
        <v>0</v>
      </c>
      <c r="K13" s="106">
        <f>300000000/1000</f>
        <v>300000</v>
      </c>
      <c r="L13" s="108"/>
      <c r="M13" s="1"/>
      <c r="N13" s="29"/>
    </row>
    <row r="14" spans="1:14" ht="39.950000000000003" customHeight="1" x14ac:dyDescent="0.15">
      <c r="A14" s="1"/>
      <c r="B14" s="23" t="s">
        <v>228</v>
      </c>
      <c r="C14" s="106">
        <f>45000000/1000</f>
        <v>45000</v>
      </c>
      <c r="D14" s="106">
        <f>156578109/1000</f>
        <v>156578.109</v>
      </c>
      <c r="E14" s="106">
        <f>84213208/1000</f>
        <v>84213.207999999999</v>
      </c>
      <c r="F14" s="106">
        <f t="shared" si="0"/>
        <v>72364.900999999998</v>
      </c>
      <c r="G14" s="106">
        <f>50000000/1000</f>
        <v>50000</v>
      </c>
      <c r="H14" s="107">
        <f t="shared" si="2"/>
        <v>0.9</v>
      </c>
      <c r="I14" s="106">
        <f t="shared" si="1"/>
        <v>65128.410900000003</v>
      </c>
      <c r="J14" s="106">
        <v>0</v>
      </c>
      <c r="K14" s="106">
        <f>45000000/1000</f>
        <v>45000</v>
      </c>
      <c r="L14" s="108"/>
      <c r="M14" s="1"/>
      <c r="N14" s="29"/>
    </row>
    <row r="15" spans="1:14" ht="39.950000000000003" customHeight="1" x14ac:dyDescent="0.15">
      <c r="A15" s="1"/>
      <c r="B15" s="27" t="s">
        <v>155</v>
      </c>
      <c r="C15" s="106">
        <f>500000000/1000</f>
        <v>500000</v>
      </c>
      <c r="D15" s="106">
        <f>773561818/1000</f>
        <v>773561.81799999997</v>
      </c>
      <c r="E15" s="106">
        <f>202799214/1000</f>
        <v>202799.21400000001</v>
      </c>
      <c r="F15" s="106">
        <f t="shared" si="0"/>
        <v>570762.60399999993</v>
      </c>
      <c r="G15" s="106">
        <f>500000000/1000</f>
        <v>500000</v>
      </c>
      <c r="H15" s="107">
        <f t="shared" si="2"/>
        <v>1</v>
      </c>
      <c r="I15" s="106">
        <f t="shared" si="1"/>
        <v>570762.60399999993</v>
      </c>
      <c r="J15" s="106">
        <v>0</v>
      </c>
      <c r="K15" s="106">
        <f>500000000/1000</f>
        <v>500000</v>
      </c>
      <c r="L15" s="108"/>
      <c r="M15" s="1"/>
      <c r="N15" s="29"/>
    </row>
    <row r="16" spans="1:14" ht="39.950000000000003" customHeight="1" x14ac:dyDescent="0.15">
      <c r="A16" s="1"/>
      <c r="B16" s="23" t="s">
        <v>156</v>
      </c>
      <c r="C16" s="106">
        <f>3000000/1000</f>
        <v>3000</v>
      </c>
      <c r="D16" s="106">
        <f>1147953781/1000</f>
        <v>1147953.781</v>
      </c>
      <c r="E16" s="106">
        <f>611617974/1000</f>
        <v>611617.97400000005</v>
      </c>
      <c r="F16" s="106">
        <f t="shared" si="0"/>
        <v>536335.80699999991</v>
      </c>
      <c r="G16" s="106">
        <f>3000000/1000</f>
        <v>3000</v>
      </c>
      <c r="H16" s="107">
        <f t="shared" si="2"/>
        <v>1</v>
      </c>
      <c r="I16" s="106">
        <f t="shared" si="1"/>
        <v>536335.80699999991</v>
      </c>
      <c r="J16" s="106">
        <v>0</v>
      </c>
      <c r="K16" s="106">
        <f>3000000/1000</f>
        <v>3000</v>
      </c>
      <c r="L16" s="108"/>
      <c r="M16" s="1"/>
      <c r="N16" s="29"/>
    </row>
    <row r="17" spans="1:14" ht="39.950000000000003" customHeight="1" x14ac:dyDescent="0.15">
      <c r="A17" s="1"/>
      <c r="B17" s="23" t="s">
        <v>157</v>
      </c>
      <c r="C17" s="106">
        <f>3000000/1000</f>
        <v>3000</v>
      </c>
      <c r="D17" s="106">
        <f>204652762/1000</f>
        <v>204652.76199999999</v>
      </c>
      <c r="E17" s="106">
        <f>192946474/1000</f>
        <v>192946.47399999999</v>
      </c>
      <c r="F17" s="106">
        <f t="shared" si="0"/>
        <v>11706.288</v>
      </c>
      <c r="G17" s="106">
        <f>3000000/1000</f>
        <v>3000</v>
      </c>
      <c r="H17" s="107">
        <f>C17/G17</f>
        <v>1</v>
      </c>
      <c r="I17" s="106">
        <f t="shared" si="1"/>
        <v>11706.288</v>
      </c>
      <c r="J17" s="106">
        <v>0</v>
      </c>
      <c r="K17" s="106">
        <f>3000000/1000</f>
        <v>3000</v>
      </c>
      <c r="L17" s="108"/>
      <c r="M17" s="1"/>
      <c r="N17" s="29"/>
    </row>
    <row r="18" spans="1:14" ht="39.950000000000003" customHeight="1" x14ac:dyDescent="0.15">
      <c r="A18" s="1"/>
      <c r="B18" s="23" t="s">
        <v>158</v>
      </c>
      <c r="C18" s="106">
        <f>3000000/1000</f>
        <v>3000</v>
      </c>
      <c r="D18" s="106">
        <f>43408486/1000</f>
        <v>43408.485999999997</v>
      </c>
      <c r="E18" s="106">
        <f>29162524/1000</f>
        <v>29162.524000000001</v>
      </c>
      <c r="F18" s="106">
        <f>D18-E18</f>
        <v>14245.961999999996</v>
      </c>
      <c r="G18" s="106">
        <f>3000000/1000</f>
        <v>3000</v>
      </c>
      <c r="H18" s="107">
        <f>C18/G18</f>
        <v>1</v>
      </c>
      <c r="I18" s="106">
        <f t="shared" si="1"/>
        <v>14245.961999999996</v>
      </c>
      <c r="J18" s="106">
        <v>0</v>
      </c>
      <c r="K18" s="106">
        <f>3000000/1000</f>
        <v>3000</v>
      </c>
      <c r="L18" s="108"/>
      <c r="M18" s="1"/>
      <c r="N18" s="29"/>
    </row>
    <row r="19" spans="1:14" ht="39.950000000000003" customHeight="1" x14ac:dyDescent="0.15">
      <c r="A19" s="1"/>
      <c r="B19" s="51" t="s">
        <v>4</v>
      </c>
      <c r="C19" s="106">
        <f>SUM(C11:C18)</f>
        <v>893965.08000000007</v>
      </c>
      <c r="D19" s="106">
        <f>SUM(D11:D18)</f>
        <v>6105821.8949999996</v>
      </c>
      <c r="E19" s="106">
        <f>SUM(E11:E18)</f>
        <v>4203003.5650000004</v>
      </c>
      <c r="F19" s="106">
        <f>SUM(F11:F18)</f>
        <v>1902818.3299999996</v>
      </c>
      <c r="G19" s="106">
        <f>SUM(G11:G18)</f>
        <v>984000</v>
      </c>
      <c r="H19" s="107"/>
      <c r="I19" s="106">
        <f>SUM(I11:I18)</f>
        <v>1789441.0434773997</v>
      </c>
      <c r="J19" s="106">
        <f>SUM(J11:J18)</f>
        <v>0</v>
      </c>
      <c r="K19" s="106">
        <f>SUM(K11:K18)</f>
        <v>893965.08000000007</v>
      </c>
      <c r="L19" s="108"/>
      <c r="M19" s="1"/>
      <c r="N19" s="29"/>
    </row>
    <row r="20" spans="1:14" ht="39.950000000000003" customHeight="1" x14ac:dyDescent="0.15">
      <c r="A20" s="1"/>
      <c r="B20" s="88" t="s">
        <v>300</v>
      </c>
      <c r="C20" s="109"/>
      <c r="D20" s="109"/>
      <c r="E20" s="109"/>
      <c r="F20" s="109"/>
      <c r="G20" s="109"/>
      <c r="H20" s="110"/>
      <c r="I20" s="109"/>
      <c r="J20" s="109"/>
      <c r="K20" s="109"/>
      <c r="L20" s="108"/>
      <c r="M20" s="1"/>
      <c r="N20" s="29"/>
    </row>
    <row r="21" spans="1:14" ht="12" customHeight="1" x14ac:dyDescent="0.15">
      <c r="A21" s="1"/>
      <c r="B21" s="4"/>
      <c r="C21" s="108"/>
      <c r="D21" s="108"/>
      <c r="E21" s="108"/>
      <c r="F21" s="108"/>
      <c r="G21" s="108"/>
      <c r="H21" s="108"/>
      <c r="I21" s="108"/>
      <c r="J21" s="108"/>
      <c r="K21" s="108"/>
      <c r="L21" s="108"/>
      <c r="M21" s="1"/>
    </row>
    <row r="22" spans="1:14" ht="20.100000000000001" customHeight="1" x14ac:dyDescent="0.15">
      <c r="B22" s="3" t="s">
        <v>136</v>
      </c>
      <c r="C22" s="111"/>
      <c r="D22" s="111"/>
      <c r="E22" s="111"/>
      <c r="F22" s="111"/>
      <c r="G22" s="111"/>
      <c r="H22" s="111"/>
      <c r="I22" s="111"/>
      <c r="J22" s="111"/>
      <c r="K22" s="112"/>
      <c r="L22" s="113" t="s">
        <v>223</v>
      </c>
    </row>
    <row r="23" spans="1:14" ht="50.1" customHeight="1" x14ac:dyDescent="0.15">
      <c r="A23" s="1"/>
      <c r="B23" s="51" t="s">
        <v>49</v>
      </c>
      <c r="C23" s="114" t="s">
        <v>58</v>
      </c>
      <c r="D23" s="115" t="s">
        <v>51</v>
      </c>
      <c r="E23" s="115" t="s">
        <v>52</v>
      </c>
      <c r="F23" s="115" t="s">
        <v>53</v>
      </c>
      <c r="G23" s="115" t="s">
        <v>54</v>
      </c>
      <c r="H23" s="115" t="s">
        <v>55</v>
      </c>
      <c r="I23" s="115" t="s">
        <v>56</v>
      </c>
      <c r="J23" s="115" t="s">
        <v>59</v>
      </c>
      <c r="K23" s="115" t="s">
        <v>60</v>
      </c>
      <c r="L23" s="115" t="s">
        <v>48</v>
      </c>
      <c r="M23" s="1"/>
    </row>
    <row r="24" spans="1:14" ht="50.1" customHeight="1" x14ac:dyDescent="0.15">
      <c r="A24" s="1"/>
      <c r="B24" s="25" t="s">
        <v>159</v>
      </c>
      <c r="C24" s="116">
        <f>300000000/1000</f>
        <v>300000</v>
      </c>
      <c r="D24" s="116">
        <f>9762374000/1000</f>
        <v>9762374</v>
      </c>
      <c r="E24" s="116">
        <f>528119000/1000</f>
        <v>528119</v>
      </c>
      <c r="F24" s="116">
        <f>D24-E24</f>
        <v>9234255</v>
      </c>
      <c r="G24" s="116">
        <f>9652500000/1000</f>
        <v>9652500</v>
      </c>
      <c r="H24" s="117">
        <f>C24/G24</f>
        <v>3.108003108003108E-2</v>
      </c>
      <c r="I24" s="116">
        <f>F24*H24</f>
        <v>287000.93240093242</v>
      </c>
      <c r="J24" s="116">
        <f>IF(I24&gt;C24*0.7,0,C24-I24)</f>
        <v>0</v>
      </c>
      <c r="K24" s="116">
        <f>C24-J24</f>
        <v>300000</v>
      </c>
      <c r="L24" s="116">
        <f>300000000/1000</f>
        <v>300000</v>
      </c>
      <c r="M24" s="1">
        <v>300000</v>
      </c>
      <c r="N24" s="29"/>
    </row>
    <row r="25" spans="1:14" ht="50.1" customHeight="1" x14ac:dyDescent="0.15">
      <c r="A25" s="1"/>
      <c r="B25" s="25" t="s">
        <v>160</v>
      </c>
      <c r="C25" s="116">
        <f>1000000/1000</f>
        <v>1000</v>
      </c>
      <c r="D25" s="116">
        <f>1930804000/1000</f>
        <v>1930804</v>
      </c>
      <c r="E25" s="116">
        <f>460022000/1000</f>
        <v>460022</v>
      </c>
      <c r="F25" s="116">
        <f t="shared" ref="F25:F31" si="3">D25-E25</f>
        <v>1470782</v>
      </c>
      <c r="G25" s="116">
        <f>1187000000/1000</f>
        <v>1187000</v>
      </c>
      <c r="H25" s="117">
        <f>C25/G25</f>
        <v>8.4245998315080029E-4</v>
      </c>
      <c r="I25" s="116">
        <f t="shared" ref="I25:I30" si="4">F25*H25</f>
        <v>1239.0749789385004</v>
      </c>
      <c r="J25" s="116">
        <f t="shared" ref="J25:J30" si="5">IF(I25&gt;C25,0,C25-I25)</f>
        <v>0</v>
      </c>
      <c r="K25" s="116">
        <f t="shared" ref="K25:K31" si="6">C25-J25</f>
        <v>1000</v>
      </c>
      <c r="L25" s="116">
        <f>1000000/1000</f>
        <v>1000</v>
      </c>
      <c r="M25" s="1">
        <v>1000</v>
      </c>
      <c r="N25" s="29"/>
    </row>
    <row r="26" spans="1:14" ht="50.1" customHeight="1" x14ac:dyDescent="0.15">
      <c r="A26" s="1"/>
      <c r="B26" s="25" t="s">
        <v>161</v>
      </c>
      <c r="C26" s="116">
        <f>60000000/1000</f>
        <v>60000</v>
      </c>
      <c r="D26" s="116">
        <f>1123804781/1000</f>
        <v>1123804.781</v>
      </c>
      <c r="E26" s="116">
        <f>811469912/1000</f>
        <v>811469.91200000001</v>
      </c>
      <c r="F26" s="116">
        <f t="shared" si="3"/>
        <v>312334.86899999995</v>
      </c>
      <c r="G26" s="116">
        <f>241100000/1000</f>
        <v>241100</v>
      </c>
      <c r="H26" s="117">
        <f>C26/G26</f>
        <v>0.2488593944421402</v>
      </c>
      <c r="I26" s="116">
        <f t="shared" si="4"/>
        <v>77727.466362505176</v>
      </c>
      <c r="J26" s="116">
        <f t="shared" si="5"/>
        <v>0</v>
      </c>
      <c r="K26" s="116">
        <f t="shared" si="6"/>
        <v>60000</v>
      </c>
      <c r="L26" s="116">
        <f>60000000/1000</f>
        <v>60000</v>
      </c>
      <c r="M26" s="1">
        <v>60000</v>
      </c>
      <c r="N26" s="29"/>
    </row>
    <row r="27" spans="1:14" ht="50.1" customHeight="1" x14ac:dyDescent="0.15">
      <c r="A27" s="1"/>
      <c r="B27" s="25" t="s">
        <v>162</v>
      </c>
      <c r="C27" s="116">
        <f>1030000/1000</f>
        <v>1030</v>
      </c>
      <c r="D27" s="116">
        <f>194527167672/1000</f>
        <v>194527167.67199999</v>
      </c>
      <c r="E27" s="116">
        <f>185930079449/1000</f>
        <v>185930079.449</v>
      </c>
      <c r="F27" s="116">
        <f t="shared" si="3"/>
        <v>8597088.22299999</v>
      </c>
      <c r="G27" s="116">
        <f>8482858038/1000</f>
        <v>8482858.0380000006</v>
      </c>
      <c r="H27" s="117">
        <f t="shared" ref="H27:H30" si="7">C27/G27</f>
        <v>1.2142134117840815E-4</v>
      </c>
      <c r="I27" s="116">
        <f t="shared" si="4"/>
        <v>1043.8699822657563</v>
      </c>
      <c r="J27" s="116">
        <f t="shared" si="5"/>
        <v>0</v>
      </c>
      <c r="K27" s="116">
        <f t="shared" si="6"/>
        <v>1030</v>
      </c>
      <c r="L27" s="116">
        <f>1030000/1000</f>
        <v>1030</v>
      </c>
      <c r="M27" s="1">
        <v>1030</v>
      </c>
      <c r="N27" s="29"/>
    </row>
    <row r="28" spans="1:14" ht="50.1" customHeight="1" x14ac:dyDescent="0.15">
      <c r="A28" s="1"/>
      <c r="B28" s="25" t="s">
        <v>163</v>
      </c>
      <c r="C28" s="116">
        <f>5000000/1000</f>
        <v>5000</v>
      </c>
      <c r="D28" s="116">
        <f>21173888384/1000</f>
        <v>21173888.384</v>
      </c>
      <c r="E28" s="116">
        <f>20644724762/1000</f>
        <v>20644724.761999998</v>
      </c>
      <c r="F28" s="116">
        <f t="shared" si="3"/>
        <v>529163.62200000137</v>
      </c>
      <c r="G28" s="116">
        <f>495326042/1000</f>
        <v>495326.04200000002</v>
      </c>
      <c r="H28" s="117">
        <f>C28/G28</f>
        <v>1.0094361240954095E-2</v>
      </c>
      <c r="I28" s="116">
        <f t="shared" si="4"/>
        <v>5341.5687560396973</v>
      </c>
      <c r="J28" s="116">
        <f t="shared" si="5"/>
        <v>0</v>
      </c>
      <c r="K28" s="116">
        <f t="shared" si="6"/>
        <v>5000</v>
      </c>
      <c r="L28" s="116">
        <f>5000000/1000</f>
        <v>5000</v>
      </c>
      <c r="M28" s="1">
        <v>5000</v>
      </c>
      <c r="N28" s="29"/>
    </row>
    <row r="29" spans="1:14" ht="50.1" customHeight="1" x14ac:dyDescent="0.15">
      <c r="A29" s="1"/>
      <c r="B29" s="25" t="s">
        <v>164</v>
      </c>
      <c r="C29" s="116">
        <f>1980000/1000</f>
        <v>1980</v>
      </c>
      <c r="D29" s="116">
        <f>11548159114/1000</f>
        <v>11548159.114</v>
      </c>
      <c r="E29" s="116">
        <f>1376505553/1000</f>
        <v>1376505.5530000001</v>
      </c>
      <c r="F29" s="116">
        <f t="shared" si="3"/>
        <v>10171653.561000001</v>
      </c>
      <c r="G29" s="116">
        <f>1187480000/1000</f>
        <v>1187480</v>
      </c>
      <c r="H29" s="117">
        <f t="shared" si="7"/>
        <v>1.6673965035200592E-3</v>
      </c>
      <c r="I29" s="116">
        <f t="shared" si="4"/>
        <v>16960.17958262876</v>
      </c>
      <c r="J29" s="116">
        <f t="shared" si="5"/>
        <v>0</v>
      </c>
      <c r="K29" s="116">
        <f t="shared" si="6"/>
        <v>1980</v>
      </c>
      <c r="L29" s="116">
        <f>1980000/1000</f>
        <v>1980</v>
      </c>
      <c r="M29" s="1">
        <v>1980</v>
      </c>
      <c r="N29" s="29"/>
    </row>
    <row r="30" spans="1:14" ht="50.1" customHeight="1" x14ac:dyDescent="0.15">
      <c r="A30" s="1"/>
      <c r="B30" s="28" t="s">
        <v>165</v>
      </c>
      <c r="C30" s="116">
        <f>7180000/1000</f>
        <v>7180</v>
      </c>
      <c r="D30" s="116">
        <f>3295950996/1000</f>
        <v>3295950.9959999998</v>
      </c>
      <c r="E30" s="116">
        <f>4497980/1000</f>
        <v>4497.9799999999996</v>
      </c>
      <c r="F30" s="116">
        <f t="shared" si="3"/>
        <v>3291453.0159999998</v>
      </c>
      <c r="G30" s="116">
        <f>3051000624/1000</f>
        <v>3051000.6239999998</v>
      </c>
      <c r="H30" s="117">
        <f t="shared" si="7"/>
        <v>2.3533262967959331E-3</v>
      </c>
      <c r="I30" s="116">
        <f t="shared" si="4"/>
        <v>7745.8629372210844</v>
      </c>
      <c r="J30" s="116">
        <f t="shared" si="5"/>
        <v>0</v>
      </c>
      <c r="K30" s="116">
        <f t="shared" si="6"/>
        <v>7180</v>
      </c>
      <c r="L30" s="116">
        <f>7180000/1000</f>
        <v>7180</v>
      </c>
      <c r="M30" s="1">
        <v>7180</v>
      </c>
      <c r="N30" s="29"/>
    </row>
    <row r="31" spans="1:14" ht="50.1" customHeight="1" x14ac:dyDescent="0.15">
      <c r="A31" s="1"/>
      <c r="B31" s="25" t="s">
        <v>166</v>
      </c>
      <c r="C31" s="116">
        <f>1000000/1000</f>
        <v>1000</v>
      </c>
      <c r="D31" s="116">
        <f>22755593/1000</f>
        <v>22755.593000000001</v>
      </c>
      <c r="E31" s="116">
        <f>17755593/1000</f>
        <v>17755.593000000001</v>
      </c>
      <c r="F31" s="116">
        <f t="shared" si="3"/>
        <v>5000</v>
      </c>
      <c r="G31" s="116">
        <f>5000000/1000</f>
        <v>5000</v>
      </c>
      <c r="H31" s="117">
        <f>C31/G31</f>
        <v>0.2</v>
      </c>
      <c r="I31" s="116">
        <f>F31*H31</f>
        <v>1000</v>
      </c>
      <c r="J31" s="116">
        <f>IF(I31&gt;C31,0,C31-I31)</f>
        <v>0</v>
      </c>
      <c r="K31" s="116">
        <f t="shared" si="6"/>
        <v>1000</v>
      </c>
      <c r="L31" s="116">
        <f>1000000/1000</f>
        <v>1000</v>
      </c>
      <c r="M31" s="1">
        <v>1000</v>
      </c>
      <c r="N31" s="29"/>
    </row>
    <row r="32" spans="1:14" ht="50.1" customHeight="1" x14ac:dyDescent="0.15">
      <c r="A32" s="1"/>
      <c r="B32" s="25" t="s">
        <v>167</v>
      </c>
      <c r="C32" s="116">
        <f>8600000/1000</f>
        <v>8600</v>
      </c>
      <c r="D32" s="116">
        <f>24834865000000/1000</f>
        <v>24834865000</v>
      </c>
      <c r="E32" s="116">
        <f>24466761000000/1000</f>
        <v>24466761000</v>
      </c>
      <c r="F32" s="116">
        <f>D32-E32</f>
        <v>368104000</v>
      </c>
      <c r="G32" s="116">
        <f>16602000000/1000</f>
        <v>16602000</v>
      </c>
      <c r="H32" s="117">
        <f>C32/G32</f>
        <v>5.1800987832791229E-4</v>
      </c>
      <c r="I32" s="116">
        <f>F32*H32</f>
        <v>190681.50825201784</v>
      </c>
      <c r="J32" s="116">
        <f>IF(I32&gt;C32,0,C32-I32)</f>
        <v>0</v>
      </c>
      <c r="K32" s="116">
        <f>C32-J32</f>
        <v>8600</v>
      </c>
      <c r="L32" s="116">
        <f>8600000/1000</f>
        <v>8600</v>
      </c>
      <c r="M32" s="1">
        <v>8600</v>
      </c>
      <c r="N32" s="29"/>
    </row>
    <row r="33" spans="1:14" ht="50.1" customHeight="1" x14ac:dyDescent="0.15">
      <c r="A33" s="1"/>
      <c r="B33" s="26" t="s">
        <v>4</v>
      </c>
      <c r="C33" s="118">
        <f>SUM(C24:C32)</f>
        <v>385790</v>
      </c>
      <c r="D33" s="116">
        <f>SUM(D24:D32)</f>
        <v>25078249904.540001</v>
      </c>
      <c r="E33" s="116">
        <f>SUM(E24:E32)</f>
        <v>24676534174.249001</v>
      </c>
      <c r="F33" s="116">
        <f>SUM(F24:F32)</f>
        <v>401715730.29100001</v>
      </c>
      <c r="G33" s="116">
        <f>SUM(G24:G32)</f>
        <v>40904264.704000004</v>
      </c>
      <c r="H33" s="116"/>
      <c r="I33" s="116">
        <f>SUM(I24:I32)</f>
        <v>588740.46325254929</v>
      </c>
      <c r="J33" s="116">
        <f>SUM(J24:J32)</f>
        <v>0</v>
      </c>
      <c r="K33" s="116">
        <f>SUM(K24:K32)</f>
        <v>385790</v>
      </c>
      <c r="L33" s="116">
        <f>SUM(L24:L32)</f>
        <v>385790</v>
      </c>
      <c r="M33" s="1"/>
      <c r="N33" s="29"/>
    </row>
    <row r="34" spans="1:14" ht="7.5" customHeight="1" x14ac:dyDescent="0.15"/>
    <row r="35" spans="1:14" ht="6.75" customHeight="1" x14ac:dyDescent="0.15"/>
    <row r="38" spans="1:14" x14ac:dyDescent="0.15">
      <c r="F38" s="17"/>
    </row>
  </sheetData>
  <phoneticPr fontId="4"/>
  <printOptions horizontalCentered="1"/>
  <pageMargins left="0.51181102362204722" right="0.51181102362204722" top="0.74803149606299213" bottom="0.74803149606299213" header="0.31496062992125984" footer="0.31496062992125984"/>
  <pageSetup paperSize="9" scale="65" fitToHeight="0" orientation="landscape" r:id="rId1"/>
  <rowBreaks count="1" manualBreakCount="1">
    <brk id="21"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view="pageBreakPreview" zoomScale="80" zoomScaleNormal="100" zoomScaleSheetLayoutView="80" workbookViewId="0">
      <selection activeCell="B1" sqref="B1"/>
    </sheetView>
  </sheetViews>
  <sheetFormatPr defaultRowHeight="13.5" x14ac:dyDescent="0.15"/>
  <cols>
    <col min="1" max="1" width="1.25" customWidth="1"/>
    <col min="2" max="2" width="20.625" customWidth="1"/>
    <col min="3" max="9" width="18.625" customWidth="1"/>
    <col min="10" max="10" width="0.375" customWidth="1"/>
  </cols>
  <sheetData>
    <row r="1" spans="2:11" ht="12.75" customHeight="1" x14ac:dyDescent="0.15"/>
    <row r="2" spans="2:11" ht="18.75" customHeight="1" x14ac:dyDescent="0.15">
      <c r="B2" s="31" t="s">
        <v>63</v>
      </c>
      <c r="H2" s="32" t="s">
        <v>224</v>
      </c>
    </row>
    <row r="3" spans="2:11" s="1" customFormat="1" ht="17.45" customHeight="1" x14ac:dyDescent="0.15">
      <c r="B3" s="201" t="s">
        <v>61</v>
      </c>
      <c r="C3" s="202" t="s">
        <v>3</v>
      </c>
      <c r="D3" s="202" t="s">
        <v>2</v>
      </c>
      <c r="E3" s="202" t="s">
        <v>0</v>
      </c>
      <c r="F3" s="202" t="s">
        <v>1</v>
      </c>
      <c r="G3" s="204" t="s">
        <v>233</v>
      </c>
      <c r="H3" s="199" t="s">
        <v>62</v>
      </c>
    </row>
    <row r="4" spans="2:11" s="4" customFormat="1" ht="17.45" customHeight="1" x14ac:dyDescent="0.15">
      <c r="B4" s="201"/>
      <c r="C4" s="203"/>
      <c r="D4" s="203"/>
      <c r="E4" s="203"/>
      <c r="F4" s="203"/>
      <c r="G4" s="203"/>
      <c r="H4" s="200"/>
    </row>
    <row r="5" spans="2:11" s="1" customFormat="1" ht="33" customHeight="1" x14ac:dyDescent="0.15">
      <c r="B5" s="119" t="s">
        <v>137</v>
      </c>
      <c r="C5" s="120">
        <f>5777957047/1000</f>
        <v>5777957.0470000003</v>
      </c>
      <c r="D5" s="120">
        <f>300000000/1000</f>
        <v>300000</v>
      </c>
      <c r="E5" s="120">
        <v>0</v>
      </c>
      <c r="F5" s="120">
        <v>0</v>
      </c>
      <c r="G5" s="120">
        <f>SUM(C5:F5)</f>
        <v>6077957.0470000003</v>
      </c>
      <c r="H5" s="120">
        <f>6077957047/1000</f>
        <v>6077957.0470000003</v>
      </c>
      <c r="K5" s="18"/>
    </row>
    <row r="6" spans="2:11" s="1" customFormat="1" ht="33" customHeight="1" x14ac:dyDescent="0.15">
      <c r="B6" s="119" t="s">
        <v>168</v>
      </c>
      <c r="C6" s="120">
        <f>43517508/1000</f>
        <v>43517.508000000002</v>
      </c>
      <c r="D6" s="121">
        <v>0</v>
      </c>
      <c r="E6" s="120">
        <v>0</v>
      </c>
      <c r="F6" s="120">
        <v>0</v>
      </c>
      <c r="G6" s="120">
        <f>SUM(C6:F6)</f>
        <v>43517.508000000002</v>
      </c>
      <c r="H6" s="120">
        <f>43517508/1000</f>
        <v>43517.508000000002</v>
      </c>
    </row>
    <row r="7" spans="2:11" s="1" customFormat="1" ht="33" customHeight="1" x14ac:dyDescent="0.15">
      <c r="B7" s="119" t="s">
        <v>169</v>
      </c>
      <c r="C7" s="120">
        <f>8954325731/1000</f>
        <v>8954325.7310000006</v>
      </c>
      <c r="D7" s="120">
        <v>0</v>
      </c>
      <c r="E7" s="120">
        <v>0</v>
      </c>
      <c r="F7" s="120">
        <v>0</v>
      </c>
      <c r="G7" s="120">
        <f>SUM(C7:F7)</f>
        <v>8954325.7310000006</v>
      </c>
      <c r="H7" s="120">
        <f>8954325731/1000</f>
        <v>8954325.7310000006</v>
      </c>
    </row>
    <row r="8" spans="2:11" s="1" customFormat="1" ht="33" customHeight="1" x14ac:dyDescent="0.15">
      <c r="B8" s="119" t="s">
        <v>170</v>
      </c>
      <c r="C8" s="120">
        <f>83388735/1000</f>
        <v>83388.735000000001</v>
      </c>
      <c r="D8" s="120">
        <v>0</v>
      </c>
      <c r="E8" s="120">
        <v>0</v>
      </c>
      <c r="F8" s="120">
        <v>0</v>
      </c>
      <c r="G8" s="120">
        <f>SUM(C8:F8)</f>
        <v>83388.735000000001</v>
      </c>
      <c r="H8" s="120">
        <f>83388735/1000</f>
        <v>83388.735000000001</v>
      </c>
    </row>
    <row r="9" spans="2:11" s="1" customFormat="1" ht="33" customHeight="1" x14ac:dyDescent="0.15">
      <c r="B9" s="122" t="s">
        <v>234</v>
      </c>
      <c r="C9" s="120">
        <f>1236458624/1000</f>
        <v>1236458.6240000001</v>
      </c>
      <c r="D9" s="120">
        <v>0</v>
      </c>
      <c r="E9" s="120">
        <v>0</v>
      </c>
      <c r="F9" s="120">
        <v>0</v>
      </c>
      <c r="G9" s="120">
        <f t="shared" ref="G9:G12" si="0">SUM(C9:F9)</f>
        <v>1236458.6240000001</v>
      </c>
      <c r="H9" s="120">
        <f>1236458624/1000</f>
        <v>1236458.6240000001</v>
      </c>
    </row>
    <row r="10" spans="2:11" s="1" customFormat="1" ht="33" customHeight="1" x14ac:dyDescent="0.15">
      <c r="B10" s="119" t="s">
        <v>171</v>
      </c>
      <c r="C10" s="120">
        <f>2322528274/1000</f>
        <v>2322528.2740000002</v>
      </c>
      <c r="D10" s="120">
        <v>0</v>
      </c>
      <c r="E10" s="120">
        <v>0</v>
      </c>
      <c r="F10" s="120">
        <v>0</v>
      </c>
      <c r="G10" s="120">
        <f t="shared" si="0"/>
        <v>2322528.2740000002</v>
      </c>
      <c r="H10" s="120">
        <f>2322528274/1000</f>
        <v>2322528.2740000002</v>
      </c>
    </row>
    <row r="11" spans="2:11" s="1" customFormat="1" ht="33" customHeight="1" x14ac:dyDescent="0.15">
      <c r="B11" s="119" t="s">
        <v>235</v>
      </c>
      <c r="C11" s="120">
        <f>233327138/1000</f>
        <v>233327.13800000001</v>
      </c>
      <c r="D11" s="120">
        <v>0</v>
      </c>
      <c r="E11" s="120">
        <v>0</v>
      </c>
      <c r="F11" s="120">
        <v>0</v>
      </c>
      <c r="G11" s="120">
        <f t="shared" si="0"/>
        <v>233327.13800000001</v>
      </c>
      <c r="H11" s="120">
        <f>233327138/1000</f>
        <v>233327.13800000001</v>
      </c>
    </row>
    <row r="12" spans="2:11" s="1" customFormat="1" ht="33" customHeight="1" x14ac:dyDescent="0.15">
      <c r="B12" s="122" t="s">
        <v>172</v>
      </c>
      <c r="C12" s="120">
        <f>1800445912/1000</f>
        <v>1800445.912</v>
      </c>
      <c r="D12" s="101">
        <v>0</v>
      </c>
      <c r="E12" s="101">
        <v>0</v>
      </c>
      <c r="F12" s="101">
        <v>0</v>
      </c>
      <c r="G12" s="120">
        <f t="shared" si="0"/>
        <v>1800445.912</v>
      </c>
      <c r="H12" s="101">
        <f>1800445912/1000</f>
        <v>1800445.912</v>
      </c>
    </row>
    <row r="13" spans="2:11" s="1" customFormat="1" ht="33" customHeight="1" x14ac:dyDescent="0.15">
      <c r="B13" s="123" t="s">
        <v>257</v>
      </c>
      <c r="C13" s="120">
        <f>34429524/1000</f>
        <v>34429.523999999998</v>
      </c>
      <c r="D13" s="124">
        <v>0</v>
      </c>
      <c r="E13" s="124">
        <v>0</v>
      </c>
      <c r="F13" s="124">
        <v>0</v>
      </c>
      <c r="G13" s="120">
        <f>SUM(C13:F13)</f>
        <v>34429.523999999998</v>
      </c>
      <c r="H13" s="124">
        <f>34429524/1000</f>
        <v>34429.523999999998</v>
      </c>
    </row>
    <row r="14" spans="2:11" s="1" customFormat="1" ht="33" customHeight="1" x14ac:dyDescent="0.15">
      <c r="B14" s="125" t="s">
        <v>173</v>
      </c>
      <c r="C14" s="120">
        <f>75525239/1000</f>
        <v>75525.239000000001</v>
      </c>
      <c r="D14" s="124">
        <v>0</v>
      </c>
      <c r="E14" s="124">
        <v>0</v>
      </c>
      <c r="F14" s="124">
        <v>0</v>
      </c>
      <c r="G14" s="120">
        <f>SUM(C14:F14)</f>
        <v>75525.239000000001</v>
      </c>
      <c r="H14" s="124">
        <f>75525239/1000</f>
        <v>75525.239000000001</v>
      </c>
    </row>
    <row r="15" spans="2:11" s="1" customFormat="1" ht="33" customHeight="1" x14ac:dyDescent="0.15">
      <c r="B15" s="125" t="s">
        <v>174</v>
      </c>
      <c r="C15" s="120">
        <f>133241026/1000</f>
        <v>133241.02600000001</v>
      </c>
      <c r="D15" s="124">
        <v>0</v>
      </c>
      <c r="E15" s="124">
        <v>0</v>
      </c>
      <c r="F15" s="124">
        <f>283229769/1000</f>
        <v>283229.76899999997</v>
      </c>
      <c r="G15" s="120">
        <f>SUM(C15:F15)</f>
        <v>416470.79499999998</v>
      </c>
      <c r="H15" s="124">
        <f>(133241026+283229769)/1000</f>
        <v>416470.79499999998</v>
      </c>
      <c r="I15" s="50"/>
    </row>
    <row r="16" spans="2:11" s="1" customFormat="1" ht="33" customHeight="1" x14ac:dyDescent="0.15">
      <c r="B16" s="125" t="s">
        <v>227</v>
      </c>
      <c r="C16" s="120">
        <f>662845615/1000</f>
        <v>662845.61499999999</v>
      </c>
      <c r="D16" s="124">
        <v>0</v>
      </c>
      <c r="E16" s="124">
        <f>2693518949/1000</f>
        <v>2693518.949</v>
      </c>
      <c r="F16" s="124">
        <v>0</v>
      </c>
      <c r="G16" s="120">
        <f>SUM(C16:F16)</f>
        <v>3356364.5640000002</v>
      </c>
      <c r="H16" s="124">
        <f>(662845615+2693518949)/1000</f>
        <v>3356364.5639999998</v>
      </c>
      <c r="I16" s="50"/>
    </row>
    <row r="17" spans="2:9" s="1" customFormat="1" ht="33" customHeight="1" x14ac:dyDescent="0.15">
      <c r="B17" s="126" t="s">
        <v>4</v>
      </c>
      <c r="C17" s="120">
        <f t="shared" ref="C17:H17" si="1">SUM(C5:C16)</f>
        <v>21357990.373</v>
      </c>
      <c r="D17" s="120">
        <f t="shared" si="1"/>
        <v>300000</v>
      </c>
      <c r="E17" s="120">
        <f t="shared" si="1"/>
        <v>2693518.949</v>
      </c>
      <c r="F17" s="120">
        <f t="shared" si="1"/>
        <v>283229.76899999997</v>
      </c>
      <c r="G17" s="120">
        <f t="shared" si="1"/>
        <v>24634739.091000002</v>
      </c>
      <c r="H17" s="120">
        <f t="shared" si="1"/>
        <v>24634739.091000002</v>
      </c>
      <c r="I17" s="50"/>
    </row>
    <row r="18" spans="2:9" s="1" customFormat="1" ht="4.9000000000000004" customHeight="1" x14ac:dyDescent="0.15">
      <c r="B18" s="6"/>
      <c r="C18" s="7"/>
      <c r="D18" s="7"/>
      <c r="E18" s="7"/>
      <c r="F18" s="7"/>
      <c r="G18" s="7"/>
      <c r="H18" s="7"/>
    </row>
    <row r="19" spans="2:9" ht="6.6" customHeight="1" x14ac:dyDescent="0.15">
      <c r="B19" s="2"/>
      <c r="C19" s="2"/>
      <c r="D19" s="2"/>
      <c r="E19" s="2"/>
      <c r="F19" s="2"/>
      <c r="G19" s="2"/>
      <c r="H19" s="2"/>
    </row>
    <row r="20" spans="2:9" ht="1.9" customHeight="1" x14ac:dyDescent="0.15"/>
    <row r="21" spans="2:9" x14ac:dyDescent="0.15">
      <c r="G21" s="17"/>
    </row>
    <row r="22" spans="2:9" x14ac:dyDescent="0.15">
      <c r="G22" s="17"/>
    </row>
    <row r="25" spans="2:9" x14ac:dyDescent="0.15">
      <c r="G25" s="17"/>
    </row>
  </sheetData>
  <mergeCells count="7">
    <mergeCell ref="H3:H4"/>
    <mergeCell ref="B3:B4"/>
    <mergeCell ref="C3:C4"/>
    <mergeCell ref="D3:D4"/>
    <mergeCell ref="E3:E4"/>
    <mergeCell ref="F3:F4"/>
    <mergeCell ref="G3:G4"/>
  </mergeCells>
  <phoneticPr fontId="4"/>
  <printOptions horizontalCentered="1"/>
  <pageMargins left="0.19685039370078741" right="0.19685039370078741" top="0.39370078740157483" bottom="0.15748031496062992" header="0.31496062992125984" footer="0.31496062992125984"/>
  <pageSetup paperSize="9" fitToHeight="0" orientation="landscape" r:id="rId1"/>
  <colBreaks count="1" manualBreakCount="1">
    <brk id="9"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2"/>
  <sheetViews>
    <sheetView view="pageBreakPreview" zoomScale="80" zoomScaleNormal="80" zoomScaleSheetLayoutView="80" workbookViewId="0">
      <selection activeCell="B1" sqref="B1"/>
    </sheetView>
  </sheetViews>
  <sheetFormatPr defaultRowHeight="13.5" x14ac:dyDescent="0.15"/>
  <cols>
    <col min="1" max="1" width="1" customWidth="1"/>
    <col min="2" max="2" width="28.625" customWidth="1"/>
    <col min="3" max="6" width="21.625" customWidth="1"/>
    <col min="7" max="7" width="20.625" customWidth="1"/>
    <col min="8" max="8" width="11.375" customWidth="1"/>
  </cols>
  <sheetData>
    <row r="1" spans="2:8" ht="25.5" customHeight="1" x14ac:dyDescent="0.15">
      <c r="B1" s="102"/>
      <c r="C1" s="102"/>
      <c r="D1" s="102"/>
      <c r="E1" s="102"/>
      <c r="F1" s="102"/>
      <c r="G1" s="102"/>
    </row>
    <row r="2" spans="2:8" ht="19.5" customHeight="1" x14ac:dyDescent="0.15">
      <c r="B2" s="102" t="s">
        <v>175</v>
      </c>
      <c r="C2" s="61"/>
      <c r="D2" s="62"/>
      <c r="E2" s="63"/>
      <c r="F2" s="61"/>
      <c r="G2" s="62" t="s">
        <v>223</v>
      </c>
    </row>
    <row r="3" spans="2:8" s="1" customFormat="1" ht="20.100000000000001" customHeight="1" x14ac:dyDescent="0.15">
      <c r="B3" s="204" t="s">
        <v>64</v>
      </c>
      <c r="C3" s="206" t="s">
        <v>176</v>
      </c>
      <c r="D3" s="207"/>
      <c r="E3" s="206" t="s">
        <v>177</v>
      </c>
      <c r="F3" s="207"/>
      <c r="G3" s="204" t="s">
        <v>178</v>
      </c>
    </row>
    <row r="4" spans="2:8" s="1" customFormat="1" ht="20.100000000000001" customHeight="1" x14ac:dyDescent="0.15">
      <c r="B4" s="205"/>
      <c r="C4" s="103" t="s">
        <v>65</v>
      </c>
      <c r="D4" s="103" t="s">
        <v>66</v>
      </c>
      <c r="E4" s="103" t="s">
        <v>65</v>
      </c>
      <c r="F4" s="103" t="s">
        <v>66</v>
      </c>
      <c r="G4" s="205"/>
    </row>
    <row r="5" spans="2:8" s="1" customFormat="1" ht="30" customHeight="1" x14ac:dyDescent="0.15">
      <c r="B5" s="127" t="s">
        <v>179</v>
      </c>
      <c r="C5" s="101">
        <v>66000</v>
      </c>
      <c r="D5" s="101">
        <v>1188.4740173410405</v>
      </c>
      <c r="E5" s="101">
        <v>22000</v>
      </c>
      <c r="F5" s="104">
        <v>396.15794023679763</v>
      </c>
      <c r="G5" s="104">
        <v>88000</v>
      </c>
    </row>
    <row r="6" spans="2:8" s="1" customFormat="1" ht="30" customHeight="1" x14ac:dyDescent="0.15">
      <c r="B6" s="127" t="s">
        <v>180</v>
      </c>
      <c r="C6" s="101">
        <v>0</v>
      </c>
      <c r="D6" s="101">
        <v>0</v>
      </c>
      <c r="E6" s="101">
        <v>4605</v>
      </c>
      <c r="F6" s="104">
        <v>82.923059763202403</v>
      </c>
      <c r="G6" s="104">
        <v>4605</v>
      </c>
    </row>
    <row r="7" spans="2:8" s="1" customFormat="1" ht="30" customHeight="1" thickBot="1" x14ac:dyDescent="0.2">
      <c r="B7" s="128" t="s">
        <v>256</v>
      </c>
      <c r="C7" s="129">
        <v>3200</v>
      </c>
      <c r="D7" s="129">
        <v>57.622982658959536</v>
      </c>
      <c r="E7" s="129">
        <v>0</v>
      </c>
      <c r="F7" s="130">
        <v>0</v>
      </c>
      <c r="G7" s="130">
        <v>3200</v>
      </c>
    </row>
    <row r="8" spans="2:8" s="1" customFormat="1" ht="30" customHeight="1" thickTop="1" x14ac:dyDescent="0.15">
      <c r="B8" s="131" t="s">
        <v>38</v>
      </c>
      <c r="C8" s="132">
        <v>69200</v>
      </c>
      <c r="D8" s="132">
        <v>1246.097</v>
      </c>
      <c r="E8" s="132">
        <v>26605</v>
      </c>
      <c r="F8" s="132">
        <v>479.08100000000002</v>
      </c>
      <c r="G8" s="132">
        <v>95805</v>
      </c>
      <c r="H8" s="18"/>
    </row>
    <row r="9" spans="2:8" s="1" customFormat="1" ht="21" customHeight="1" x14ac:dyDescent="0.15">
      <c r="B9" s="64"/>
      <c r="C9" s="65"/>
      <c r="D9" s="65"/>
      <c r="E9" s="63"/>
      <c r="F9" s="63"/>
      <c r="G9" s="57"/>
    </row>
    <row r="10" spans="2:8" ht="18.75" customHeight="1" x14ac:dyDescent="0.15">
      <c r="D10" s="17"/>
    </row>
    <row r="12" spans="2:8" x14ac:dyDescent="0.15">
      <c r="D12" s="17"/>
    </row>
  </sheetData>
  <mergeCells count="4">
    <mergeCell ref="B3:B4"/>
    <mergeCell ref="C3:D3"/>
    <mergeCell ref="E3:F3"/>
    <mergeCell ref="G3:G4"/>
  </mergeCells>
  <phoneticPr fontId="4"/>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view="pageBreakPreview" zoomScale="85" zoomScaleNormal="80" zoomScaleSheetLayoutView="85" workbookViewId="0">
      <selection activeCell="B1" sqref="B1"/>
    </sheetView>
  </sheetViews>
  <sheetFormatPr defaultRowHeight="13.5" x14ac:dyDescent="0.15"/>
  <cols>
    <col min="1" max="1" width="1" customWidth="1"/>
    <col min="2" max="2" width="28.25" customWidth="1"/>
    <col min="3" max="4" width="20.625" customWidth="1"/>
    <col min="5" max="5" width="3.5" customWidth="1"/>
    <col min="6" max="6" width="28.25" customWidth="1"/>
    <col min="7" max="8" width="20.625" customWidth="1"/>
    <col min="9" max="9" width="11.375" customWidth="1"/>
    <col min="10" max="10" width="10" bestFit="1" customWidth="1"/>
    <col min="11" max="11" width="10" style="29" bestFit="1" customWidth="1"/>
  </cols>
  <sheetData>
    <row r="1" spans="2:11" ht="25.5" customHeight="1" x14ac:dyDescent="0.15"/>
    <row r="2" spans="2:11" ht="19.5" customHeight="1" x14ac:dyDescent="0.15">
      <c r="B2" t="s">
        <v>231</v>
      </c>
      <c r="C2" s="61"/>
      <c r="D2" s="62" t="s">
        <v>223</v>
      </c>
      <c r="E2" s="61"/>
      <c r="F2" s="63" t="s">
        <v>232</v>
      </c>
      <c r="G2" s="61"/>
      <c r="H2" s="62" t="s">
        <v>223</v>
      </c>
    </row>
    <row r="3" spans="2:11" s="1" customFormat="1" ht="30" customHeight="1" x14ac:dyDescent="0.15">
      <c r="B3" s="103" t="s">
        <v>64</v>
      </c>
      <c r="C3" s="103" t="s">
        <v>65</v>
      </c>
      <c r="D3" s="103" t="s">
        <v>66</v>
      </c>
      <c r="E3" s="102"/>
      <c r="F3" s="103" t="s">
        <v>64</v>
      </c>
      <c r="G3" s="103" t="s">
        <v>65</v>
      </c>
      <c r="H3" s="103" t="s">
        <v>66</v>
      </c>
      <c r="K3" s="44"/>
    </row>
    <row r="4" spans="2:11" s="1" customFormat="1" ht="21" customHeight="1" x14ac:dyDescent="0.15">
      <c r="B4" s="133" t="s">
        <v>67</v>
      </c>
      <c r="C4" s="124"/>
      <c r="D4" s="124"/>
      <c r="E4" s="102"/>
      <c r="F4" s="133" t="s">
        <v>67</v>
      </c>
      <c r="G4" s="134"/>
      <c r="H4" s="134"/>
      <c r="K4" s="44"/>
    </row>
    <row r="5" spans="2:11" s="1" customFormat="1" ht="21" customHeight="1" x14ac:dyDescent="0.15">
      <c r="B5" s="135" t="s">
        <v>182</v>
      </c>
      <c r="C5" s="132">
        <f>22074000/1000</f>
        <v>22074</v>
      </c>
      <c r="D5" s="105">
        <f>D7</f>
        <v>397.49099999999999</v>
      </c>
      <c r="E5" s="102"/>
      <c r="F5" s="135" t="s">
        <v>182</v>
      </c>
      <c r="G5" s="105">
        <f>865000/1000</f>
        <v>865</v>
      </c>
      <c r="H5" s="105">
        <f>H7</f>
        <v>15.576000000000001</v>
      </c>
      <c r="I5" s="43"/>
      <c r="J5" s="44"/>
      <c r="K5" s="44"/>
    </row>
    <row r="6" spans="2:11" s="1" customFormat="1" ht="21" customHeight="1" x14ac:dyDescent="0.15">
      <c r="B6" s="136"/>
      <c r="C6" s="137"/>
      <c r="D6" s="105"/>
      <c r="E6" s="102"/>
      <c r="F6" s="136"/>
      <c r="G6" s="138"/>
      <c r="H6" s="138"/>
      <c r="I6" s="43"/>
      <c r="J6" s="44"/>
      <c r="K6" s="44"/>
    </row>
    <row r="7" spans="2:11" s="1" customFormat="1" ht="21" customHeight="1" thickBot="1" x14ac:dyDescent="0.2">
      <c r="B7" s="139" t="s">
        <v>68</v>
      </c>
      <c r="C7" s="140">
        <f>SUM(C5:C6)</f>
        <v>22074</v>
      </c>
      <c r="D7" s="141">
        <f>397491/1000</f>
        <v>397.49099999999999</v>
      </c>
      <c r="E7" s="102"/>
      <c r="F7" s="139" t="s">
        <v>68</v>
      </c>
      <c r="G7" s="141">
        <f>SUM(G5:G6)</f>
        <v>865</v>
      </c>
      <c r="H7" s="141">
        <f>15576/1000</f>
        <v>15.576000000000001</v>
      </c>
      <c r="I7" s="43"/>
      <c r="J7" s="44"/>
      <c r="K7" s="44"/>
    </row>
    <row r="8" spans="2:11" s="1" customFormat="1" ht="21" customHeight="1" thickTop="1" x14ac:dyDescent="0.15">
      <c r="B8" s="136" t="s">
        <v>69</v>
      </c>
      <c r="C8" s="137"/>
      <c r="D8" s="138"/>
      <c r="E8" s="102"/>
      <c r="F8" s="136" t="s">
        <v>69</v>
      </c>
      <c r="G8" s="138"/>
      <c r="H8" s="138"/>
      <c r="I8" s="43"/>
      <c r="J8" s="44"/>
      <c r="K8" s="44"/>
    </row>
    <row r="9" spans="2:11" s="1" customFormat="1" ht="21" customHeight="1" x14ac:dyDescent="0.15">
      <c r="B9" s="135" t="s">
        <v>70</v>
      </c>
      <c r="C9" s="132"/>
      <c r="D9" s="138"/>
      <c r="E9" s="102"/>
      <c r="F9" s="136" t="s">
        <v>70</v>
      </c>
      <c r="G9" s="138"/>
      <c r="H9" s="138"/>
      <c r="I9" s="43"/>
      <c r="J9" s="44"/>
      <c r="K9" s="44"/>
    </row>
    <row r="10" spans="2:11" s="1" customFormat="1" ht="21" customHeight="1" x14ac:dyDescent="0.15">
      <c r="B10" s="127" t="s">
        <v>139</v>
      </c>
      <c r="C10" s="101">
        <f>76715417/1000</f>
        <v>76715.417000000001</v>
      </c>
      <c r="D10" s="134">
        <f>$D$20*C10/$C$20</f>
        <v>9752.8825093123523</v>
      </c>
      <c r="E10" s="102"/>
      <c r="F10" s="133" t="s">
        <v>139</v>
      </c>
      <c r="G10" s="134">
        <f>220665426/1000</f>
        <v>220665.42600000001</v>
      </c>
      <c r="H10" s="134">
        <f>$H$20*G10/$G$20</f>
        <v>28053.34419195306</v>
      </c>
      <c r="I10" s="43"/>
      <c r="J10" s="44"/>
      <c r="K10" s="44"/>
    </row>
    <row r="11" spans="2:11" s="1" customFormat="1" ht="21" customHeight="1" x14ac:dyDescent="0.15">
      <c r="B11" s="133" t="s">
        <v>140</v>
      </c>
      <c r="C11" s="124">
        <f>15818873/1000</f>
        <v>15818.873</v>
      </c>
      <c r="D11" s="134">
        <f>$D$20*C11/$C$20</f>
        <v>2011.0639533997892</v>
      </c>
      <c r="E11" s="102"/>
      <c r="F11" s="133" t="s">
        <v>140</v>
      </c>
      <c r="G11" s="134">
        <f>7687400/1000</f>
        <v>7687.4</v>
      </c>
      <c r="H11" s="134">
        <f t="shared" ref="H11:H14" si="0">$H$20*G11/$G$20</f>
        <v>977.30433829366609</v>
      </c>
      <c r="I11" s="43"/>
      <c r="J11" s="44"/>
      <c r="K11" s="44"/>
    </row>
    <row r="12" spans="2:11" s="1" customFormat="1" ht="21" customHeight="1" x14ac:dyDescent="0.15">
      <c r="B12" s="133" t="s">
        <v>71</v>
      </c>
      <c r="C12" s="124">
        <f>34071377/1000</f>
        <v>34071.377</v>
      </c>
      <c r="D12" s="134">
        <f t="shared" ref="D12:D17" si="1">$D$20*C12/$C$20</f>
        <v>4331.5170510184043</v>
      </c>
      <c r="E12" s="102"/>
      <c r="F12" s="133" t="s">
        <v>71</v>
      </c>
      <c r="G12" s="134">
        <f>71801277/1000</f>
        <v>71801.277000000002</v>
      </c>
      <c r="H12" s="134">
        <f t="shared" si="0"/>
        <v>9128.14469223993</v>
      </c>
      <c r="I12" s="43"/>
      <c r="J12" s="44"/>
      <c r="K12" s="44"/>
    </row>
    <row r="13" spans="2:11" s="1" customFormat="1" ht="21" customHeight="1" x14ac:dyDescent="0.15">
      <c r="B13" s="133" t="s">
        <v>141</v>
      </c>
      <c r="C13" s="124">
        <f>5136074/1000</f>
        <v>5136.0739999999996</v>
      </c>
      <c r="D13" s="134">
        <f t="shared" si="1"/>
        <v>652.95253861598542</v>
      </c>
      <c r="E13" s="102"/>
      <c r="F13" s="133" t="s">
        <v>141</v>
      </c>
      <c r="G13" s="134">
        <f>2875566/1000</f>
        <v>2875.5659999999998</v>
      </c>
      <c r="H13" s="134">
        <f t="shared" si="0"/>
        <v>365.57264183596067</v>
      </c>
      <c r="I13" s="43"/>
      <c r="J13" s="44"/>
      <c r="K13" s="44"/>
    </row>
    <row r="14" spans="2:11" s="1" customFormat="1" ht="21" customHeight="1" x14ac:dyDescent="0.15">
      <c r="B14" s="133" t="s">
        <v>142</v>
      </c>
      <c r="C14" s="124">
        <f>21940961/1000</f>
        <v>21940.960999999999</v>
      </c>
      <c r="D14" s="134">
        <f t="shared" si="1"/>
        <v>2789.3691143516098</v>
      </c>
      <c r="E14" s="102"/>
      <c r="F14" s="133" t="s">
        <v>142</v>
      </c>
      <c r="G14" s="134">
        <f>15435756/1000</f>
        <v>15435.755999999999</v>
      </c>
      <c r="H14" s="134">
        <f t="shared" si="0"/>
        <v>1962.3580539119189</v>
      </c>
      <c r="I14" s="43"/>
      <c r="J14" s="44"/>
      <c r="K14" s="44"/>
    </row>
    <row r="15" spans="2:11" s="1" customFormat="1" ht="21" customHeight="1" x14ac:dyDescent="0.15">
      <c r="B15" s="127" t="s">
        <v>183</v>
      </c>
      <c r="C15" s="101"/>
      <c r="D15" s="134"/>
      <c r="E15" s="102"/>
      <c r="F15" s="127" t="s">
        <v>183</v>
      </c>
      <c r="G15" s="101"/>
      <c r="H15" s="134"/>
      <c r="I15" s="43"/>
      <c r="J15" s="44"/>
      <c r="K15" s="44"/>
    </row>
    <row r="16" spans="2:11" s="1" customFormat="1" ht="21" customHeight="1" x14ac:dyDescent="0.15">
      <c r="B16" s="127" t="s">
        <v>185</v>
      </c>
      <c r="C16" s="101">
        <f>8771796/1000</f>
        <v>8771.7960000000003</v>
      </c>
      <c r="D16" s="134">
        <f>$D$20*C16/$C$20</f>
        <v>1115.1643193656375</v>
      </c>
      <c r="E16" s="102"/>
      <c r="F16" s="127" t="s">
        <v>185</v>
      </c>
      <c r="G16" s="101">
        <f>4101734/1000</f>
        <v>4101.7340000000004</v>
      </c>
      <c r="H16" s="134">
        <f>$H$20*G16/$G$20</f>
        <v>521.45620531345219</v>
      </c>
      <c r="I16" s="43"/>
      <c r="J16" s="44"/>
      <c r="K16" s="44"/>
    </row>
    <row r="17" spans="2:11" s="1" customFormat="1" ht="21" customHeight="1" x14ac:dyDescent="0.15">
      <c r="B17" s="133" t="s">
        <v>181</v>
      </c>
      <c r="C17" s="101">
        <f>1514063/1000</f>
        <v>1514.0630000000001</v>
      </c>
      <c r="D17" s="134">
        <f t="shared" si="1"/>
        <v>192.48384650893556</v>
      </c>
      <c r="E17" s="102"/>
      <c r="F17" s="133" t="s">
        <v>181</v>
      </c>
      <c r="G17" s="134">
        <f>1126978/1000</f>
        <v>1126.9780000000001</v>
      </c>
      <c r="H17" s="134">
        <f>$H$20*G17/$G$20</f>
        <v>143.27347198812595</v>
      </c>
      <c r="I17" s="43"/>
      <c r="J17" s="44"/>
      <c r="K17" s="44"/>
    </row>
    <row r="18" spans="2:11" s="1" customFormat="1" ht="21" customHeight="1" x14ac:dyDescent="0.15">
      <c r="B18" s="133" t="s">
        <v>184</v>
      </c>
      <c r="C18" s="101">
        <f>189389455/1000</f>
        <v>189389.45499999999</v>
      </c>
      <c r="D18" s="134">
        <f>$D$20*C18/$C$20</f>
        <v>24077.208667427287</v>
      </c>
      <c r="E18" s="102"/>
      <c r="F18" s="133" t="s">
        <v>184</v>
      </c>
      <c r="G18" s="134">
        <f>38277878/1000</f>
        <v>38277.877999999997</v>
      </c>
      <c r="H18" s="134">
        <f>$H$20*G18/$G$20</f>
        <v>4866.2924044638858</v>
      </c>
      <c r="I18" s="43"/>
      <c r="J18" s="44"/>
      <c r="K18" s="44"/>
    </row>
    <row r="19" spans="2:11" s="1" customFormat="1" ht="21" customHeight="1" x14ac:dyDescent="0.15">
      <c r="B19" s="133"/>
      <c r="C19" s="124"/>
      <c r="D19" s="134"/>
      <c r="E19" s="102"/>
      <c r="F19" s="133"/>
      <c r="G19" s="134"/>
      <c r="H19" s="134"/>
      <c r="I19" s="43"/>
      <c r="J19" s="44"/>
      <c r="K19" s="44"/>
    </row>
    <row r="20" spans="2:11" s="1" customFormat="1" ht="21" customHeight="1" thickBot="1" x14ac:dyDescent="0.2">
      <c r="B20" s="139" t="s">
        <v>68</v>
      </c>
      <c r="C20" s="140">
        <f>SUM(C10:C14,C16:C19)</f>
        <v>353358.016</v>
      </c>
      <c r="D20" s="141">
        <f>44922642/1000</f>
        <v>44922.642</v>
      </c>
      <c r="E20" s="102"/>
      <c r="F20" s="139" t="s">
        <v>68</v>
      </c>
      <c r="G20" s="141">
        <f>SUM(G10:G14,G16:G19)</f>
        <v>361972.01500000001</v>
      </c>
      <c r="H20" s="141">
        <f>46017746/1000</f>
        <v>46017.745999999999</v>
      </c>
      <c r="I20" s="43"/>
      <c r="J20" s="44"/>
      <c r="K20" s="44"/>
    </row>
    <row r="21" spans="2:11" s="1" customFormat="1" ht="21" customHeight="1" thickTop="1" x14ac:dyDescent="0.15">
      <c r="B21" s="131" t="s">
        <v>4</v>
      </c>
      <c r="C21" s="132">
        <f>SUM(C7,C20)</f>
        <v>375432.016</v>
      </c>
      <c r="D21" s="132">
        <f>SUM(D7,D20)</f>
        <v>45320.133000000002</v>
      </c>
      <c r="E21" s="102"/>
      <c r="F21" s="131" t="s">
        <v>4</v>
      </c>
      <c r="G21" s="105">
        <f>SUM(G7,G20)</f>
        <v>362837.01500000001</v>
      </c>
      <c r="H21" s="132">
        <f>SUM(H7,H20)</f>
        <v>46033.322</v>
      </c>
      <c r="I21" s="43"/>
      <c r="J21" s="44"/>
      <c r="K21" s="44"/>
    </row>
  </sheetData>
  <phoneticPr fontId="4"/>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1"/>
  <sheetViews>
    <sheetView view="pageBreakPreview" zoomScale="80" zoomScaleNormal="100" zoomScaleSheetLayoutView="80" workbookViewId="0">
      <selection activeCell="B1" sqref="B1"/>
    </sheetView>
  </sheetViews>
  <sheetFormatPr defaultRowHeight="13.5" x14ac:dyDescent="0.15"/>
  <cols>
    <col min="1" max="1" width="5.25" customWidth="1"/>
    <col min="2" max="2" width="20.625" customWidth="1"/>
    <col min="3" max="3" width="12.625" customWidth="1"/>
    <col min="4" max="4" width="18.625" customWidth="1"/>
    <col min="5" max="9" width="13.625" customWidth="1"/>
    <col min="10" max="11" width="14.625" customWidth="1"/>
    <col min="12" max="12" width="13.625" customWidth="1"/>
    <col min="13" max="13" width="0.625" customWidth="1"/>
    <col min="14" max="14" width="5.375" customWidth="1"/>
  </cols>
  <sheetData>
    <row r="1" spans="2:12" ht="16.5" customHeight="1" x14ac:dyDescent="0.15"/>
    <row r="2" spans="2:12" ht="19.5" customHeight="1" x14ac:dyDescent="0.15">
      <c r="B2" s="53" t="s">
        <v>72</v>
      </c>
    </row>
    <row r="3" spans="2:12" ht="19.5" customHeight="1" x14ac:dyDescent="0.15">
      <c r="B3" s="53" t="s">
        <v>73</v>
      </c>
      <c r="C3" s="33"/>
      <c r="D3" s="53"/>
      <c r="E3" s="53"/>
      <c r="F3" s="53"/>
      <c r="G3" s="53"/>
      <c r="H3" s="53"/>
      <c r="I3" s="53"/>
      <c r="J3" s="53"/>
      <c r="K3" s="53"/>
      <c r="L3" s="52" t="s">
        <v>223</v>
      </c>
    </row>
    <row r="4" spans="2:12" ht="20.100000000000001" customHeight="1" x14ac:dyDescent="0.15">
      <c r="B4" s="210" t="s">
        <v>61</v>
      </c>
      <c r="C4" s="208" t="s">
        <v>74</v>
      </c>
      <c r="D4" s="34"/>
      <c r="E4" s="213" t="s">
        <v>75</v>
      </c>
      <c r="F4" s="210" t="s">
        <v>76</v>
      </c>
      <c r="G4" s="210" t="s">
        <v>77</v>
      </c>
      <c r="H4" s="210" t="s">
        <v>78</v>
      </c>
      <c r="I4" s="208" t="s">
        <v>79</v>
      </c>
      <c r="J4" s="35"/>
      <c r="K4" s="36"/>
      <c r="L4" s="210" t="s">
        <v>80</v>
      </c>
    </row>
    <row r="5" spans="2:12" ht="20.100000000000001" customHeight="1" x14ac:dyDescent="0.15">
      <c r="B5" s="212"/>
      <c r="C5" s="211"/>
      <c r="D5" s="142" t="s">
        <v>81</v>
      </c>
      <c r="E5" s="214"/>
      <c r="F5" s="211"/>
      <c r="G5" s="211"/>
      <c r="H5" s="211"/>
      <c r="I5" s="209"/>
      <c r="J5" s="143" t="s">
        <v>82</v>
      </c>
      <c r="K5" s="143" t="s">
        <v>83</v>
      </c>
      <c r="L5" s="211"/>
    </row>
    <row r="6" spans="2:12" ht="30" customHeight="1" x14ac:dyDescent="0.15">
      <c r="B6" s="96" t="s">
        <v>84</v>
      </c>
      <c r="C6" s="37"/>
      <c r="D6" s="38"/>
      <c r="E6" s="39"/>
      <c r="F6" s="37"/>
      <c r="G6" s="37"/>
      <c r="H6" s="37"/>
      <c r="I6" s="37"/>
      <c r="J6" s="37"/>
      <c r="K6" s="37"/>
      <c r="L6" s="37"/>
    </row>
    <row r="7" spans="2:12" ht="30" customHeight="1" x14ac:dyDescent="0.15">
      <c r="B7" s="96" t="s">
        <v>85</v>
      </c>
      <c r="C7" s="37">
        <f>953438480/1000</f>
        <v>953438.48</v>
      </c>
      <c r="D7" s="144">
        <f>33654412/1000</f>
        <v>33654.411999999997</v>
      </c>
      <c r="E7" s="39">
        <f>1275855/1000</f>
        <v>1275.855</v>
      </c>
      <c r="F7" s="37">
        <f>952162625/1000</f>
        <v>952162.625</v>
      </c>
      <c r="G7" s="37">
        <v>0</v>
      </c>
      <c r="H7" s="37">
        <v>0</v>
      </c>
      <c r="I7" s="37">
        <v>0</v>
      </c>
      <c r="J7" s="37">
        <v>0</v>
      </c>
      <c r="K7" s="37">
        <v>0</v>
      </c>
      <c r="L7" s="37">
        <v>0</v>
      </c>
    </row>
    <row r="8" spans="2:12" ht="30" customHeight="1" x14ac:dyDescent="0.15">
      <c r="B8" s="96" t="s">
        <v>86</v>
      </c>
      <c r="C8" s="37">
        <f>166836312/1000</f>
        <v>166836.31200000001</v>
      </c>
      <c r="D8" s="144">
        <f>55099957/1000</f>
        <v>55099.957000000002</v>
      </c>
      <c r="E8" s="39">
        <f>166836312/1000</f>
        <v>166836.31200000001</v>
      </c>
      <c r="F8" s="37">
        <v>0</v>
      </c>
      <c r="G8" s="37">
        <v>0</v>
      </c>
      <c r="H8" s="37">
        <v>0</v>
      </c>
      <c r="I8" s="37">
        <v>0</v>
      </c>
      <c r="J8" s="37">
        <v>0</v>
      </c>
      <c r="K8" s="37">
        <v>0</v>
      </c>
      <c r="L8" s="37">
        <v>0</v>
      </c>
    </row>
    <row r="9" spans="2:12" ht="30" customHeight="1" x14ac:dyDescent="0.15">
      <c r="B9" s="96" t="s">
        <v>87</v>
      </c>
      <c r="C9" s="37">
        <v>0</v>
      </c>
      <c r="D9" s="144">
        <v>0</v>
      </c>
      <c r="E9" s="39">
        <v>0</v>
      </c>
      <c r="F9" s="37">
        <v>0</v>
      </c>
      <c r="G9" s="37">
        <v>0</v>
      </c>
      <c r="H9" s="37">
        <v>0</v>
      </c>
      <c r="I9" s="37">
        <v>0</v>
      </c>
      <c r="J9" s="37">
        <v>0</v>
      </c>
      <c r="K9" s="37">
        <v>0</v>
      </c>
      <c r="L9" s="37">
        <v>0</v>
      </c>
    </row>
    <row r="10" spans="2:12" ht="30" customHeight="1" x14ac:dyDescent="0.15">
      <c r="B10" s="96" t="s">
        <v>88</v>
      </c>
      <c r="C10" s="37">
        <f>522720814/1000</f>
        <v>522720.81400000001</v>
      </c>
      <c r="D10" s="144">
        <f>137727976/1000</f>
        <v>137727.976</v>
      </c>
      <c r="E10" s="39">
        <f>197872718/1000</f>
        <v>197872.71799999999</v>
      </c>
      <c r="F10" s="37">
        <f>26000000/1000</f>
        <v>26000</v>
      </c>
      <c r="G10" s="37">
        <v>0</v>
      </c>
      <c r="H10" s="37">
        <v>0</v>
      </c>
      <c r="I10" s="37">
        <v>0</v>
      </c>
      <c r="J10" s="37">
        <v>0</v>
      </c>
      <c r="K10" s="37">
        <v>0</v>
      </c>
      <c r="L10" s="37">
        <f>298848096/1000</f>
        <v>298848.09600000002</v>
      </c>
    </row>
    <row r="11" spans="2:12" ht="30" customHeight="1" x14ac:dyDescent="0.15">
      <c r="B11" s="96" t="s">
        <v>89</v>
      </c>
      <c r="C11" s="37">
        <f>1083050813/1000</f>
        <v>1083050.8130000001</v>
      </c>
      <c r="D11" s="144">
        <f>40900158/1000</f>
        <v>40900.158000000003</v>
      </c>
      <c r="E11" s="39"/>
      <c r="F11" s="37">
        <f>752308157/1000</f>
        <v>752308.15700000001</v>
      </c>
      <c r="G11" s="37">
        <v>0</v>
      </c>
      <c r="H11" s="37">
        <v>0</v>
      </c>
      <c r="I11" s="37">
        <v>0</v>
      </c>
      <c r="J11" s="37">
        <v>0</v>
      </c>
      <c r="K11" s="37">
        <v>0</v>
      </c>
      <c r="L11" s="37">
        <f>330742656/1000</f>
        <v>330742.65600000002</v>
      </c>
    </row>
    <row r="12" spans="2:12" ht="30" customHeight="1" x14ac:dyDescent="0.15">
      <c r="B12" s="96" t="s">
        <v>90</v>
      </c>
      <c r="C12" s="37">
        <f>641441671/1000</f>
        <v>641441.67099999997</v>
      </c>
      <c r="D12" s="144">
        <f>61762238/1000</f>
        <v>61762.237999999998</v>
      </c>
      <c r="E12" s="39">
        <f>641441671/1000</f>
        <v>641441.67099999997</v>
      </c>
      <c r="F12" s="37">
        <v>0</v>
      </c>
      <c r="G12" s="37">
        <v>0</v>
      </c>
      <c r="H12" s="37">
        <v>0</v>
      </c>
      <c r="I12" s="37">
        <v>0</v>
      </c>
      <c r="J12" s="37">
        <v>0</v>
      </c>
      <c r="K12" s="37">
        <v>0</v>
      </c>
      <c r="L12" s="37">
        <v>0</v>
      </c>
    </row>
    <row r="13" spans="2:12" ht="30" customHeight="1" x14ac:dyDescent="0.15">
      <c r="B13" s="96" t="s">
        <v>91</v>
      </c>
      <c r="C13" s="37"/>
      <c r="D13" s="38"/>
      <c r="E13" s="39"/>
      <c r="F13" s="37"/>
      <c r="G13" s="37"/>
      <c r="H13" s="37"/>
      <c r="I13" s="37"/>
      <c r="J13" s="37"/>
      <c r="K13" s="37"/>
      <c r="L13" s="37"/>
    </row>
    <row r="14" spans="2:12" ht="30" customHeight="1" x14ac:dyDescent="0.15">
      <c r="B14" s="96" t="s">
        <v>92</v>
      </c>
      <c r="C14" s="37">
        <f>3569912377/1000</f>
        <v>3569912.3769999999</v>
      </c>
      <c r="D14" s="144">
        <f>500966358/1000</f>
        <v>500966.35800000001</v>
      </c>
      <c r="E14" s="39">
        <f>3569912377/1000</f>
        <v>3569912.3769999999</v>
      </c>
      <c r="F14" s="37">
        <v>0</v>
      </c>
      <c r="G14" s="37">
        <v>0</v>
      </c>
      <c r="H14" s="37">
        <v>0</v>
      </c>
      <c r="I14" s="37">
        <v>0</v>
      </c>
      <c r="J14" s="37">
        <v>0</v>
      </c>
      <c r="K14" s="37">
        <v>0</v>
      </c>
      <c r="L14" s="37">
        <v>0</v>
      </c>
    </row>
    <row r="15" spans="2:12" ht="30" customHeight="1" x14ac:dyDescent="0.15">
      <c r="B15" s="96" t="s">
        <v>93</v>
      </c>
      <c r="C15" s="37">
        <f>536712864/1000</f>
        <v>536712.86399999994</v>
      </c>
      <c r="D15" s="144">
        <f>186508014/1000</f>
        <v>186508.014</v>
      </c>
      <c r="E15" s="39">
        <f>536712864/1000</f>
        <v>536712.86399999994</v>
      </c>
      <c r="F15" s="37">
        <v>0</v>
      </c>
      <c r="G15" s="37">
        <v>0</v>
      </c>
      <c r="H15" s="37">
        <v>0</v>
      </c>
      <c r="I15" s="37">
        <v>0</v>
      </c>
      <c r="J15" s="37">
        <v>0</v>
      </c>
      <c r="K15" s="37">
        <v>0</v>
      </c>
      <c r="L15" s="37">
        <v>0</v>
      </c>
    </row>
    <row r="16" spans="2:12" ht="30" customHeight="1" x14ac:dyDescent="0.15">
      <c r="B16" s="96" t="s">
        <v>94</v>
      </c>
      <c r="C16" s="37">
        <v>0</v>
      </c>
      <c r="D16" s="144">
        <v>0</v>
      </c>
      <c r="E16" s="39">
        <v>0</v>
      </c>
      <c r="F16" s="37">
        <v>0</v>
      </c>
      <c r="G16" s="37">
        <v>0</v>
      </c>
      <c r="H16" s="37">
        <v>0</v>
      </c>
      <c r="I16" s="37">
        <v>0</v>
      </c>
      <c r="J16" s="37">
        <v>0</v>
      </c>
      <c r="K16" s="37">
        <v>0</v>
      </c>
      <c r="L16" s="37">
        <v>0</v>
      </c>
    </row>
    <row r="17" spans="2:12" ht="30" customHeight="1" x14ac:dyDescent="0.15">
      <c r="B17" s="96" t="s">
        <v>95</v>
      </c>
      <c r="C17" s="37">
        <f>32491662519/1000</f>
        <v>32491662.519000001</v>
      </c>
      <c r="D17" s="144">
        <f>2515786123/1000</f>
        <v>2515786.1230000001</v>
      </c>
      <c r="E17" s="39">
        <v>0</v>
      </c>
      <c r="F17" s="37">
        <v>0</v>
      </c>
      <c r="G17" s="37">
        <v>0</v>
      </c>
      <c r="H17" s="37">
        <v>0</v>
      </c>
      <c r="I17" s="37">
        <v>0</v>
      </c>
      <c r="J17" s="37">
        <v>0</v>
      </c>
      <c r="K17" s="37">
        <v>0</v>
      </c>
      <c r="L17" s="37">
        <f>32491662519/1000</f>
        <v>32491662.519000001</v>
      </c>
    </row>
    <row r="18" spans="2:12" ht="30" customHeight="1" x14ac:dyDescent="0.15">
      <c r="B18" s="46" t="s">
        <v>38</v>
      </c>
      <c r="C18" s="39">
        <f>SUM(C6:C17)</f>
        <v>39965775.850000001</v>
      </c>
      <c r="D18" s="38">
        <f>SUM(D6:D17)</f>
        <v>3532405.236</v>
      </c>
      <c r="E18" s="39">
        <f>SUM(E6:E17)</f>
        <v>5114051.7970000003</v>
      </c>
      <c r="F18" s="39">
        <f>SUM(F6:F17)</f>
        <v>1730470.7820000001</v>
      </c>
      <c r="G18" s="39">
        <f t="shared" ref="G18:J18" si="0">SUM(G6:G17)</f>
        <v>0</v>
      </c>
      <c r="H18" s="39">
        <f t="shared" si="0"/>
        <v>0</v>
      </c>
      <c r="I18" s="39">
        <f t="shared" si="0"/>
        <v>0</v>
      </c>
      <c r="J18" s="39">
        <f t="shared" si="0"/>
        <v>0</v>
      </c>
      <c r="K18" s="39">
        <f>SUM(K6:K17)</f>
        <v>0</v>
      </c>
      <c r="L18" s="39">
        <f>SUM(L6:L17)</f>
        <v>33121253.271000002</v>
      </c>
    </row>
    <row r="19" spans="2:12" ht="3.75" customHeight="1" x14ac:dyDescent="0.15"/>
    <row r="20" spans="2:12" ht="12" customHeight="1" x14ac:dyDescent="0.15"/>
    <row r="21" spans="2:12" x14ac:dyDescent="0.15">
      <c r="C21" s="17"/>
    </row>
  </sheetData>
  <mergeCells count="8">
    <mergeCell ref="I4:I5"/>
    <mergeCell ref="L4:L5"/>
    <mergeCell ref="B4:B5"/>
    <mergeCell ref="C4:C5"/>
    <mergeCell ref="E4:E5"/>
    <mergeCell ref="F4:F5"/>
    <mergeCell ref="G4:G5"/>
    <mergeCell ref="H4:H5"/>
  </mergeCells>
  <phoneticPr fontId="4"/>
  <printOptions horizontalCentered="1"/>
  <pageMargins left="0.11811023622047245" right="0.11811023622047245" top="0.35433070866141736" bottom="0.15748031496062992" header="0.31496062992125984" footer="0.31496062992125984"/>
  <pageSetup paperSize="9" scale="8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view="pageBreakPreview" zoomScale="80" zoomScaleNormal="80" zoomScaleSheetLayoutView="80" workbookViewId="0">
      <selection activeCell="B1" sqref="B1"/>
    </sheetView>
  </sheetViews>
  <sheetFormatPr defaultRowHeight="13.5" x14ac:dyDescent="0.15"/>
  <cols>
    <col min="1" max="1" width="3.125" style="9" customWidth="1"/>
    <col min="2" max="2" width="16.625" style="9" customWidth="1"/>
    <col min="3" max="3" width="17.25" style="9" bestFit="1" customWidth="1"/>
    <col min="4" max="7" width="16.125" style="9" bestFit="1" customWidth="1"/>
    <col min="8" max="8" width="17.25" style="9" bestFit="1" customWidth="1"/>
    <col min="9" max="10" width="16.125" style="9" bestFit="1" customWidth="1"/>
    <col min="11" max="11" width="12.625" style="9" customWidth="1"/>
    <col min="12" max="12" width="0.875" style="9" customWidth="1"/>
    <col min="13" max="13" width="13.625" style="9" customWidth="1"/>
  </cols>
  <sheetData>
    <row r="1" spans="2:12" s="9" customFormat="1" ht="46.5" customHeight="1" x14ac:dyDescent="0.15"/>
    <row r="2" spans="2:12" s="9" customFormat="1" ht="19.5" customHeight="1" x14ac:dyDescent="0.15">
      <c r="B2" s="9" t="s">
        <v>96</v>
      </c>
      <c r="C2" s="11"/>
      <c r="D2" s="11"/>
      <c r="E2" s="11"/>
      <c r="F2" s="11"/>
      <c r="G2" s="11"/>
      <c r="H2" s="11"/>
      <c r="I2" s="11"/>
      <c r="J2" s="11" t="s">
        <v>224</v>
      </c>
      <c r="K2" s="11"/>
      <c r="L2" s="11"/>
    </row>
    <row r="3" spans="2:12" s="9" customFormat="1" ht="20.100000000000001" customHeight="1" x14ac:dyDescent="0.15">
      <c r="B3" s="208" t="s">
        <v>74</v>
      </c>
      <c r="C3" s="225" t="s">
        <v>97</v>
      </c>
      <c r="D3" s="210" t="s">
        <v>98</v>
      </c>
      <c r="E3" s="210" t="s">
        <v>99</v>
      </c>
      <c r="F3" s="210" t="s">
        <v>100</v>
      </c>
      <c r="G3" s="210" t="s">
        <v>101</v>
      </c>
      <c r="H3" s="210" t="s">
        <v>102</v>
      </c>
      <c r="I3" s="210" t="s">
        <v>103</v>
      </c>
      <c r="J3" s="210" t="s">
        <v>236</v>
      </c>
      <c r="K3" s="223"/>
    </row>
    <row r="4" spans="2:12" s="9" customFormat="1" ht="20.100000000000001" customHeight="1" x14ac:dyDescent="0.15">
      <c r="B4" s="209"/>
      <c r="C4" s="226"/>
      <c r="D4" s="200"/>
      <c r="E4" s="200"/>
      <c r="F4" s="200"/>
      <c r="G4" s="200"/>
      <c r="H4" s="200"/>
      <c r="I4" s="200"/>
      <c r="J4" s="200"/>
      <c r="K4" s="224"/>
    </row>
    <row r="5" spans="2:12" s="9" customFormat="1" ht="30" customHeight="1" x14ac:dyDescent="0.15">
      <c r="B5" s="145">
        <f>SUM(C5:I5)</f>
        <v>39965775.850000001</v>
      </c>
      <c r="C5" s="146">
        <f>36244463030/1000</f>
        <v>36244463.030000001</v>
      </c>
      <c r="D5" s="20">
        <f>3721312820/1000</f>
        <v>3721312.82</v>
      </c>
      <c r="E5" s="20">
        <v>0</v>
      </c>
      <c r="F5" s="20">
        <v>0</v>
      </c>
      <c r="G5" s="20">
        <v>0</v>
      </c>
      <c r="H5" s="20">
        <v>0</v>
      </c>
      <c r="I5" s="20">
        <v>0</v>
      </c>
      <c r="J5" s="147">
        <v>4.8701384351906704E-3</v>
      </c>
      <c r="K5" s="148"/>
    </row>
    <row r="6" spans="2:12" s="9" customFormat="1" x14ac:dyDescent="0.15"/>
    <row r="7" spans="2:12" s="9" customFormat="1" x14ac:dyDescent="0.15"/>
    <row r="8" spans="2:12" s="9" customFormat="1" ht="19.5" customHeight="1" x14ac:dyDescent="0.15">
      <c r="B8" s="9" t="s">
        <v>104</v>
      </c>
      <c r="C8" s="11"/>
      <c r="D8" s="11"/>
      <c r="E8" s="11"/>
      <c r="F8" s="11"/>
      <c r="G8" s="11"/>
      <c r="H8" s="11"/>
      <c r="I8" s="11"/>
      <c r="J8" s="11"/>
      <c r="K8" s="11" t="s">
        <v>226</v>
      </c>
    </row>
    <row r="9" spans="2:12" s="9" customFormat="1" ht="20.100000000000001" customHeight="1" x14ac:dyDescent="0.15">
      <c r="B9" s="208" t="s">
        <v>74</v>
      </c>
      <c r="C9" s="225" t="s">
        <v>105</v>
      </c>
      <c r="D9" s="210" t="s">
        <v>106</v>
      </c>
      <c r="E9" s="210" t="s">
        <v>107</v>
      </c>
      <c r="F9" s="210" t="s">
        <v>108</v>
      </c>
      <c r="G9" s="210" t="s">
        <v>109</v>
      </c>
      <c r="H9" s="210" t="s">
        <v>110</v>
      </c>
      <c r="I9" s="210" t="s">
        <v>111</v>
      </c>
      <c r="J9" s="210" t="s">
        <v>112</v>
      </c>
      <c r="K9" s="210" t="s">
        <v>113</v>
      </c>
    </row>
    <row r="10" spans="2:12" s="9" customFormat="1" ht="20.100000000000001" customHeight="1" x14ac:dyDescent="0.15">
      <c r="B10" s="209"/>
      <c r="C10" s="226"/>
      <c r="D10" s="200"/>
      <c r="E10" s="200"/>
      <c r="F10" s="200"/>
      <c r="G10" s="200"/>
      <c r="H10" s="200"/>
      <c r="I10" s="200"/>
      <c r="J10" s="200"/>
      <c r="K10" s="200"/>
    </row>
    <row r="11" spans="2:12" s="9" customFormat="1" ht="30" customHeight="1" x14ac:dyDescent="0.15">
      <c r="B11" s="145">
        <f>SUM(C11:K11)</f>
        <v>39965775.850000001</v>
      </c>
      <c r="C11" s="146">
        <f>3532405236/1000</f>
        <v>3532405.236</v>
      </c>
      <c r="D11" s="20">
        <f>3644998204/1000</f>
        <v>3644998.2039999999</v>
      </c>
      <c r="E11" s="20">
        <f>3740969632/1000</f>
        <v>3740969.6320000002</v>
      </c>
      <c r="F11" s="20">
        <f>3646596669/1000</f>
        <v>3646596.6690000002</v>
      </c>
      <c r="G11" s="20">
        <f>3528607181/1000</f>
        <v>3528607.1809999999</v>
      </c>
      <c r="H11" s="20">
        <f>13233021541/1000</f>
        <v>13233021.540999999</v>
      </c>
      <c r="I11" s="20">
        <f>6442234283/1000</f>
        <v>6442234.2829999998</v>
      </c>
      <c r="J11" s="20">
        <f>2196943104/1000</f>
        <v>2196943.1039999998</v>
      </c>
      <c r="K11" s="20">
        <v>0</v>
      </c>
    </row>
    <row r="12" spans="2:12" s="9" customFormat="1" x14ac:dyDescent="0.15"/>
    <row r="13" spans="2:12" s="9" customFormat="1" x14ac:dyDescent="0.15">
      <c r="B13" s="16"/>
    </row>
    <row r="14" spans="2:12" s="9" customFormat="1" ht="19.5" hidden="1" customHeight="1" x14ac:dyDescent="0.15">
      <c r="B14" s="10" t="s">
        <v>114</v>
      </c>
      <c r="E14" s="11"/>
      <c r="F14" s="11"/>
      <c r="G14" s="11"/>
      <c r="H14" s="12" t="s">
        <v>143</v>
      </c>
    </row>
    <row r="15" spans="2:12" s="9" customFormat="1" ht="13.15" hidden="1" customHeight="1" x14ac:dyDescent="0.15">
      <c r="B15" s="215" t="s">
        <v>115</v>
      </c>
      <c r="C15" s="217" t="s">
        <v>116</v>
      </c>
      <c r="D15" s="218"/>
      <c r="E15" s="218"/>
      <c r="F15" s="218"/>
      <c r="G15" s="218"/>
      <c r="H15" s="219"/>
    </row>
    <row r="16" spans="2:12" s="9" customFormat="1" ht="20.25" hidden="1" customHeight="1" x14ac:dyDescent="0.15">
      <c r="B16" s="216"/>
      <c r="C16" s="220"/>
      <c r="D16" s="221"/>
      <c r="E16" s="221"/>
      <c r="F16" s="221"/>
      <c r="G16" s="221"/>
      <c r="H16" s="222"/>
    </row>
    <row r="17" spans="2:8" s="9" customFormat="1" ht="32.450000000000003" hidden="1" customHeight="1" x14ac:dyDescent="0.15">
      <c r="B17" s="13"/>
      <c r="C17" s="227"/>
      <c r="D17" s="228"/>
      <c r="E17" s="228"/>
      <c r="F17" s="228"/>
      <c r="G17" s="228"/>
      <c r="H17" s="229"/>
    </row>
    <row r="18" spans="2:8" s="9" customFormat="1" ht="9.75" customHeight="1" x14ac:dyDescent="0.15"/>
    <row r="19" spans="2:8" s="9" customFormat="1" ht="9.75" customHeight="1" x14ac:dyDescent="0.15"/>
  </sheetData>
  <mergeCells count="23">
    <mergeCell ref="C17:H17"/>
    <mergeCell ref="H9:H10"/>
    <mergeCell ref="I9:I10"/>
    <mergeCell ref="J9:J10"/>
    <mergeCell ref="E3:E4"/>
    <mergeCell ref="F3:F4"/>
    <mergeCell ref="G3:G4"/>
    <mergeCell ref="B15:B16"/>
    <mergeCell ref="C15:H16"/>
    <mergeCell ref="H3:H4"/>
    <mergeCell ref="K3:K4"/>
    <mergeCell ref="B9:B10"/>
    <mergeCell ref="C9:C10"/>
    <mergeCell ref="D9:D10"/>
    <mergeCell ref="E9:E10"/>
    <mergeCell ref="F9:F10"/>
    <mergeCell ref="G9:G10"/>
    <mergeCell ref="B3:B4"/>
    <mergeCell ref="C3:C4"/>
    <mergeCell ref="D3:D4"/>
    <mergeCell ref="K9:K10"/>
    <mergeCell ref="I3:I4"/>
    <mergeCell ref="J3:J4"/>
  </mergeCells>
  <phoneticPr fontId="4"/>
  <printOptions horizontalCentered="1"/>
  <pageMargins left="0.19685039370078741" right="0.19685039370078741" top="0.27559055118110237" bottom="0.19685039370078741" header="0.59055118110236227" footer="0.39370078740157483"/>
  <pageSetup paperSize="9"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view="pageBreakPreview" zoomScaleNormal="100" zoomScaleSheetLayoutView="100" workbookViewId="0"/>
  </sheetViews>
  <sheetFormatPr defaultRowHeight="13.5" x14ac:dyDescent="0.15"/>
  <cols>
    <col min="1" max="6" width="18.625" customWidth="1"/>
    <col min="7" max="7" width="0.875" customWidth="1"/>
  </cols>
  <sheetData>
    <row r="1" spans="1:8" ht="49.5" customHeight="1" x14ac:dyDescent="0.15"/>
    <row r="2" spans="1:8" ht="15.75" customHeight="1" x14ac:dyDescent="0.15">
      <c r="A2" s="53" t="s">
        <v>149</v>
      </c>
      <c r="F2" s="32" t="s">
        <v>223</v>
      </c>
    </row>
    <row r="3" spans="1:8" s="1" customFormat="1" ht="24.95" customHeight="1" x14ac:dyDescent="0.15">
      <c r="A3" s="230" t="s">
        <v>117</v>
      </c>
      <c r="B3" s="230" t="s">
        <v>118</v>
      </c>
      <c r="C3" s="230" t="s">
        <v>119</v>
      </c>
      <c r="D3" s="232" t="s">
        <v>120</v>
      </c>
      <c r="E3" s="233"/>
      <c r="F3" s="230" t="s">
        <v>121</v>
      </c>
    </row>
    <row r="4" spans="1:8" s="1" customFormat="1" ht="24.95" customHeight="1" x14ac:dyDescent="0.15">
      <c r="A4" s="231"/>
      <c r="B4" s="231"/>
      <c r="C4" s="231"/>
      <c r="D4" s="24" t="s">
        <v>122</v>
      </c>
      <c r="E4" s="24" t="s">
        <v>123</v>
      </c>
      <c r="F4" s="231"/>
    </row>
    <row r="5" spans="1:8" s="1" customFormat="1" ht="30" customHeight="1" x14ac:dyDescent="0.15">
      <c r="A5" s="23" t="s">
        <v>144</v>
      </c>
      <c r="B5" s="106">
        <f>107060835/1000</f>
        <v>107060.83500000001</v>
      </c>
      <c r="C5" s="106">
        <f>F5-B5+D5</f>
        <v>83634.09599999999</v>
      </c>
      <c r="D5" s="106">
        <f>(94196298+3420000)/1000</f>
        <v>97616.297999999995</v>
      </c>
      <c r="E5" s="106">
        <v>0</v>
      </c>
      <c r="F5" s="106">
        <f>93078633/1000</f>
        <v>93078.633000000002</v>
      </c>
      <c r="H5" s="19"/>
    </row>
    <row r="6" spans="1:8" s="1" customFormat="1" ht="30" customHeight="1" x14ac:dyDescent="0.15">
      <c r="A6" s="23" t="s">
        <v>145</v>
      </c>
      <c r="B6" s="106">
        <f>8043783000/1000</f>
        <v>8043783</v>
      </c>
      <c r="C6" s="106">
        <f>631826198/1000</f>
        <v>631826.19799999997</v>
      </c>
      <c r="D6" s="106">
        <f>398330198/1000</f>
        <v>398330.19799999997</v>
      </c>
      <c r="E6" s="106">
        <v>0</v>
      </c>
      <c r="F6" s="106">
        <f>B6+C6-D6-E6</f>
        <v>8277279.0000000009</v>
      </c>
    </row>
    <row r="7" spans="1:8" s="1" customFormat="1" ht="30" customHeight="1" x14ac:dyDescent="0.15">
      <c r="A7" s="23" t="s">
        <v>146</v>
      </c>
      <c r="B7" s="106">
        <f>576088206/1000</f>
        <v>576088.20600000001</v>
      </c>
      <c r="C7" s="106">
        <f>577795227/1000</f>
        <v>577795.22699999996</v>
      </c>
      <c r="D7" s="106">
        <f>576088206/1000</f>
        <v>576088.20600000001</v>
      </c>
      <c r="E7" s="106">
        <v>0</v>
      </c>
      <c r="F7" s="106">
        <f>B7+C7-D7-E7</f>
        <v>577795.22699999996</v>
      </c>
    </row>
    <row r="8" spans="1:8" s="1" customFormat="1" ht="30" customHeight="1" x14ac:dyDescent="0.15">
      <c r="A8" s="51" t="s">
        <v>4</v>
      </c>
      <c r="B8" s="106">
        <f>SUM(B5:B7)</f>
        <v>8726932.0409999993</v>
      </c>
      <c r="C8" s="106">
        <f>SUM(C5:C7)</f>
        <v>1293255.5209999999</v>
      </c>
      <c r="D8" s="106">
        <f>SUM(D5:D7)</f>
        <v>1072034.702</v>
      </c>
      <c r="E8" s="106">
        <f>SUM(E5:E7)</f>
        <v>0</v>
      </c>
      <c r="F8" s="106">
        <f>SUM(F5:F7)</f>
        <v>8948152.8600000013</v>
      </c>
    </row>
    <row r="9" spans="1:8" ht="30" customHeight="1" x14ac:dyDescent="0.15"/>
    <row r="11" spans="1:8" x14ac:dyDescent="0.15">
      <c r="F11" s="17"/>
    </row>
  </sheetData>
  <mergeCells count="5">
    <mergeCell ref="A3:A4"/>
    <mergeCell ref="B3:B4"/>
    <mergeCell ref="C3:C4"/>
    <mergeCell ref="D3:E3"/>
    <mergeCell ref="F3:F4"/>
  </mergeCells>
  <phoneticPr fontId="4"/>
  <printOptions horizontalCentered="1"/>
  <pageMargins left="0.19685039370078741" right="0.11811023622047245" top="0.35433070866141736" bottom="0.35433070866141736"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0"/>
  <sheetViews>
    <sheetView view="pageBreakPreview" zoomScale="85" zoomScaleNormal="100" zoomScaleSheetLayoutView="85" workbookViewId="0">
      <selection activeCell="B1" sqref="B1"/>
    </sheetView>
  </sheetViews>
  <sheetFormatPr defaultRowHeight="13.5" x14ac:dyDescent="0.15"/>
  <cols>
    <col min="1" max="1" width="2.125" customWidth="1"/>
    <col min="2" max="2" width="14.625" customWidth="1"/>
    <col min="3" max="3" width="9.25" customWidth="1"/>
    <col min="4" max="4" width="29.375" bestFit="1" customWidth="1"/>
    <col min="5" max="5" width="24.375" bestFit="1" customWidth="1"/>
    <col min="6" max="6" width="12.25" customWidth="1"/>
    <col min="7" max="7" width="90.625" customWidth="1"/>
    <col min="8" max="8" width="1" customWidth="1"/>
    <col min="9" max="9" width="1.5" customWidth="1"/>
  </cols>
  <sheetData>
    <row r="1" spans="2:7" ht="33.75" customHeight="1" x14ac:dyDescent="0.15"/>
    <row r="2" spans="2:7" ht="19.5" customHeight="1" x14ac:dyDescent="0.15">
      <c r="B2" s="149" t="s">
        <v>124</v>
      </c>
      <c r="C2" s="102"/>
      <c r="D2" s="102"/>
      <c r="E2" s="102"/>
      <c r="F2" s="102"/>
      <c r="G2" s="102"/>
    </row>
    <row r="3" spans="2:7" ht="19.5" customHeight="1" x14ac:dyDescent="0.15">
      <c r="B3" s="149" t="s">
        <v>125</v>
      </c>
      <c r="C3" s="77"/>
      <c r="D3" s="77"/>
      <c r="E3" s="102"/>
      <c r="F3" s="102"/>
      <c r="G3" s="78" t="s">
        <v>225</v>
      </c>
    </row>
    <row r="4" spans="2:7" ht="24.95" customHeight="1" thickBot="1" x14ac:dyDescent="0.2">
      <c r="B4" s="234" t="s">
        <v>10</v>
      </c>
      <c r="C4" s="234"/>
      <c r="D4" s="46" t="s">
        <v>126</v>
      </c>
      <c r="E4" s="46" t="s">
        <v>151</v>
      </c>
      <c r="F4" s="95" t="s">
        <v>150</v>
      </c>
      <c r="G4" s="46" t="s">
        <v>127</v>
      </c>
    </row>
    <row r="5" spans="2:7" ht="30.75" customHeight="1" thickTop="1" x14ac:dyDescent="0.15">
      <c r="B5" s="235" t="s">
        <v>128</v>
      </c>
      <c r="C5" s="236"/>
      <c r="D5" s="150" t="s">
        <v>258</v>
      </c>
      <c r="E5" s="150" t="s">
        <v>259</v>
      </c>
      <c r="F5" s="151">
        <f>320399970/1000</f>
        <v>320399.96999999997</v>
      </c>
      <c r="G5" s="150" t="s">
        <v>260</v>
      </c>
    </row>
    <row r="6" spans="2:7" ht="30.75" customHeight="1" x14ac:dyDescent="0.15">
      <c r="B6" s="237"/>
      <c r="C6" s="238"/>
      <c r="D6" s="152" t="s">
        <v>267</v>
      </c>
      <c r="E6" s="152" t="s">
        <v>268</v>
      </c>
      <c r="F6" s="153">
        <f>9000000/1000</f>
        <v>9000</v>
      </c>
      <c r="G6" s="152" t="s">
        <v>262</v>
      </c>
    </row>
    <row r="7" spans="2:7" ht="30.75" customHeight="1" x14ac:dyDescent="0.15">
      <c r="B7" s="237"/>
      <c r="C7" s="238"/>
      <c r="D7" s="152" t="s">
        <v>263</v>
      </c>
      <c r="E7" s="152" t="s">
        <v>261</v>
      </c>
      <c r="F7" s="154">
        <f>8800000/1000</f>
        <v>8800</v>
      </c>
      <c r="G7" s="152" t="s">
        <v>264</v>
      </c>
    </row>
    <row r="8" spans="2:7" ht="30.75" customHeight="1" x14ac:dyDescent="0.15">
      <c r="B8" s="237"/>
      <c r="C8" s="238"/>
      <c r="D8" s="152" t="s">
        <v>265</v>
      </c>
      <c r="E8" s="152" t="s">
        <v>259</v>
      </c>
      <c r="F8" s="154">
        <f>2500000/1000</f>
        <v>2500</v>
      </c>
      <c r="G8" s="152" t="s">
        <v>266</v>
      </c>
    </row>
    <row r="9" spans="2:7" ht="30.75" customHeight="1" x14ac:dyDescent="0.15">
      <c r="B9" s="239"/>
      <c r="C9" s="240"/>
      <c r="D9" s="97" t="s">
        <v>129</v>
      </c>
      <c r="E9" s="89"/>
      <c r="F9" s="82">
        <f>SUM(F5:F8)</f>
        <v>340699.97</v>
      </c>
      <c r="G9" s="90"/>
    </row>
    <row r="10" spans="2:7" ht="30.75" customHeight="1" x14ac:dyDescent="0.15">
      <c r="B10" s="241" t="s">
        <v>201</v>
      </c>
      <c r="C10" s="242"/>
      <c r="D10" s="94" t="s">
        <v>272</v>
      </c>
      <c r="E10" s="94" t="s">
        <v>279</v>
      </c>
      <c r="F10" s="155">
        <f>2573578644/1000</f>
        <v>2573578.6439999999</v>
      </c>
      <c r="G10" s="94" t="s">
        <v>299</v>
      </c>
    </row>
    <row r="11" spans="2:7" ht="30.75" customHeight="1" x14ac:dyDescent="0.15">
      <c r="B11" s="241"/>
      <c r="C11" s="242"/>
      <c r="D11" s="94" t="s">
        <v>273</v>
      </c>
      <c r="E11" s="94" t="s">
        <v>251</v>
      </c>
      <c r="F11" s="156">
        <f>2429316000/1000</f>
        <v>2429316</v>
      </c>
      <c r="G11" s="94" t="s">
        <v>286</v>
      </c>
    </row>
    <row r="12" spans="2:7" ht="30.75" customHeight="1" x14ac:dyDescent="0.15">
      <c r="B12" s="241"/>
      <c r="C12" s="242"/>
      <c r="D12" s="94" t="s">
        <v>274</v>
      </c>
      <c r="E12" s="94" t="s">
        <v>280</v>
      </c>
      <c r="F12" s="156">
        <f>2323067500/1000</f>
        <v>2323067.5</v>
      </c>
      <c r="G12" s="94" t="s">
        <v>287</v>
      </c>
    </row>
    <row r="13" spans="2:7" ht="30.75" customHeight="1" x14ac:dyDescent="0.15">
      <c r="B13" s="241"/>
      <c r="C13" s="242"/>
      <c r="D13" s="94" t="s">
        <v>275</v>
      </c>
      <c r="E13" s="94" t="s">
        <v>281</v>
      </c>
      <c r="F13" s="156">
        <f>1175184261/1000</f>
        <v>1175184.2609999999</v>
      </c>
      <c r="G13" s="94" t="s">
        <v>288</v>
      </c>
    </row>
    <row r="14" spans="2:7" ht="30.75" customHeight="1" x14ac:dyDescent="0.15">
      <c r="B14" s="241"/>
      <c r="C14" s="242"/>
      <c r="D14" s="94" t="s">
        <v>189</v>
      </c>
      <c r="E14" s="94" t="s">
        <v>229</v>
      </c>
      <c r="F14" s="156">
        <f>424972181/1000</f>
        <v>424972.18099999998</v>
      </c>
      <c r="G14" s="94" t="s">
        <v>301</v>
      </c>
    </row>
    <row r="15" spans="2:7" ht="30.75" customHeight="1" x14ac:dyDescent="0.15">
      <c r="B15" s="241"/>
      <c r="C15" s="242"/>
      <c r="D15" s="94" t="s">
        <v>187</v>
      </c>
      <c r="E15" s="94" t="s">
        <v>282</v>
      </c>
      <c r="F15" s="156">
        <f>407556000/1000</f>
        <v>407556</v>
      </c>
      <c r="G15" s="94" t="s">
        <v>289</v>
      </c>
    </row>
    <row r="16" spans="2:7" ht="30.75" customHeight="1" x14ac:dyDescent="0.15">
      <c r="B16" s="241"/>
      <c r="C16" s="242"/>
      <c r="D16" s="94" t="s">
        <v>186</v>
      </c>
      <c r="E16" s="94" t="s">
        <v>283</v>
      </c>
      <c r="F16" s="156">
        <f>385347770/1000</f>
        <v>385347.77</v>
      </c>
      <c r="G16" s="94" t="s">
        <v>290</v>
      </c>
    </row>
    <row r="17" spans="2:7" ht="30.75" customHeight="1" x14ac:dyDescent="0.15">
      <c r="B17" s="241"/>
      <c r="C17" s="242"/>
      <c r="D17" s="94" t="s">
        <v>188</v>
      </c>
      <c r="E17" s="94" t="s">
        <v>284</v>
      </c>
      <c r="F17" s="156">
        <f>337774000/1000</f>
        <v>337774</v>
      </c>
      <c r="G17" s="94" t="s">
        <v>291</v>
      </c>
    </row>
    <row r="18" spans="2:7" ht="30.75" customHeight="1" x14ac:dyDescent="0.15">
      <c r="B18" s="241"/>
      <c r="C18" s="242"/>
      <c r="D18" s="94" t="s">
        <v>252</v>
      </c>
      <c r="E18" s="94" t="s">
        <v>253</v>
      </c>
      <c r="F18" s="156">
        <f>274087547/1000</f>
        <v>274087.54700000002</v>
      </c>
      <c r="G18" s="94" t="s">
        <v>254</v>
      </c>
    </row>
    <row r="19" spans="2:7" ht="30.75" customHeight="1" x14ac:dyDescent="0.15">
      <c r="B19" s="241"/>
      <c r="C19" s="242"/>
      <c r="D19" s="94" t="s">
        <v>276</v>
      </c>
      <c r="E19" s="94" t="s">
        <v>285</v>
      </c>
      <c r="F19" s="156">
        <f>233111000/1000</f>
        <v>233111</v>
      </c>
      <c r="G19" s="94" t="s">
        <v>292</v>
      </c>
    </row>
    <row r="20" spans="2:7" ht="30.75" customHeight="1" x14ac:dyDescent="0.15">
      <c r="B20" s="241"/>
      <c r="C20" s="242"/>
      <c r="D20" s="94" t="s">
        <v>277</v>
      </c>
      <c r="E20" s="94" t="s">
        <v>270</v>
      </c>
      <c r="F20" s="156">
        <f>232477500/1000</f>
        <v>232477.5</v>
      </c>
      <c r="G20" s="94" t="s">
        <v>293</v>
      </c>
    </row>
    <row r="21" spans="2:7" ht="30.75" customHeight="1" x14ac:dyDescent="0.15">
      <c r="B21" s="241"/>
      <c r="C21" s="242"/>
      <c r="D21" s="94" t="s">
        <v>193</v>
      </c>
      <c r="E21" s="94" t="s">
        <v>280</v>
      </c>
      <c r="F21" s="156">
        <f>226491875/1000</f>
        <v>226491.875</v>
      </c>
      <c r="G21" s="94" t="s">
        <v>294</v>
      </c>
    </row>
    <row r="22" spans="2:7" ht="30.75" customHeight="1" x14ac:dyDescent="0.15">
      <c r="B22" s="241"/>
      <c r="C22" s="242"/>
      <c r="D22" s="94" t="s">
        <v>191</v>
      </c>
      <c r="E22" s="94" t="s">
        <v>192</v>
      </c>
      <c r="F22" s="156">
        <f>211366920/1000</f>
        <v>211366.92</v>
      </c>
      <c r="G22" s="94" t="s">
        <v>295</v>
      </c>
    </row>
    <row r="23" spans="2:7" ht="30.75" customHeight="1" x14ac:dyDescent="0.15">
      <c r="B23" s="241"/>
      <c r="C23" s="242"/>
      <c r="D23" s="94" t="s">
        <v>190</v>
      </c>
      <c r="E23" s="94" t="s">
        <v>230</v>
      </c>
      <c r="F23" s="156">
        <f>210484280/1000</f>
        <v>210484.28</v>
      </c>
      <c r="G23" s="94" t="s">
        <v>296</v>
      </c>
    </row>
    <row r="24" spans="2:7" ht="30.75" customHeight="1" x14ac:dyDescent="0.15">
      <c r="B24" s="241"/>
      <c r="C24" s="242"/>
      <c r="D24" s="157" t="s">
        <v>194</v>
      </c>
      <c r="E24" s="91" t="s">
        <v>195</v>
      </c>
      <c r="F24" s="155">
        <f>181406173/1000</f>
        <v>181406.17300000001</v>
      </c>
      <c r="G24" s="157" t="s">
        <v>297</v>
      </c>
    </row>
    <row r="25" spans="2:7" ht="30.75" customHeight="1" x14ac:dyDescent="0.15">
      <c r="B25" s="241"/>
      <c r="C25" s="242"/>
      <c r="D25" s="158" t="s">
        <v>278</v>
      </c>
      <c r="E25" s="157" t="s">
        <v>280</v>
      </c>
      <c r="F25" s="159">
        <f>162267672/1000</f>
        <v>162267.67199999999</v>
      </c>
      <c r="G25" s="157" t="s">
        <v>298</v>
      </c>
    </row>
    <row r="26" spans="2:7" ht="30.75" customHeight="1" x14ac:dyDescent="0.15">
      <c r="B26" s="241"/>
      <c r="C26" s="242"/>
      <c r="D26" s="158" t="s">
        <v>269</v>
      </c>
      <c r="E26" s="157"/>
      <c r="F26" s="159">
        <f>F28-F9-SUM(F10:F25)</f>
        <v>2260219.5219999999</v>
      </c>
      <c r="G26" s="157"/>
    </row>
    <row r="27" spans="2:7" ht="30.75" customHeight="1" x14ac:dyDescent="0.15">
      <c r="B27" s="243"/>
      <c r="C27" s="244"/>
      <c r="D27" s="92" t="s">
        <v>129</v>
      </c>
      <c r="E27" s="89"/>
      <c r="F27" s="82">
        <f>SUM(F10:F26)</f>
        <v>14048708.844999999</v>
      </c>
      <c r="G27" s="90"/>
    </row>
    <row r="28" spans="2:7" ht="30.75" customHeight="1" x14ac:dyDescent="0.15">
      <c r="B28" s="245" t="s">
        <v>38</v>
      </c>
      <c r="C28" s="246"/>
      <c r="D28" s="89"/>
      <c r="E28" s="89"/>
      <c r="F28" s="93">
        <f>14389408815/1000</f>
        <v>14389408.814999999</v>
      </c>
      <c r="G28" s="90"/>
    </row>
    <row r="29" spans="2:7" ht="3.75" customHeight="1" x14ac:dyDescent="0.15"/>
    <row r="30" spans="2:7" ht="12" customHeight="1" x14ac:dyDescent="0.15"/>
  </sheetData>
  <mergeCells count="4">
    <mergeCell ref="B4:C4"/>
    <mergeCell ref="B5:C9"/>
    <mergeCell ref="B10:C27"/>
    <mergeCell ref="B28:C28"/>
  </mergeCells>
  <phoneticPr fontId="4"/>
  <printOptions horizontalCentered="1"/>
  <pageMargins left="0.39370078740157483" right="0.39370078740157483" top="0.15748031496062992" bottom="0.15748031496062992" header="0.31496062992125984" footer="0.31496062992125984"/>
  <pageSetup paperSize="9"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 </vt:lpstr>
      <vt:lpstr>投資及び出資金 (千円)</vt:lpstr>
      <vt:lpstr>基金 (千円)</vt:lpstr>
      <vt:lpstr>貸付金 (千円)</vt:lpstr>
      <vt:lpstr>未収金及び長期延滞債権 (千円)</vt:lpstr>
      <vt:lpstr>地方債（借入先別） (千円) </vt:lpstr>
      <vt:lpstr>地方債（利率別など） (千円)</vt:lpstr>
      <vt:lpstr>引当金 (千円)</vt:lpstr>
      <vt:lpstr>補助金 (千円) </vt:lpstr>
      <vt:lpstr>財源 (千円) </vt:lpstr>
      <vt:lpstr>財源情報 (千円)</vt:lpstr>
      <vt:lpstr>資金明細 (千円)</vt:lpstr>
      <vt:lpstr>'引当金 (千円)'!Print_Area</vt:lpstr>
      <vt:lpstr>'基金 (千円)'!Print_Area</vt:lpstr>
      <vt:lpstr>'財源 (千円) '!Print_Area</vt:lpstr>
      <vt:lpstr>'財源情報 (千円)'!Print_Area</vt:lpstr>
      <vt:lpstr>'資金明細 (千円)'!Print_Area</vt:lpstr>
      <vt:lpstr>'貸付金 (千円)'!Print_Area</vt:lpstr>
      <vt:lpstr>'地方債（借入先別） (千円) '!Print_Area</vt:lpstr>
      <vt:lpstr>'地方債（利率別など） (千円)'!Print_Area</vt:lpstr>
      <vt:lpstr>'投資及び出資金 (千円)'!Print_Area</vt:lpstr>
      <vt:lpstr>'補助金 (千円) '!Print_Area</vt:lpstr>
      <vt:lpstr>'未収金及び長期延滞債権 (千円)'!Print_Area</vt:lpstr>
      <vt:lpstr>'有形固定資産 (千円) '!Print_Area</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zaisei10</cp:lastModifiedBy>
  <cp:lastPrinted>2023-03-22T00:13:57Z</cp:lastPrinted>
  <dcterms:created xsi:type="dcterms:W3CDTF">2014-03-27T08:10:30Z</dcterms:created>
  <dcterms:modified xsi:type="dcterms:W3CDTF">2023-03-24T09:50:16Z</dcterms:modified>
</cp:coreProperties>
</file>